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6"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收益法 (元)" sheetId="67" r:id="rId23"/>
    <sheet name="收益法（汇总）" sheetId="70" state="hidden" r:id="rId24"/>
    <sheet name="酒店收入计算" sheetId="66" state="hidden" r:id="rId25"/>
    <sheet name="比较法-住宅" sheetId="21" r:id="rId26"/>
    <sheet name="比较法-商业" sheetId="33" state="hidden" r:id="rId27"/>
    <sheet name="典型户型修正" sheetId="31" r:id="rId28"/>
    <sheet name="住宅案例" sheetId="79" r:id="rId29"/>
    <sheet name="结果表 (办公)" sheetId="78" r:id="rId30"/>
    <sheet name="收益法" sheetId="15"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80" r:id="rId47"/>
    <sheet name="抵押物清单" sheetId="77" r:id="rId48"/>
    <sheet name="收入明细表" sheetId="82"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45" i="82" l="1"/>
  <c r="H43" i="82"/>
  <c r="F43" i="82"/>
  <c r="N20" i="1"/>
  <c r="O18" i="1"/>
  <c r="L6" i="77"/>
  <c r="L38" i="77"/>
  <c r="L37" i="77"/>
  <c r="A24" i="31" l="1"/>
  <c r="J9" i="82"/>
  <c r="J10" i="82" l="1"/>
  <c r="L8" i="82"/>
  <c r="F12" i="82" l="1"/>
  <c r="F16" i="82"/>
  <c r="E12" i="82"/>
  <c r="A5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13" i="3"/>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5" i="77"/>
  <c r="I13" i="3"/>
  <c r="F19" i="6"/>
  <c r="E19" i="6" s="1"/>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K44" i="3"/>
  <c r="H13" i="3"/>
  <c r="I14" i="3"/>
  <c r="H14" i="3" s="1"/>
  <c r="I15" i="3"/>
  <c r="H15" i="3"/>
  <c r="I16" i="3"/>
  <c r="H16" i="3" s="1"/>
  <c r="I17" i="3"/>
  <c r="H17" i="3"/>
  <c r="I18" i="3"/>
  <c r="H18" i="3" s="1"/>
  <c r="I19" i="3"/>
  <c r="H19" i="3"/>
  <c r="I20" i="3"/>
  <c r="H20" i="3" s="1"/>
  <c r="I21" i="3"/>
  <c r="H21" i="3"/>
  <c r="I22" i="3"/>
  <c r="H22" i="3" s="1"/>
  <c r="I23" i="3"/>
  <c r="H23" i="3"/>
  <c r="I24" i="3"/>
  <c r="H24" i="3" s="1"/>
  <c r="I25" i="3"/>
  <c r="H25" i="3"/>
  <c r="I26" i="3"/>
  <c r="H26" i="3" s="1"/>
  <c r="I27" i="3"/>
  <c r="H27" i="3"/>
  <c r="I28" i="3"/>
  <c r="H28" i="3" s="1"/>
  <c r="I29" i="3"/>
  <c r="H29" i="3"/>
  <c r="I30" i="3"/>
  <c r="H30" i="3" s="1"/>
  <c r="I31" i="3"/>
  <c r="H31" i="3"/>
  <c r="I32" i="3"/>
  <c r="H32" i="3" s="1"/>
  <c r="I33" i="3"/>
  <c r="H33" i="3"/>
  <c r="I34" i="3"/>
  <c r="H34" i="3" s="1"/>
  <c r="I35" i="3"/>
  <c r="H35" i="3"/>
  <c r="I36" i="3"/>
  <c r="H36" i="3" s="1"/>
  <c r="I37" i="3"/>
  <c r="H37" i="3"/>
  <c r="I38" i="3"/>
  <c r="H38" i="3" s="1"/>
  <c r="I39" i="3"/>
  <c r="H39" i="3"/>
  <c r="I40" i="3"/>
  <c r="H40" i="3" s="1"/>
  <c r="I41" i="3"/>
  <c r="H41" i="3"/>
  <c r="I42" i="3"/>
  <c r="H42" i="3" s="1"/>
  <c r="I43" i="3"/>
  <c r="H43" i="3"/>
  <c r="E32" i="6"/>
  <c r="C33" i="21"/>
  <c r="F33" i="21"/>
  <c r="AA33" i="21" s="1"/>
  <c r="H33" i="21"/>
  <c r="AB33" i="21" s="1"/>
  <c r="J33" i="21"/>
  <c r="AC33" i="21" s="1"/>
  <c r="J42" i="21"/>
  <c r="AC42" i="21" s="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L20" i="6"/>
  <c r="L7" i="1"/>
  <c r="R48" i="34"/>
  <c r="D124" i="34"/>
  <c r="F43" i="34"/>
  <c r="AA43" i="34" s="1"/>
  <c r="H43" i="34"/>
  <c r="AB43" i="34" s="1"/>
  <c r="T48" i="34"/>
  <c r="J43" i="34"/>
  <c r="AC43" i="34"/>
  <c r="C17" i="78"/>
  <c r="D17" i="78"/>
  <c r="C18" i="78"/>
  <c r="D18" i="78" s="1"/>
  <c r="G37" i="34"/>
  <c r="N18" i="1"/>
  <c r="N7" i="1"/>
  <c r="F33" i="15"/>
  <c r="AE8" i="1"/>
  <c r="M47" i="15"/>
  <c r="J50" i="15"/>
  <c r="C17" i="9"/>
  <c r="D17" i="9"/>
  <c r="C18" i="9" s="1"/>
  <c r="D18" i="9"/>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24" i="31"/>
  <c r="T23" i="31"/>
  <c r="D18" i="31"/>
  <c r="E18" i="31"/>
  <c r="C18" i="31"/>
  <c r="D17" i="31"/>
  <c r="E17" i="31"/>
  <c r="C17" i="31"/>
  <c r="D4" i="31"/>
  <c r="E4" i="31"/>
  <c r="F4" i="31"/>
  <c r="C4" i="31"/>
  <c r="D3" i="31"/>
  <c r="E3" i="31"/>
  <c r="F3" i="31"/>
  <c r="C3" i="31"/>
  <c r="C37" i="21"/>
  <c r="E37" i="21" s="1"/>
  <c r="E111" i="78"/>
  <c r="H111" i="78"/>
  <c r="D126" i="78" s="1"/>
  <c r="D127" i="78" s="1"/>
  <c r="A126" i="78"/>
  <c r="E109" i="78"/>
  <c r="H109" i="78" s="1"/>
  <c r="D124" i="78"/>
  <c r="D125" i="78" s="1"/>
  <c r="A124" i="78"/>
  <c r="E107" i="78"/>
  <c r="B90" i="21"/>
  <c r="F32" i="21"/>
  <c r="AA32" i="21"/>
  <c r="F36" i="21"/>
  <c r="AA36" i="21"/>
  <c r="F38" i="21"/>
  <c r="AA38" i="21"/>
  <c r="F39" i="21"/>
  <c r="AA39" i="21"/>
  <c r="R47" i="21"/>
  <c r="H38" i="21"/>
  <c r="AB38" i="21" s="1"/>
  <c r="H39" i="21"/>
  <c r="AB39" i="21" s="1"/>
  <c r="T47" i="21"/>
  <c r="J38" i="21"/>
  <c r="AC38" i="21" s="1"/>
  <c r="J39" i="21"/>
  <c r="AC39" i="21" s="1"/>
  <c r="V47" i="21"/>
  <c r="D3" i="21"/>
  <c r="F67" i="34"/>
  <c r="F10" i="34"/>
  <c r="AA10" i="34" s="1"/>
  <c r="F36" i="34"/>
  <c r="AA36" i="34"/>
  <c r="F21" i="34"/>
  <c r="AA21" i="34" s="1"/>
  <c r="F38" i="34"/>
  <c r="AA38" i="34"/>
  <c r="E124" i="34"/>
  <c r="F39" i="34"/>
  <c r="AA39" i="34" s="1"/>
  <c r="H36" i="34"/>
  <c r="AB36" i="34" s="1"/>
  <c r="H38" i="34"/>
  <c r="AB38" i="34" s="1"/>
  <c r="H39" i="34"/>
  <c r="AB39" i="34" s="1"/>
  <c r="V48" i="34"/>
  <c r="J36" i="34"/>
  <c r="AC36" i="34" s="1"/>
  <c r="J38" i="34"/>
  <c r="AC38" i="34" s="1"/>
  <c r="J39" i="34"/>
  <c r="AC39" i="34" s="1"/>
  <c r="C24" i="78"/>
  <c r="H105" i="78"/>
  <c r="H106" i="78"/>
  <c r="H103" i="78" s="1"/>
  <c r="D120" i="78" s="1"/>
  <c r="A122" i="78"/>
  <c r="D121" i="78"/>
  <c r="A120" i="78"/>
  <c r="K120" i="78"/>
  <c r="A118" i="78"/>
  <c r="H112" i="78"/>
  <c r="H110" i="78"/>
  <c r="H104" i="78"/>
  <c r="D101" i="78"/>
  <c r="C101" i="78"/>
  <c r="D89" i="78"/>
  <c r="C89" i="78" s="1"/>
  <c r="C87" i="78" s="1"/>
  <c r="C92" i="78" s="1"/>
  <c r="C91" i="78"/>
  <c r="C94" i="78"/>
  <c r="E90" i="78"/>
  <c r="C76" i="78"/>
  <c r="D77" i="78"/>
  <c r="H77" i="78"/>
  <c r="D48" i="78"/>
  <c r="M52" i="78"/>
  <c r="I55" i="78"/>
  <c r="D59" i="78"/>
  <c r="M55" i="78" s="1"/>
  <c r="J55" i="78"/>
  <c r="F59" i="78"/>
  <c r="E59" i="78"/>
  <c r="N55" i="78" s="1"/>
  <c r="F56" i="78"/>
  <c r="O55" i="78"/>
  <c r="K55" i="78"/>
  <c r="F55" i="78"/>
  <c r="O54" i="78"/>
  <c r="N54" i="78"/>
  <c r="O53" i="78"/>
  <c r="N53" i="78"/>
  <c r="F48" i="78"/>
  <c r="O52" i="78" s="1"/>
  <c r="E48" i="78"/>
  <c r="N52" i="78" s="1"/>
  <c r="K49" i="78"/>
  <c r="F33" i="78"/>
  <c r="D27" i="78"/>
  <c r="C25" i="78"/>
  <c r="L4" i="78"/>
  <c r="K4" i="78"/>
  <c r="H1" i="78"/>
  <c r="AM7" i="1"/>
  <c r="AL7" i="1"/>
  <c r="AK7" i="1"/>
  <c r="W7" i="1"/>
  <c r="Q7" i="1"/>
  <c r="N6" i="1"/>
  <c r="Y6" i="1" s="1"/>
  <c r="J7" i="1"/>
  <c r="K5" i="77"/>
  <c r="K37" i="77"/>
  <c r="D3" i="4"/>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c r="Q9" i="71"/>
  <c r="P9" i="71"/>
  <c r="O9" i="71"/>
  <c r="N9" i="71"/>
  <c r="L3" i="71"/>
  <c r="AH3" i="71"/>
  <c r="K3" i="71"/>
  <c r="AG3" i="71"/>
  <c r="J3" i="71"/>
  <c r="AE3" i="71"/>
  <c r="I3" i="71"/>
  <c r="AH10" i="71"/>
  <c r="AG10" i="71"/>
  <c r="AE10" i="71"/>
  <c r="AF10" i="71" s="1"/>
  <c r="AD10" i="71"/>
  <c r="Q10" i="71"/>
  <c r="Q11" i="71"/>
  <c r="P10" i="71"/>
  <c r="P11" i="71"/>
  <c r="O10" i="71"/>
  <c r="O11" i="71"/>
  <c r="N10" i="71"/>
  <c r="N11" i="71"/>
  <c r="N12" i="71"/>
  <c r="AH11" i="71"/>
  <c r="AG11" i="71"/>
  <c r="AE11" i="71"/>
  <c r="AF11" i="71" s="1"/>
  <c r="AD11" i="71"/>
  <c r="Q12" i="71"/>
  <c r="P12" i="71"/>
  <c r="O12" i="71"/>
  <c r="D14" i="71"/>
  <c r="AH12" i="71"/>
  <c r="AG12" i="71"/>
  <c r="AE12" i="71"/>
  <c r="AF12" i="71" s="1"/>
  <c r="AD12" i="71"/>
  <c r="BC13" i="3"/>
  <c r="BD13" i="3"/>
  <c r="BE13" i="3"/>
  <c r="BF13" i="3"/>
  <c r="BG13" i="3"/>
  <c r="BH13" i="3"/>
  <c r="BI13" i="3"/>
  <c r="BJ13" i="3"/>
  <c r="BK13" i="3"/>
  <c r="BM13" i="3"/>
  <c r="BN13" i="3"/>
  <c r="BO13" i="3"/>
  <c r="BP13" i="3"/>
  <c r="BQ13" i="3"/>
  <c r="BR13" i="3"/>
  <c r="BS13" i="3"/>
  <c r="BT13" i="3"/>
  <c r="BL13" i="3"/>
  <c r="BB44" i="3"/>
  <c r="BD44" i="3"/>
  <c r="BE44" i="3"/>
  <c r="BF44" i="3"/>
  <c r="BG44" i="3"/>
  <c r="BH44" i="3"/>
  <c r="BI44" i="3"/>
  <c r="BJ44" i="3"/>
  <c r="BK44" i="3"/>
  <c r="BM44" i="3"/>
  <c r="BN44" i="3"/>
  <c r="BO44" i="3"/>
  <c r="BP44" i="3"/>
  <c r="BQ44" i="3"/>
  <c r="BR44" i="3"/>
  <c r="BS44" i="3"/>
  <c r="BT44" i="3"/>
  <c r="BL44" i="3"/>
  <c r="BB45" i="3"/>
  <c r="BB46" i="3"/>
  <c r="BB47" i="3"/>
  <c r="BB48" i="3"/>
  <c r="BB49" i="3"/>
  <c r="BB50" i="3"/>
  <c r="BB51" i="3"/>
  <c r="BB52" i="3"/>
  <c r="BB53" i="3"/>
  <c r="H45" i="3"/>
  <c r="H46" i="3"/>
  <c r="H47" i="3"/>
  <c r="H48" i="3"/>
  <c r="H49" i="3"/>
  <c r="H50" i="3"/>
  <c r="H51" i="3"/>
  <c r="H52" i="3"/>
  <c r="H53" i="3"/>
  <c r="M18" i="9"/>
  <c r="B118" i="9" s="1"/>
  <c r="B14" i="74" s="1"/>
  <c r="AD13" i="71"/>
  <c r="AG13" i="71"/>
  <c r="AH13" i="71"/>
  <c r="AE13" i="71"/>
  <c r="AF13" i="71" s="1"/>
  <c r="N13" i="71"/>
  <c r="Q13" i="71"/>
  <c r="P13" i="71"/>
  <c r="O13" i="71"/>
  <c r="Q14" i="71"/>
  <c r="F13" i="71"/>
  <c r="F12" i="71" s="1"/>
  <c r="F11" i="71" s="1"/>
  <c r="P14" i="71"/>
  <c r="O14" i="71"/>
  <c r="N14"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L20" i="4"/>
  <c r="L21" i="4"/>
  <c r="A14" i="62"/>
  <c r="B60" i="72" s="1"/>
  <c r="A13" i="62"/>
  <c r="B59" i="72"/>
  <c r="A19" i="62"/>
  <c r="A12" i="62"/>
  <c r="B58" i="72" s="1"/>
  <c r="A120" i="9"/>
  <c r="A6" i="52" s="1"/>
  <c r="B57" i="72" s="1"/>
  <c r="H2" i="52"/>
  <c r="A1" i="52"/>
  <c r="A3" i="53"/>
  <c r="Q15" i="71"/>
  <c r="P15" i="71"/>
  <c r="O15" i="71"/>
  <c r="N15" i="71"/>
  <c r="A15" i="51"/>
  <c r="B12" i="72" s="1"/>
  <c r="C76" i="9"/>
  <c r="I107" i="40"/>
  <c r="K6" i="4"/>
  <c r="K56" i="78" s="1"/>
  <c r="E17" i="74"/>
  <c r="F17" i="74"/>
  <c r="E18" i="74"/>
  <c r="F18" i="74"/>
  <c r="E19" i="74"/>
  <c r="F19" i="74"/>
  <c r="E20" i="74"/>
  <c r="F20" i="74"/>
  <c r="E21" i="74"/>
  <c r="F21" i="74"/>
  <c r="E22" i="74"/>
  <c r="F22" i="74"/>
  <c r="E23" i="74"/>
  <c r="F23" i="74"/>
  <c r="C91" i="9"/>
  <c r="B8" i="72"/>
  <c r="O16" i="71"/>
  <c r="C16" i="71" s="1"/>
  <c r="C15" i="71" s="1"/>
  <c r="D15" i="71" s="1"/>
  <c r="P16" i="71"/>
  <c r="Q16" i="71"/>
  <c r="AB16" i="71" s="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6" i="72"/>
  <c r="B10" i="72"/>
  <c r="B51" i="10"/>
  <c r="A13" i="51" s="1"/>
  <c r="B11" i="72" s="1"/>
  <c r="A18" i="51"/>
  <c r="B13" i="72" s="1"/>
  <c r="C8" i="68"/>
  <c r="B49" i="48"/>
  <c r="B5" i="72"/>
  <c r="I19" i="43"/>
  <c r="D78" i="71"/>
  <c r="F77" i="71"/>
  <c r="E77" i="71"/>
  <c r="E76" i="71" s="1"/>
  <c r="E75" i="71"/>
  <c r="C77" i="71"/>
  <c r="D77" i="71"/>
  <c r="B77" i="71"/>
  <c r="F76" i="71"/>
  <c r="F75" i="71" s="1"/>
  <c r="B76" i="71"/>
  <c r="B75" i="71" s="1"/>
  <c r="D74" i="71"/>
  <c r="F73" i="71"/>
  <c r="E73" i="71"/>
  <c r="E72" i="71" s="1"/>
  <c r="E71" i="71" s="1"/>
  <c r="C73" i="71"/>
  <c r="D73" i="71"/>
  <c r="B73" i="71"/>
  <c r="F72" i="71"/>
  <c r="F71" i="71" s="1"/>
  <c r="B72" i="71"/>
  <c r="B71" i="71" s="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F56" i="71"/>
  <c r="F55" i="71" s="1"/>
  <c r="Q55"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c r="O46" i="71"/>
  <c r="C47" i="71"/>
  <c r="D47" i="71" s="1"/>
  <c r="N46" i="71"/>
  <c r="B47" i="71"/>
  <c r="B48" i="71" s="1"/>
  <c r="B49" i="71" s="1"/>
  <c r="S49" i="71" s="1"/>
  <c r="D46" i="71"/>
  <c r="Q45" i="71"/>
  <c r="P45" i="71"/>
  <c r="O45" i="71"/>
  <c r="N45" i="71"/>
  <c r="Q44" i="71"/>
  <c r="P44" i="71"/>
  <c r="O44" i="71"/>
  <c r="N44" i="71"/>
  <c r="Q43" i="71"/>
  <c r="P43" i="71"/>
  <c r="E44" i="71" s="1"/>
  <c r="E45" i="71" s="1"/>
  <c r="U45" i="71" s="1"/>
  <c r="O43" i="71"/>
  <c r="N43" i="71"/>
  <c r="B44" i="71" s="1"/>
  <c r="B45" i="71" s="1"/>
  <c r="S45" i="71" s="1"/>
  <c r="Q42" i="71"/>
  <c r="F43" i="71" s="1"/>
  <c r="F44" i="71"/>
  <c r="F45" i="71" s="1"/>
  <c r="V45" i="71" s="1"/>
  <c r="P42" i="71"/>
  <c r="E43" i="71"/>
  <c r="O42" i="71"/>
  <c r="C43" i="71" s="1"/>
  <c r="D43" i="71" s="1"/>
  <c r="N42" i="71"/>
  <c r="B43" i="71" s="1"/>
  <c r="D42" i="71"/>
  <c r="Q41" i="71"/>
  <c r="P41" i="71"/>
  <c r="O41" i="71"/>
  <c r="N41" i="71"/>
  <c r="Q40" i="71"/>
  <c r="P40" i="71"/>
  <c r="O40" i="71"/>
  <c r="N40" i="71"/>
  <c r="Q39" i="71"/>
  <c r="P39" i="71"/>
  <c r="O39" i="71"/>
  <c r="N39" i="71"/>
  <c r="Q38" i="71"/>
  <c r="F39" i="71" s="1"/>
  <c r="P38" i="71"/>
  <c r="E39" i="71" s="1"/>
  <c r="E40" i="71" s="1"/>
  <c r="E41" i="71" s="1"/>
  <c r="U41" i="71" s="1"/>
  <c r="O38" i="71"/>
  <c r="C39" i="71"/>
  <c r="D39" i="71" s="1"/>
  <c r="N38" i="71"/>
  <c r="B39" i="71"/>
  <c r="B40" i="71" s="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s="1"/>
  <c r="O34" i="71"/>
  <c r="C35" i="71"/>
  <c r="N34" i="71"/>
  <c r="B35" i="71"/>
  <c r="D34" i="71"/>
  <c r="Q33" i="71"/>
  <c r="P33" i="71"/>
  <c r="O33" i="71"/>
  <c r="N33" i="71"/>
  <c r="Q32" i="71"/>
  <c r="P32" i="71"/>
  <c r="O32" i="71"/>
  <c r="N32" i="71"/>
  <c r="Q31" i="71"/>
  <c r="P31" i="71"/>
  <c r="O31" i="71"/>
  <c r="N31" i="71"/>
  <c r="V33" i="71"/>
  <c r="Q30" i="71"/>
  <c r="F31" i="71" s="1"/>
  <c r="F32" i="71" s="1"/>
  <c r="F33" i="71" s="1"/>
  <c r="P30" i="71"/>
  <c r="E31" i="71" s="1"/>
  <c r="E32" i="71" s="1"/>
  <c r="E33" i="71" s="1"/>
  <c r="U33" i="71" s="1"/>
  <c r="O30" i="71"/>
  <c r="C31" i="71"/>
  <c r="C32" i="71" s="1"/>
  <c r="D32" i="71" s="1"/>
  <c r="N30" i="71"/>
  <c r="B31" i="71"/>
  <c r="B32" i="71" s="1"/>
  <c r="B33" i="71" s="1"/>
  <c r="S33" i="71" s="1"/>
  <c r="D30" i="71"/>
  <c r="Q29" i="71"/>
  <c r="P29" i="71"/>
  <c r="O29" i="71"/>
  <c r="N29" i="71"/>
  <c r="Q28" i="71"/>
  <c r="AB28" i="71" s="1"/>
  <c r="P28" i="71"/>
  <c r="AA28" i="71"/>
  <c r="O28" i="71"/>
  <c r="Y28" i="71"/>
  <c r="Z28" i="71" s="1"/>
  <c r="N28" i="71"/>
  <c r="Q27" i="71"/>
  <c r="P27" i="71"/>
  <c r="O27" i="71"/>
  <c r="Y27" i="71"/>
  <c r="Z27" i="71" s="1"/>
  <c r="N27" i="71"/>
  <c r="F28" i="71"/>
  <c r="F29" i="71" s="1"/>
  <c r="V29" i="71" s="1"/>
  <c r="Q26" i="71"/>
  <c r="F27" i="71" s="1"/>
  <c r="P26" i="71"/>
  <c r="O26" i="71"/>
  <c r="N26" i="71"/>
  <c r="D26" i="71"/>
  <c r="Q25" i="71"/>
  <c r="AB25" i="71" s="1"/>
  <c r="P25" i="71"/>
  <c r="O25" i="71"/>
  <c r="Y25" i="71"/>
  <c r="Z25" i="71" s="1"/>
  <c r="N25" i="71"/>
  <c r="Q24" i="71"/>
  <c r="AB24" i="71"/>
  <c r="P24" i="71"/>
  <c r="O24" i="71"/>
  <c r="N24" i="71"/>
  <c r="Q23" i="71"/>
  <c r="P23" i="71"/>
  <c r="O23" i="71"/>
  <c r="Y23" i="71"/>
  <c r="Z23" i="71" s="1"/>
  <c r="N23" i="71"/>
  <c r="V25" i="71"/>
  <c r="Q22" i="71"/>
  <c r="F23" i="71" s="1"/>
  <c r="F24" i="71" s="1"/>
  <c r="F25" i="71" s="1"/>
  <c r="P22" i="71"/>
  <c r="O22" i="71"/>
  <c r="N22" i="71"/>
  <c r="D22" i="71"/>
  <c r="Q21" i="71"/>
  <c r="P21" i="71"/>
  <c r="O21" i="71"/>
  <c r="Y21" i="71"/>
  <c r="Z21" i="71" s="1"/>
  <c r="N21" i="71"/>
  <c r="Q20" i="71"/>
  <c r="AB20" i="71"/>
  <c r="P20" i="71"/>
  <c r="O20" i="71"/>
  <c r="N20" i="71"/>
  <c r="Q19" i="71"/>
  <c r="P19" i="71"/>
  <c r="O19" i="71"/>
  <c r="N19" i="71"/>
  <c r="Q18" i="71"/>
  <c r="F19" i="71" s="1"/>
  <c r="F20" i="71" s="1"/>
  <c r="F21" i="71" s="1"/>
  <c r="V21" i="71" s="1"/>
  <c r="P18" i="71"/>
  <c r="O18" i="71"/>
  <c r="N18" i="71"/>
  <c r="D18" i="71"/>
  <c r="O17" i="71"/>
  <c r="C17" i="71" s="1"/>
  <c r="N17" i="71"/>
  <c r="B19" i="71"/>
  <c r="B20" i="71" s="1"/>
  <c r="B21" i="71"/>
  <c r="S21" i="71" s="1"/>
  <c r="B23" i="71"/>
  <c r="B24" i="71" s="1"/>
  <c r="B25" i="71" s="1"/>
  <c r="S25" i="71" s="1"/>
  <c r="E27" i="71"/>
  <c r="AA22" i="71"/>
  <c r="C19" i="71"/>
  <c r="Y18" i="71"/>
  <c r="Z18" i="71" s="1"/>
  <c r="C23" i="71"/>
  <c r="C24" i="71"/>
  <c r="X25" i="71"/>
  <c r="C27" i="71"/>
  <c r="Y26" i="71"/>
  <c r="Z26" i="71"/>
  <c r="X27" i="71"/>
  <c r="F40" i="71"/>
  <c r="F41" i="71" s="1"/>
  <c r="V41" i="71"/>
  <c r="B17" i="71"/>
  <c r="B16" i="71" s="1"/>
  <c r="B15" i="71" s="1"/>
  <c r="C20" i="71"/>
  <c r="D20" i="71" s="1"/>
  <c r="D19" i="71"/>
  <c r="D23" i="71"/>
  <c r="C28" i="71"/>
  <c r="D27" i="71"/>
  <c r="D31" i="71"/>
  <c r="C40" i="71"/>
  <c r="D40" i="71" s="1"/>
  <c r="P17" i="71"/>
  <c r="E48" i="71"/>
  <c r="E49" i="71" s="1"/>
  <c r="U49" i="71" s="1"/>
  <c r="Q54" i="71"/>
  <c r="U57" i="71"/>
  <c r="E56" i="71"/>
  <c r="E55" i="71" s="1"/>
  <c r="P55" i="71" s="1"/>
  <c r="Q17" i="71"/>
  <c r="C44" i="71"/>
  <c r="D44" i="71" s="1"/>
  <c r="C48" i="71"/>
  <c r="D48" i="71" s="1"/>
  <c r="C52" i="71"/>
  <c r="C53" i="71" s="1"/>
  <c r="T53" i="71" s="1"/>
  <c r="D51" i="71"/>
  <c r="Q56" i="71"/>
  <c r="T57" i="71"/>
  <c r="O57" i="71"/>
  <c r="D57" i="71"/>
  <c r="C56" i="71"/>
  <c r="Q57" i="71"/>
  <c r="C60" i="71"/>
  <c r="D61" i="71"/>
  <c r="C64" i="71"/>
  <c r="C63" i="71" s="1"/>
  <c r="E64" i="71"/>
  <c r="E63" i="71"/>
  <c r="D65" i="71"/>
  <c r="C68" i="71"/>
  <c r="C67" i="71" s="1"/>
  <c r="E68" i="71"/>
  <c r="E67" i="71"/>
  <c r="D69" i="71"/>
  <c r="C72" i="71"/>
  <c r="D72" i="71" s="1"/>
  <c r="C76" i="71"/>
  <c r="T17" i="71"/>
  <c r="S17" i="71"/>
  <c r="F17" i="71"/>
  <c r="F16" i="71"/>
  <c r="F15" i="71" s="1"/>
  <c r="D17" i="71"/>
  <c r="U17" i="71" s="1"/>
  <c r="C55" i="71"/>
  <c r="D52" i="71"/>
  <c r="C71" i="71"/>
  <c r="D71" i="71" s="1"/>
  <c r="D64" i="71"/>
  <c r="D63" i="71"/>
  <c r="D76" i="71"/>
  <c r="C75" i="71"/>
  <c r="D75" i="71" s="1"/>
  <c r="D68" i="71"/>
  <c r="D67" i="71"/>
  <c r="C45" i="71"/>
  <c r="T45" i="71" s="1"/>
  <c r="P56" i="71"/>
  <c r="C41" i="71"/>
  <c r="T41" i="71" s="1"/>
  <c r="C33" i="71"/>
  <c r="C29" i="71"/>
  <c r="T29" i="71" s="1"/>
  <c r="D28" i="71"/>
  <c r="C21" i="71"/>
  <c r="T21" i="71" s="1"/>
  <c r="P54" i="71"/>
  <c r="O55" i="71"/>
  <c r="D21" i="71"/>
  <c r="D29" i="71"/>
  <c r="D41" i="71"/>
  <c r="D45" i="71"/>
  <c r="D5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C21" i="34"/>
  <c r="Q21" i="33"/>
  <c r="Z21" i="33" s="1"/>
  <c r="D83" i="33"/>
  <c r="E83" i="33"/>
  <c r="F83" i="33" s="1"/>
  <c r="G83" i="33" s="1"/>
  <c r="C21" i="33"/>
  <c r="C21" i="21"/>
  <c r="Q21" i="21"/>
  <c r="Z21" i="21"/>
  <c r="H19" i="21"/>
  <c r="D83" i="21"/>
  <c r="F21" i="21"/>
  <c r="AA21" i="21"/>
  <c r="D81" i="21"/>
  <c r="G20" i="20"/>
  <c r="C22" i="20"/>
  <c r="B55" i="43"/>
  <c r="S25" i="40"/>
  <c r="S18" i="36"/>
  <c r="U18" i="36"/>
  <c r="S21" i="34"/>
  <c r="H25" i="40"/>
  <c r="AB25" i="40" s="1"/>
  <c r="J25" i="40"/>
  <c r="AC25" i="40" s="1"/>
  <c r="H29" i="39"/>
  <c r="J29" i="39"/>
  <c r="AC29" i="39" s="1"/>
  <c r="J18" i="36"/>
  <c r="H18" i="35"/>
  <c r="U18" i="35" s="1"/>
  <c r="G68" i="35"/>
  <c r="J18" i="35"/>
  <c r="F77" i="37"/>
  <c r="G77" i="37" s="1"/>
  <c r="H21" i="37"/>
  <c r="F21" i="37"/>
  <c r="AA21" i="37" s="1"/>
  <c r="H21" i="34"/>
  <c r="H21" i="33"/>
  <c r="F21" i="33"/>
  <c r="E83" i="21"/>
  <c r="F83" i="21" s="1"/>
  <c r="G83" i="21" s="1"/>
  <c r="S21" i="21"/>
  <c r="H1" i="69"/>
  <c r="W25" i="40"/>
  <c r="U25" i="40"/>
  <c r="W29" i="39"/>
  <c r="AB21" i="37"/>
  <c r="U21" i="37"/>
  <c r="S21" i="37"/>
  <c r="AA21" i="33"/>
  <c r="S21" i="33"/>
  <c r="AB18" i="35"/>
  <c r="AC18" i="35"/>
  <c r="W18" i="35"/>
  <c r="J21" i="37"/>
  <c r="J21" i="34"/>
  <c r="AC21" i="34" s="1"/>
  <c r="J21" i="33"/>
  <c r="H21" i="21"/>
  <c r="F38" i="69"/>
  <c r="E37" i="69"/>
  <c r="F36" i="69"/>
  <c r="F35" i="69"/>
  <c r="F21" i="69"/>
  <c r="F20" i="69"/>
  <c r="E10" i="69"/>
  <c r="E9" i="69"/>
  <c r="C7" i="69"/>
  <c r="AC21" i="37"/>
  <c r="W21" i="37"/>
  <c r="W21" i="34"/>
  <c r="AC21" i="33"/>
  <c r="W21" i="33"/>
  <c r="AB21" i="21"/>
  <c r="U21" i="21"/>
  <c r="J21" i="21"/>
  <c r="W21" i="21" s="1"/>
  <c r="F38" i="68"/>
  <c r="E37" i="68"/>
  <c r="F36" i="68"/>
  <c r="F35" i="68"/>
  <c r="F21" i="68"/>
  <c r="F20" i="68"/>
  <c r="E10" i="68"/>
  <c r="E9" i="68"/>
  <c r="C7" i="68"/>
  <c r="C5" i="68"/>
  <c r="AC21" i="21"/>
  <c r="Q72" i="67"/>
  <c r="Q59" i="67"/>
  <c r="Q58" i="67"/>
  <c r="Q51" i="67"/>
  <c r="J50" i="67"/>
  <c r="M47" i="67"/>
  <c r="D46" i="67"/>
  <c r="F33" i="67"/>
  <c r="F61" i="67"/>
  <c r="F23" i="67"/>
  <c r="D24" i="67"/>
  <c r="F21" i="67"/>
  <c r="F20" i="67"/>
  <c r="M19" i="67"/>
  <c r="F18" i="67"/>
  <c r="F17" i="67"/>
  <c r="F15" i="67"/>
  <c r="D22" i="67"/>
  <c r="D23" i="67"/>
  <c r="S2" i="4"/>
  <c r="A2" i="78" s="1"/>
  <c r="C51" i="10"/>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R8" i="1" s="1"/>
  <c r="B8" i="1"/>
  <c r="E8" i="1" s="1"/>
  <c r="A9" i="1"/>
  <c r="A10" i="1"/>
  <c r="A11" i="1"/>
  <c r="B11" i="1" s="1"/>
  <c r="E11" i="1" s="1"/>
  <c r="A12" i="1"/>
  <c r="A13" i="1"/>
  <c r="K13" i="1" s="1"/>
  <c r="A6" i="1"/>
  <c r="F3" i="35"/>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AX53" i="3"/>
  <c r="AW53" i="3"/>
  <c r="AV53" i="3"/>
  <c r="AC53" i="3"/>
  <c r="BT52" i="3"/>
  <c r="BS52" i="3"/>
  <c r="BR52" i="3"/>
  <c r="BQ52" i="3"/>
  <c r="BP52" i="3"/>
  <c r="BO52" i="3"/>
  <c r="BN52" i="3"/>
  <c r="BM52" i="3"/>
  <c r="BL52" i="3" s="1"/>
  <c r="BK52" i="3"/>
  <c r="BJ52" i="3"/>
  <c r="BI52" i="3"/>
  <c r="BH52" i="3"/>
  <c r="BG52" i="3"/>
  <c r="BF52" i="3"/>
  <c r="BE52" i="3"/>
  <c r="BD52" i="3"/>
  <c r="BC52" i="3"/>
  <c r="AX52" i="3"/>
  <c r="AW52" i="3"/>
  <c r="AV52" i="3"/>
  <c r="AC52" i="3"/>
  <c r="BT51" i="3"/>
  <c r="BS51" i="3"/>
  <c r="BR51" i="3"/>
  <c r="BQ51" i="3"/>
  <c r="BP51" i="3"/>
  <c r="BO51" i="3"/>
  <c r="BN51" i="3"/>
  <c r="BM51" i="3"/>
  <c r="BL51" i="3" s="1"/>
  <c r="BK51" i="3"/>
  <c r="BJ51" i="3"/>
  <c r="BI51" i="3"/>
  <c r="BH51" i="3"/>
  <c r="BG51" i="3"/>
  <c r="BF51" i="3"/>
  <c r="BE51" i="3"/>
  <c r="BD51" i="3"/>
  <c r="BC51" i="3"/>
  <c r="BA51" i="3" s="1"/>
  <c r="AX51" i="3"/>
  <c r="AW51" i="3"/>
  <c r="AV51" i="3"/>
  <c r="AC51" i="3"/>
  <c r="BT50" i="3"/>
  <c r="BS50" i="3"/>
  <c r="BR50" i="3"/>
  <c r="BQ50" i="3"/>
  <c r="BP50" i="3"/>
  <c r="BO50" i="3"/>
  <c r="BN50" i="3"/>
  <c r="BM50" i="3"/>
  <c r="BL50" i="3" s="1"/>
  <c r="BK50" i="3"/>
  <c r="BJ50" i="3"/>
  <c r="BI50" i="3"/>
  <c r="BH50" i="3"/>
  <c r="BG50" i="3"/>
  <c r="BF50" i="3"/>
  <c r="BE50" i="3"/>
  <c r="BD50" i="3"/>
  <c r="BC50" i="3"/>
  <c r="AX50" i="3"/>
  <c r="AW50" i="3"/>
  <c r="AV50" i="3"/>
  <c r="AC50" i="3"/>
  <c r="BT49" i="3"/>
  <c r="BS49" i="3"/>
  <c r="BR49" i="3"/>
  <c r="BQ49" i="3"/>
  <c r="BP49" i="3"/>
  <c r="BO49" i="3"/>
  <c r="BN49" i="3"/>
  <c r="BM49" i="3"/>
  <c r="BL49" i="3" s="1"/>
  <c r="BK49" i="3"/>
  <c r="BJ49" i="3"/>
  <c r="BI49" i="3"/>
  <c r="BH49" i="3"/>
  <c r="BG49" i="3"/>
  <c r="BF49" i="3"/>
  <c r="BE49" i="3"/>
  <c r="BD49" i="3"/>
  <c r="BC49" i="3"/>
  <c r="BA49" i="3" s="1"/>
  <c r="AX49" i="3"/>
  <c r="AW49" i="3"/>
  <c r="AV49" i="3"/>
  <c r="AC49" i="3"/>
  <c r="BT48" i="3"/>
  <c r="BS48" i="3"/>
  <c r="BR48" i="3"/>
  <c r="BQ48" i="3"/>
  <c r="BP48" i="3"/>
  <c r="BO48" i="3"/>
  <c r="BN48" i="3"/>
  <c r="BM48" i="3"/>
  <c r="BL48" i="3" s="1"/>
  <c r="BK48" i="3"/>
  <c r="BJ48" i="3"/>
  <c r="BI48" i="3"/>
  <c r="BH48" i="3"/>
  <c r="BG48" i="3"/>
  <c r="BF48" i="3"/>
  <c r="BE48" i="3"/>
  <c r="BD48" i="3"/>
  <c r="BC48" i="3"/>
  <c r="AX48" i="3"/>
  <c r="AW48" i="3"/>
  <c r="AV48" i="3"/>
  <c r="AC48" i="3"/>
  <c r="BT47" i="3"/>
  <c r="BS47" i="3"/>
  <c r="BR47" i="3"/>
  <c r="BQ47" i="3"/>
  <c r="BP47" i="3"/>
  <c r="BO47" i="3"/>
  <c r="BN47" i="3"/>
  <c r="BM47" i="3"/>
  <c r="BL47" i="3" s="1"/>
  <c r="BK47" i="3"/>
  <c r="BJ47" i="3"/>
  <c r="BI47" i="3"/>
  <c r="BH47" i="3"/>
  <c r="BG47" i="3"/>
  <c r="BF47" i="3"/>
  <c r="BE47" i="3"/>
  <c r="BD47" i="3"/>
  <c r="BC47" i="3"/>
  <c r="BA47" i="3" s="1"/>
  <c r="AX47" i="3"/>
  <c r="AW47" i="3"/>
  <c r="AV47" i="3"/>
  <c r="AC47" i="3"/>
  <c r="BT46" i="3"/>
  <c r="BS46" i="3"/>
  <c r="BR46" i="3"/>
  <c r="BQ46" i="3"/>
  <c r="BP46" i="3"/>
  <c r="BO46" i="3"/>
  <c r="BN46" i="3"/>
  <c r="BM46" i="3"/>
  <c r="BL46" i="3" s="1"/>
  <c r="BK46" i="3"/>
  <c r="BJ46" i="3"/>
  <c r="BI46" i="3"/>
  <c r="BH46" i="3"/>
  <c r="BG46" i="3"/>
  <c r="BF46" i="3"/>
  <c r="BE46" i="3"/>
  <c r="BD46" i="3"/>
  <c r="BC46" i="3"/>
  <c r="AX46" i="3"/>
  <c r="AW46" i="3"/>
  <c r="AV46" i="3"/>
  <c r="AC46" i="3"/>
  <c r="BT45" i="3"/>
  <c r="BS45" i="3"/>
  <c r="BR45" i="3"/>
  <c r="BQ45" i="3"/>
  <c r="BP45" i="3"/>
  <c r="BO45" i="3"/>
  <c r="BN45" i="3"/>
  <c r="BM45" i="3"/>
  <c r="BL45" i="3" s="1"/>
  <c r="BK45" i="3"/>
  <c r="BJ45" i="3"/>
  <c r="BI45" i="3"/>
  <c r="BH45" i="3"/>
  <c r="BG45" i="3"/>
  <c r="BF45" i="3"/>
  <c r="BE45" i="3"/>
  <c r="BD45" i="3"/>
  <c r="BC45" i="3"/>
  <c r="BA45" i="3" s="1"/>
  <c r="AX45" i="3"/>
  <c r="AW45" i="3"/>
  <c r="AV45" i="3"/>
  <c r="AC45" i="3"/>
  <c r="AX44" i="3"/>
  <c r="AW44" i="3"/>
  <c r="AV44" i="3"/>
  <c r="AC44" i="3"/>
  <c r="BT43" i="3"/>
  <c r="BS43" i="3"/>
  <c r="BR43" i="3"/>
  <c r="BQ43" i="3"/>
  <c r="BP43" i="3"/>
  <c r="BO43" i="3"/>
  <c r="BN43" i="3"/>
  <c r="BM43" i="3"/>
  <c r="BL43" i="3" s="1"/>
  <c r="BK43" i="3"/>
  <c r="BJ43" i="3"/>
  <c r="BI43" i="3"/>
  <c r="BH43" i="3"/>
  <c r="BG43" i="3"/>
  <c r="BF43" i="3"/>
  <c r="BE43" i="3"/>
  <c r="BD43" i="3"/>
  <c r="BC43" i="3"/>
  <c r="AX43" i="3"/>
  <c r="AW43" i="3"/>
  <c r="AV43" i="3"/>
  <c r="AC43" i="3"/>
  <c r="BT42" i="3"/>
  <c r="BS42" i="3"/>
  <c r="BR42" i="3"/>
  <c r="BQ42" i="3"/>
  <c r="BP42" i="3"/>
  <c r="BO42" i="3"/>
  <c r="BN42" i="3"/>
  <c r="BM42" i="3"/>
  <c r="BK42" i="3"/>
  <c r="BJ42" i="3"/>
  <c r="BI42" i="3"/>
  <c r="BH42" i="3"/>
  <c r="BG42" i="3"/>
  <c r="BF42" i="3"/>
  <c r="BE42" i="3"/>
  <c r="BD42" i="3"/>
  <c r="BC42" i="3"/>
  <c r="AX42" i="3"/>
  <c r="AW42" i="3"/>
  <c r="AV42" i="3"/>
  <c r="AC42" i="3"/>
  <c r="G42" i="3" s="1"/>
  <c r="BT41" i="3"/>
  <c r="BS41" i="3"/>
  <c r="BR41" i="3"/>
  <c r="BQ41" i="3"/>
  <c r="BP41" i="3"/>
  <c r="BO41" i="3"/>
  <c r="BN41" i="3"/>
  <c r="BM41" i="3"/>
  <c r="BL41" i="3" s="1"/>
  <c r="BK41" i="3"/>
  <c r="BJ41" i="3"/>
  <c r="BI41" i="3"/>
  <c r="BH41" i="3"/>
  <c r="BG41" i="3"/>
  <c r="BF41" i="3"/>
  <c r="BE41" i="3"/>
  <c r="BD41" i="3"/>
  <c r="BC41" i="3"/>
  <c r="AX41" i="3"/>
  <c r="AW41" i="3"/>
  <c r="AV41" i="3"/>
  <c r="AC41" i="3"/>
  <c r="BT40" i="3"/>
  <c r="BS40" i="3"/>
  <c r="BR40" i="3"/>
  <c r="BQ40" i="3"/>
  <c r="BP40" i="3"/>
  <c r="BO40" i="3"/>
  <c r="BN40" i="3"/>
  <c r="BM40" i="3"/>
  <c r="BK40" i="3"/>
  <c r="BJ40" i="3"/>
  <c r="BI40" i="3"/>
  <c r="BH40" i="3"/>
  <c r="BG40" i="3"/>
  <c r="BF40" i="3"/>
  <c r="BE40" i="3"/>
  <c r="BD40" i="3"/>
  <c r="BC40" i="3"/>
  <c r="AX40" i="3"/>
  <c r="AW40" i="3"/>
  <c r="AV40" i="3"/>
  <c r="AC40" i="3"/>
  <c r="G40" i="3" s="1"/>
  <c r="BT39" i="3"/>
  <c r="BS39" i="3"/>
  <c r="BR39" i="3"/>
  <c r="BQ39" i="3"/>
  <c r="BP39" i="3"/>
  <c r="BO39" i="3"/>
  <c r="BN39" i="3"/>
  <c r="BM39" i="3"/>
  <c r="BL39" i="3" s="1"/>
  <c r="BK39" i="3"/>
  <c r="BJ39" i="3"/>
  <c r="BI39" i="3"/>
  <c r="BH39" i="3"/>
  <c r="BG39" i="3"/>
  <c r="BF39" i="3"/>
  <c r="BE39" i="3"/>
  <c r="BD39" i="3"/>
  <c r="BC39" i="3"/>
  <c r="AX39" i="3"/>
  <c r="AW39" i="3"/>
  <c r="AV39" i="3"/>
  <c r="AC39" i="3"/>
  <c r="BT38" i="3"/>
  <c r="BS38" i="3"/>
  <c r="BR38" i="3"/>
  <c r="BQ38" i="3"/>
  <c r="BP38" i="3"/>
  <c r="BO38" i="3"/>
  <c r="BN38" i="3"/>
  <c r="BM38" i="3"/>
  <c r="BK38" i="3"/>
  <c r="BJ38" i="3"/>
  <c r="BI38" i="3"/>
  <c r="BH38" i="3"/>
  <c r="BG38" i="3"/>
  <c r="BF38" i="3"/>
  <c r="BE38" i="3"/>
  <c r="BD38" i="3"/>
  <c r="BC38" i="3"/>
  <c r="AX38" i="3"/>
  <c r="AW38" i="3"/>
  <c r="AV38" i="3"/>
  <c r="AC38" i="3"/>
  <c r="G38" i="3" s="1"/>
  <c r="BT37" i="3"/>
  <c r="BS37" i="3"/>
  <c r="BR37" i="3"/>
  <c r="BQ37" i="3"/>
  <c r="BP37" i="3"/>
  <c r="BO37" i="3"/>
  <c r="BN37" i="3"/>
  <c r="BM37" i="3"/>
  <c r="BL37" i="3" s="1"/>
  <c r="BK37" i="3"/>
  <c r="BJ37" i="3"/>
  <c r="BI37" i="3"/>
  <c r="BH37" i="3"/>
  <c r="BG37" i="3"/>
  <c r="BF37" i="3"/>
  <c r="BE37" i="3"/>
  <c r="BD37" i="3"/>
  <c r="BC37" i="3"/>
  <c r="AX37" i="3"/>
  <c r="AW37" i="3"/>
  <c r="AV37" i="3"/>
  <c r="AC37" i="3"/>
  <c r="BT36" i="3"/>
  <c r="BS36" i="3"/>
  <c r="BR36" i="3"/>
  <c r="BQ36" i="3"/>
  <c r="BP36" i="3"/>
  <c r="BO36" i="3"/>
  <c r="BN36" i="3"/>
  <c r="BM36" i="3"/>
  <c r="BK36" i="3"/>
  <c r="BJ36" i="3"/>
  <c r="BI36" i="3"/>
  <c r="BH36" i="3"/>
  <c r="BG36" i="3"/>
  <c r="BF36" i="3"/>
  <c r="BE36" i="3"/>
  <c r="BD36" i="3"/>
  <c r="BC36" i="3"/>
  <c r="AX36" i="3"/>
  <c r="AW36" i="3"/>
  <c r="AV36" i="3"/>
  <c r="AC36" i="3"/>
  <c r="G36" i="3" s="1"/>
  <c r="BT35" i="3"/>
  <c r="BS35" i="3"/>
  <c r="BR35" i="3"/>
  <c r="BQ35" i="3"/>
  <c r="BP35" i="3"/>
  <c r="BO35" i="3"/>
  <c r="BN35" i="3"/>
  <c r="BM35" i="3"/>
  <c r="BL35" i="3" s="1"/>
  <c r="BK35" i="3"/>
  <c r="BJ35" i="3"/>
  <c r="BI35" i="3"/>
  <c r="BH35" i="3"/>
  <c r="BG35" i="3"/>
  <c r="BF35" i="3"/>
  <c r="BE35" i="3"/>
  <c r="BD35" i="3"/>
  <c r="BC35" i="3"/>
  <c r="AX35" i="3"/>
  <c r="AW35" i="3"/>
  <c r="AV35" i="3"/>
  <c r="AC35" i="3"/>
  <c r="BT34" i="3"/>
  <c r="BS34" i="3"/>
  <c r="BR34" i="3"/>
  <c r="BQ34" i="3"/>
  <c r="BP34" i="3"/>
  <c r="BO34" i="3"/>
  <c r="BN34" i="3"/>
  <c r="BM34" i="3"/>
  <c r="BK34" i="3"/>
  <c r="BJ34" i="3"/>
  <c r="BI34" i="3"/>
  <c r="BH34" i="3"/>
  <c r="BG34" i="3"/>
  <c r="BF34" i="3"/>
  <c r="BE34" i="3"/>
  <c r="BD34" i="3"/>
  <c r="BC34" i="3"/>
  <c r="AX34" i="3"/>
  <c r="AW34" i="3"/>
  <c r="AV34" i="3"/>
  <c r="AC34" i="3"/>
  <c r="G34" i="3" s="1"/>
  <c r="BT33" i="3"/>
  <c r="BS33" i="3"/>
  <c r="BR33" i="3"/>
  <c r="BQ33" i="3"/>
  <c r="BP33" i="3"/>
  <c r="BO33" i="3"/>
  <c r="BN33" i="3"/>
  <c r="BM33" i="3"/>
  <c r="BL33" i="3" s="1"/>
  <c r="BK33" i="3"/>
  <c r="BJ33" i="3"/>
  <c r="BI33" i="3"/>
  <c r="BH33" i="3"/>
  <c r="BG33" i="3"/>
  <c r="BF33" i="3"/>
  <c r="BE33" i="3"/>
  <c r="BD33" i="3"/>
  <c r="BC33" i="3"/>
  <c r="AX33" i="3"/>
  <c r="AW33" i="3"/>
  <c r="AV33" i="3"/>
  <c r="AC33" i="3"/>
  <c r="BT32" i="3"/>
  <c r="BS32" i="3"/>
  <c r="BR32" i="3"/>
  <c r="BQ32" i="3"/>
  <c r="BP32" i="3"/>
  <c r="BO32" i="3"/>
  <c r="BN32" i="3"/>
  <c r="BM32" i="3"/>
  <c r="BK32" i="3"/>
  <c r="BJ32" i="3"/>
  <c r="BI32" i="3"/>
  <c r="BH32" i="3"/>
  <c r="BG32" i="3"/>
  <c r="BF32" i="3"/>
  <c r="BE32" i="3"/>
  <c r="BD32" i="3"/>
  <c r="BC32" i="3"/>
  <c r="AX32" i="3"/>
  <c r="AW32" i="3"/>
  <c r="AV32" i="3"/>
  <c r="AC32" i="3"/>
  <c r="G32" i="3" s="1"/>
  <c r="BT31" i="3"/>
  <c r="BS31" i="3"/>
  <c r="BR31" i="3"/>
  <c r="BQ31" i="3"/>
  <c r="BP31" i="3"/>
  <c r="BO31" i="3"/>
  <c r="BN31" i="3"/>
  <c r="BM31" i="3"/>
  <c r="BL31" i="3" s="1"/>
  <c r="BK31" i="3"/>
  <c r="BJ31" i="3"/>
  <c r="BI31" i="3"/>
  <c r="BH31" i="3"/>
  <c r="BG31" i="3"/>
  <c r="BF31" i="3"/>
  <c r="BE31" i="3"/>
  <c r="BD31" i="3"/>
  <c r="BC31" i="3"/>
  <c r="AX31" i="3"/>
  <c r="AW31" i="3"/>
  <c r="AV31" i="3"/>
  <c r="AC31" i="3"/>
  <c r="BT30" i="3"/>
  <c r="BS30" i="3"/>
  <c r="BR30" i="3"/>
  <c r="BQ30" i="3"/>
  <c r="BP30" i="3"/>
  <c r="BO30" i="3"/>
  <c r="BN30" i="3"/>
  <c r="BM30" i="3"/>
  <c r="BK30" i="3"/>
  <c r="BJ30" i="3"/>
  <c r="BI30" i="3"/>
  <c r="BH30" i="3"/>
  <c r="BG30" i="3"/>
  <c r="BF30" i="3"/>
  <c r="BE30" i="3"/>
  <c r="BD30" i="3"/>
  <c r="BC30" i="3"/>
  <c r="AX30" i="3"/>
  <c r="AW30" i="3"/>
  <c r="AV30" i="3"/>
  <c r="AC30" i="3"/>
  <c r="G30" i="3" s="1"/>
  <c r="BT29" i="3"/>
  <c r="BS29" i="3"/>
  <c r="BR29" i="3"/>
  <c r="BQ29" i="3"/>
  <c r="BP29" i="3"/>
  <c r="BO29" i="3"/>
  <c r="BN29" i="3"/>
  <c r="BM29" i="3"/>
  <c r="BL29" i="3" s="1"/>
  <c r="BK29" i="3"/>
  <c r="BJ29" i="3"/>
  <c r="BI29" i="3"/>
  <c r="BH29" i="3"/>
  <c r="BG29" i="3"/>
  <c r="BF29" i="3"/>
  <c r="BE29" i="3"/>
  <c r="BD29" i="3"/>
  <c r="BC29" i="3"/>
  <c r="AX29" i="3"/>
  <c r="AW29" i="3"/>
  <c r="AV29" i="3"/>
  <c r="AC29" i="3"/>
  <c r="BT28" i="3"/>
  <c r="BS28" i="3"/>
  <c r="BR28" i="3"/>
  <c r="BQ28" i="3"/>
  <c r="BP28" i="3"/>
  <c r="BO28" i="3"/>
  <c r="BN28" i="3"/>
  <c r="BM28" i="3"/>
  <c r="BK28" i="3"/>
  <c r="BJ28" i="3"/>
  <c r="BI28" i="3"/>
  <c r="BH28" i="3"/>
  <c r="BG28" i="3"/>
  <c r="BF28" i="3"/>
  <c r="BE28" i="3"/>
  <c r="BD28" i="3"/>
  <c r="BC28" i="3"/>
  <c r="AX28" i="3"/>
  <c r="AW28" i="3"/>
  <c r="AV28" i="3"/>
  <c r="AC28" i="3"/>
  <c r="G28" i="3" s="1"/>
  <c r="BT27" i="3"/>
  <c r="BS27" i="3"/>
  <c r="BR27" i="3"/>
  <c r="BQ27" i="3"/>
  <c r="BP27" i="3"/>
  <c r="BO27" i="3"/>
  <c r="BN27" i="3"/>
  <c r="BM27" i="3"/>
  <c r="BL27" i="3" s="1"/>
  <c r="BK27" i="3"/>
  <c r="BJ27" i="3"/>
  <c r="BI27" i="3"/>
  <c r="BH27" i="3"/>
  <c r="BG27" i="3"/>
  <c r="BF27" i="3"/>
  <c r="BE27" i="3"/>
  <c r="BD27" i="3"/>
  <c r="BC27" i="3"/>
  <c r="AX27" i="3"/>
  <c r="AW27" i="3"/>
  <c r="AV27" i="3"/>
  <c r="AC27" i="3"/>
  <c r="BT26" i="3"/>
  <c r="BS26" i="3"/>
  <c r="BR26" i="3"/>
  <c r="BQ26" i="3"/>
  <c r="BP26" i="3"/>
  <c r="BO26" i="3"/>
  <c r="BN26" i="3"/>
  <c r="BM26" i="3"/>
  <c r="BK26" i="3"/>
  <c r="BJ26" i="3"/>
  <c r="BI26" i="3"/>
  <c r="BH26" i="3"/>
  <c r="BG26" i="3"/>
  <c r="BF26" i="3"/>
  <c r="BE26" i="3"/>
  <c r="BD26" i="3"/>
  <c r="BC26" i="3"/>
  <c r="AX26" i="3"/>
  <c r="AW26" i="3"/>
  <c r="AV26" i="3"/>
  <c r="AC26" i="3"/>
  <c r="G26" i="3" s="1"/>
  <c r="BT25" i="3"/>
  <c r="BS25" i="3"/>
  <c r="BR25" i="3"/>
  <c r="BQ25" i="3"/>
  <c r="BP25" i="3"/>
  <c r="BO25" i="3"/>
  <c r="BN25" i="3"/>
  <c r="BM25" i="3"/>
  <c r="BL25" i="3" s="1"/>
  <c r="BK25" i="3"/>
  <c r="BJ25" i="3"/>
  <c r="BI25" i="3"/>
  <c r="BH25" i="3"/>
  <c r="BG25" i="3"/>
  <c r="BF25" i="3"/>
  <c r="BE25" i="3"/>
  <c r="BD25" i="3"/>
  <c r="BC25" i="3"/>
  <c r="AX25" i="3"/>
  <c r="AW25" i="3"/>
  <c r="AV25" i="3"/>
  <c r="AC25" i="3"/>
  <c r="BT24" i="3"/>
  <c r="BS24" i="3"/>
  <c r="BR24" i="3"/>
  <c r="BQ24" i="3"/>
  <c r="BP24" i="3"/>
  <c r="BO24" i="3"/>
  <c r="BN24" i="3"/>
  <c r="BM24" i="3"/>
  <c r="BK24" i="3"/>
  <c r="BJ24" i="3"/>
  <c r="BI24" i="3"/>
  <c r="BH24" i="3"/>
  <c r="BG24" i="3"/>
  <c r="BF24" i="3"/>
  <c r="BE24" i="3"/>
  <c r="BD24" i="3"/>
  <c r="BC24" i="3"/>
  <c r="AX24" i="3"/>
  <c r="AW24" i="3"/>
  <c r="AV24" i="3"/>
  <c r="AC24" i="3"/>
  <c r="G24" i="3" s="1"/>
  <c r="BT23" i="3"/>
  <c r="BS23" i="3"/>
  <c r="BR23" i="3"/>
  <c r="BQ23" i="3"/>
  <c r="BP23" i="3"/>
  <c r="BO23" i="3"/>
  <c r="BN23" i="3"/>
  <c r="BM23" i="3"/>
  <c r="BL23" i="3" s="1"/>
  <c r="BK23" i="3"/>
  <c r="BJ23" i="3"/>
  <c r="BI23" i="3"/>
  <c r="BH23" i="3"/>
  <c r="BG23" i="3"/>
  <c r="BF23" i="3"/>
  <c r="BE23" i="3"/>
  <c r="BD23" i="3"/>
  <c r="BC23" i="3"/>
  <c r="AX23" i="3"/>
  <c r="AW23" i="3"/>
  <c r="AV23" i="3"/>
  <c r="AC23" i="3"/>
  <c r="BT22" i="3"/>
  <c r="BS22" i="3"/>
  <c r="BR22" i="3"/>
  <c r="BQ22" i="3"/>
  <c r="BP22" i="3"/>
  <c r="BO22" i="3"/>
  <c r="BN22" i="3"/>
  <c r="BM22" i="3"/>
  <c r="BK22" i="3"/>
  <c r="BJ22" i="3"/>
  <c r="BI22" i="3"/>
  <c r="BH22" i="3"/>
  <c r="BG22" i="3"/>
  <c r="BF22" i="3"/>
  <c r="BE22" i="3"/>
  <c r="BD22" i="3"/>
  <c r="BC22" i="3"/>
  <c r="AX22" i="3"/>
  <c r="AW22" i="3"/>
  <c r="AV22" i="3"/>
  <c r="AC22" i="3"/>
  <c r="G22" i="3" s="1"/>
  <c r="BT21" i="3"/>
  <c r="BS21" i="3"/>
  <c r="BR21" i="3"/>
  <c r="BQ21" i="3"/>
  <c r="BP21" i="3"/>
  <c r="BO21" i="3"/>
  <c r="BN21" i="3"/>
  <c r="BM21" i="3"/>
  <c r="BL21" i="3" s="1"/>
  <c r="BK21" i="3"/>
  <c r="BJ21" i="3"/>
  <c r="BI21" i="3"/>
  <c r="BH21" i="3"/>
  <c r="BG21" i="3"/>
  <c r="BF21" i="3"/>
  <c r="BE21" i="3"/>
  <c r="BD21" i="3"/>
  <c r="BC21" i="3"/>
  <c r="AX21" i="3"/>
  <c r="AW21" i="3"/>
  <c r="AV21" i="3"/>
  <c r="AC21" i="3"/>
  <c r="BT20" i="3"/>
  <c r="BS20" i="3"/>
  <c r="BR20" i="3"/>
  <c r="BQ20" i="3"/>
  <c r="BP20" i="3"/>
  <c r="BO20" i="3"/>
  <c r="BN20" i="3"/>
  <c r="BM20" i="3"/>
  <c r="BK20" i="3"/>
  <c r="BJ20" i="3"/>
  <c r="BI20" i="3"/>
  <c r="BH20" i="3"/>
  <c r="BG20" i="3"/>
  <c r="BF20" i="3"/>
  <c r="BE20" i="3"/>
  <c r="BD20" i="3"/>
  <c r="BC20" i="3"/>
  <c r="AX20" i="3"/>
  <c r="AW20" i="3"/>
  <c r="AV20" i="3"/>
  <c r="AC20" i="3"/>
  <c r="G20" i="3" s="1"/>
  <c r="BT19" i="3"/>
  <c r="BS19" i="3"/>
  <c r="BR19" i="3"/>
  <c r="BQ19" i="3"/>
  <c r="BP19" i="3"/>
  <c r="BO19" i="3"/>
  <c r="BN19" i="3"/>
  <c r="BM19" i="3"/>
  <c r="BL19" i="3" s="1"/>
  <c r="BK19" i="3"/>
  <c r="BJ19" i="3"/>
  <c r="BI19" i="3"/>
  <c r="BH19" i="3"/>
  <c r="BG19" i="3"/>
  <c r="BF19" i="3"/>
  <c r="BE19" i="3"/>
  <c r="BD19" i="3"/>
  <c r="BC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C55" i="31"/>
  <c r="C56" i="31"/>
  <c r="C57" i="31"/>
  <c r="Q25"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0" i="52"/>
  <c r="B55" i="72"/>
  <c r="K4" i="9"/>
  <c r="L22" i="4"/>
  <c r="A5" i="62"/>
  <c r="B72" i="72" s="1"/>
  <c r="A4" i="62"/>
  <c r="B70" i="72" s="1"/>
  <c r="F33" i="9"/>
  <c r="B37" i="48"/>
  <c r="B2" i="72" s="1"/>
  <c r="B13" i="53"/>
  <c r="B29" i="72" s="1"/>
  <c r="R35" i="4"/>
  <c r="Q35" i="4"/>
  <c r="P35" i="4"/>
  <c r="O35" i="4"/>
  <c r="N35" i="4"/>
  <c r="M35" i="4"/>
  <c r="L35" i="4"/>
  <c r="K34" i="4"/>
  <c r="T34" i="4"/>
  <c r="G13" i="1"/>
  <c r="G11" i="1"/>
  <c r="I15" i="4"/>
  <c r="H15" i="4"/>
  <c r="G15" i="4"/>
  <c r="E15" i="4"/>
  <c r="D15" i="4"/>
  <c r="G41" i="43" s="1"/>
  <c r="F7" i="1"/>
  <c r="G7" i="1" s="1"/>
  <c r="F19" i="4"/>
  <c r="F2" i="52"/>
  <c r="B50" i="72"/>
  <c r="D2" i="52"/>
  <c r="B46" i="72"/>
  <c r="B8" i="53"/>
  <c r="B23" i="72"/>
  <c r="L4" i="9"/>
  <c r="B17"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61" i="15"/>
  <c r="M19" i="15"/>
  <c r="O10" i="1"/>
  <c r="B22" i="1"/>
  <c r="B23" i="1"/>
  <c r="B24" i="1"/>
  <c r="B43" i="1"/>
  <c r="BQ14" i="3"/>
  <c r="BQ15" i="3"/>
  <c r="BQ16" i="3"/>
  <c r="BQ17" i="3"/>
  <c r="BS14" i="3"/>
  <c r="BS15" i="3"/>
  <c r="BS16" i="3"/>
  <c r="BS17" i="3"/>
  <c r="BR14" i="3"/>
  <c r="BR15" i="3"/>
  <c r="BR16" i="3"/>
  <c r="BR17" i="3"/>
  <c r="BT14" i="3"/>
  <c r="BT15" i="3"/>
  <c r="BT16" i="3"/>
  <c r="BT17" i="3"/>
  <c r="BM14" i="3"/>
  <c r="BM15" i="3"/>
  <c r="BM16" i="3"/>
  <c r="BL16" i="3" s="1"/>
  <c r="BM17" i="3"/>
  <c r="BO14" i="3"/>
  <c r="BO15" i="3"/>
  <c r="BO16" i="3"/>
  <c r="BO17" i="3"/>
  <c r="BN14" i="3"/>
  <c r="BN15" i="3"/>
  <c r="BN16" i="3"/>
  <c r="BN17" i="3"/>
  <c r="BP14" i="3"/>
  <c r="BP15" i="3"/>
  <c r="BP16" i="3"/>
  <c r="BP17" i="3"/>
  <c r="E21" i="6"/>
  <c r="K8" i="1"/>
  <c r="M8" i="1" s="1"/>
  <c r="F23" i="15"/>
  <c r="D24" i="15" s="1"/>
  <c r="O8" i="1"/>
  <c r="P8" i="1"/>
  <c r="M13" i="1"/>
  <c r="O13" i="1"/>
  <c r="P13" i="1"/>
  <c r="E22" i="6"/>
  <c r="E23" i="6"/>
  <c r="E24" i="6"/>
  <c r="E25" i="6"/>
  <c r="E26" i="6"/>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AC13" i="3"/>
  <c r="AC14" i="3"/>
  <c r="G14" i="3" s="1"/>
  <c r="AC15" i="3"/>
  <c r="AC16" i="3"/>
  <c r="G16"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F5" i="3" s="1"/>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A571" i="3" s="1"/>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F42" i="34"/>
  <c r="W38" i="34"/>
  <c r="D114" i="34"/>
  <c r="S38" i="34"/>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c r="J100" i="40" s="1"/>
  <c r="K100" i="40" s="1"/>
  <c r="L100" i="40" s="1"/>
  <c r="M100" i="40" s="1"/>
  <c r="D98" i="40"/>
  <c r="J28" i="40"/>
  <c r="D96" i="40"/>
  <c r="E96" i="40" s="1"/>
  <c r="F96" i="40"/>
  <c r="G96" i="40" s="1"/>
  <c r="H96" i="40" s="1"/>
  <c r="I96" i="40" s="1"/>
  <c r="J96" i="40"/>
  <c r="K96" i="40" s="1"/>
  <c r="L96" i="40" s="1"/>
  <c r="M96" i="40" s="1"/>
  <c r="B95" i="40"/>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D109" i="39"/>
  <c r="F34" i="39"/>
  <c r="AA34" i="39"/>
  <c r="D107" i="39"/>
  <c r="E107" i="39"/>
  <c r="D105" i="39"/>
  <c r="E105" i="39"/>
  <c r="F105" i="39" s="1"/>
  <c r="G105" i="39"/>
  <c r="H105" i="39" s="1"/>
  <c r="I105" i="39" s="1"/>
  <c r="J105" i="39" s="1"/>
  <c r="K105" i="39"/>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c r="AC39" i="37" s="1"/>
  <c r="B108" i="37"/>
  <c r="J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F35" i="35" s="1"/>
  <c r="B97" i="35"/>
  <c r="B77" i="35"/>
  <c r="J25" i="35" s="1"/>
  <c r="B75" i="35"/>
  <c r="J24" i="35"/>
  <c r="B73" i="35"/>
  <c r="B57" i="35"/>
  <c r="B61" i="35"/>
  <c r="J13" i="35" s="1"/>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c r="I56" i="35" s="1"/>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G67" i="34"/>
  <c r="D126" i="34"/>
  <c r="E126" i="34"/>
  <c r="F126" i="34" s="1"/>
  <c r="G126" i="34"/>
  <c r="F124" i="34"/>
  <c r="G124" i="34"/>
  <c r="H124" i="34" s="1"/>
  <c r="I124" i="34" s="1"/>
  <c r="J124" i="34" s="1"/>
  <c r="K124" i="34" s="1"/>
  <c r="L124" i="34" s="1"/>
  <c r="M124" i="34" s="1"/>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D92" i="34"/>
  <c r="E92" i="34"/>
  <c r="F92" i="34" s="1"/>
  <c r="G92" i="34" s="1"/>
  <c r="H92" i="34" s="1"/>
  <c r="I92" i="34" s="1"/>
  <c r="J92" i="34" s="1"/>
  <c r="K92" i="34" s="1"/>
  <c r="L92" i="34" s="1"/>
  <c r="M92" i="34" s="1"/>
  <c r="B91" i="34"/>
  <c r="F28" i="34" s="1"/>
  <c r="AA28" i="34" s="1"/>
  <c r="B89" i="34"/>
  <c r="D88" i="34"/>
  <c r="E88" i="34"/>
  <c r="D86" i="34"/>
  <c r="F23" i="34" s="1"/>
  <c r="AA23" i="34" s="1"/>
  <c r="E86" i="34"/>
  <c r="F86" i="34" s="1"/>
  <c r="G86" i="34" s="1"/>
  <c r="D82" i="34"/>
  <c r="F19" i="34" s="1"/>
  <c r="AA19" i="34" s="1"/>
  <c r="E82" i="34"/>
  <c r="F82" i="34" s="1"/>
  <c r="G82" i="34"/>
  <c r="D80" i="34"/>
  <c r="F17" i="34" s="1"/>
  <c r="AA17" i="34" s="1"/>
  <c r="E80" i="34"/>
  <c r="F80" i="34" s="1"/>
  <c r="G80" i="34" s="1"/>
  <c r="D78" i="34"/>
  <c r="E78" i="34"/>
  <c r="F78" i="34" s="1"/>
  <c r="G78" i="34"/>
  <c r="D70" i="34"/>
  <c r="E70" i="34"/>
  <c r="M68" i="34"/>
  <c r="L68" i="34"/>
  <c r="K68" i="34"/>
  <c r="J68" i="34"/>
  <c r="I68" i="34"/>
  <c r="H68" i="34"/>
  <c r="G68" i="34"/>
  <c r="F68" i="34"/>
  <c r="E68" i="34"/>
  <c r="D68" i="34"/>
  <c r="C68" i="34"/>
  <c r="C64" i="34"/>
  <c r="H9" i="34" s="1"/>
  <c r="U9" i="34" s="1"/>
  <c r="P50" i="34"/>
  <c r="P49"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Q9" i="34"/>
  <c r="Z9" i="34" s="1"/>
  <c r="J9" i="34"/>
  <c r="AC9" i="34" s="1"/>
  <c r="J8" i="34"/>
  <c r="AC8" i="34"/>
  <c r="H8" i="34"/>
  <c r="U8" i="34"/>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B92" i="33"/>
  <c r="B90" i="33"/>
  <c r="D87" i="33"/>
  <c r="E87" i="33"/>
  <c r="F87" i="33" s="1"/>
  <c r="D85" i="33"/>
  <c r="E85" i="33"/>
  <c r="F85" i="33" s="1"/>
  <c r="G85" i="33" s="1"/>
  <c r="D81" i="33"/>
  <c r="E81" i="33"/>
  <c r="F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9" i="33"/>
  <c r="H9" i="33"/>
  <c r="F9" i="33"/>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H42" i="21" s="1"/>
  <c r="E123" i="21"/>
  <c r="F123" i="21" s="1"/>
  <c r="G123" i="21" s="1"/>
  <c r="H123" i="21" s="1"/>
  <c r="I123" i="21" s="1"/>
  <c r="J123" i="21" s="1"/>
  <c r="K123" i="21" s="1"/>
  <c r="L123" i="21" s="1"/>
  <c r="M123" i="21" s="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F35" i="21" s="1"/>
  <c r="AA35" i="21" s="1"/>
  <c r="E108" i="21"/>
  <c r="F108" i="21" s="1"/>
  <c r="G108" i="21" s="1"/>
  <c r="H108" i="21" s="1"/>
  <c r="I108" i="21" s="1"/>
  <c r="J108" i="21" s="1"/>
  <c r="K108" i="21" s="1"/>
  <c r="L108" i="21" s="1"/>
  <c r="M108" i="21" s="1"/>
  <c r="D106" i="21"/>
  <c r="F34" i="21" s="1"/>
  <c r="AA34" i="21" s="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D66" i="21"/>
  <c r="D111" i="21"/>
  <c r="E111" i="21"/>
  <c r="F111" i="21"/>
  <c r="C111" i="21"/>
  <c r="D79" i="21"/>
  <c r="E79" i="21" s="1"/>
  <c r="F79" i="21" s="1"/>
  <c r="G79" i="21" s="1"/>
  <c r="D85" i="21"/>
  <c r="E85" i="21" s="1"/>
  <c r="F85" i="21" s="1"/>
  <c r="F19" i="21"/>
  <c r="AA19" i="21"/>
  <c r="E81" i="21"/>
  <c r="F81" i="21"/>
  <c r="G81" i="21" s="1"/>
  <c r="D77" i="21"/>
  <c r="B130" i="21"/>
  <c r="B128" i="21"/>
  <c r="J45" i="21"/>
  <c r="W45" i="21" s="1"/>
  <c r="B126" i="21"/>
  <c r="B98" i="21"/>
  <c r="H31" i="21"/>
  <c r="U31" i="21" s="1"/>
  <c r="B96" i="21"/>
  <c r="B94" i="21"/>
  <c r="B92" i="21"/>
  <c r="B74" i="21"/>
  <c r="B72" i="21"/>
  <c r="B70" i="21"/>
  <c r="F12" i="21" s="1"/>
  <c r="AA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W38" i="21"/>
  <c r="Q38" i="21"/>
  <c r="Z38" i="21"/>
  <c r="Q39" i="21"/>
  <c r="Z39" i="21"/>
  <c r="H40" i="21"/>
  <c r="AB40" i="21"/>
  <c r="Q40" i="21"/>
  <c r="Z40" i="21"/>
  <c r="Q41" i="21"/>
  <c r="Z41" i="21"/>
  <c r="Q42" i="21"/>
  <c r="Z42" i="21"/>
  <c r="Q43" i="21"/>
  <c r="Z43" i="21"/>
  <c r="Q44" i="21"/>
  <c r="Z44" i="21"/>
  <c r="Q45" i="21"/>
  <c r="Z45" i="21"/>
  <c r="Q46" i="21"/>
  <c r="Z46" i="21"/>
  <c r="P47" i="21"/>
  <c r="P48" i="21"/>
  <c r="P49" i="21"/>
  <c r="F8" i="21"/>
  <c r="E10" i="11"/>
  <c r="E9" i="11"/>
  <c r="C7" i="12"/>
  <c r="BB12" i="3"/>
  <c r="F7" i="12"/>
  <c r="D7" i="12"/>
  <c r="E7" i="12"/>
  <c r="G7" i="12"/>
  <c r="K5" i="3"/>
  <c r="G3" i="43"/>
  <c r="M101" i="43" s="1"/>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U38" i="21"/>
  <c r="S38" i="21"/>
  <c r="S36" i="21"/>
  <c r="J40" i="21"/>
  <c r="W40" i="21" s="1"/>
  <c r="H35" i="21"/>
  <c r="AB35" i="21" s="1"/>
  <c r="J8" i="21"/>
  <c r="H8" i="21"/>
  <c r="U8" i="21" s="1"/>
  <c r="H10" i="21"/>
  <c r="AB10" i="21" s="1"/>
  <c r="U39" i="21"/>
  <c r="J34" i="21"/>
  <c r="W34" i="21"/>
  <c r="H36" i="21"/>
  <c r="U36" i="21"/>
  <c r="AB19" i="21"/>
  <c r="J19" i="21"/>
  <c r="W19" i="21" s="1"/>
  <c r="J12" i="21"/>
  <c r="AC12" i="21" s="1"/>
  <c r="H12" i="21"/>
  <c r="AB41" i="21"/>
  <c r="S41" i="21"/>
  <c r="AA41" i="21"/>
  <c r="F45" i="39"/>
  <c r="S45" i="39"/>
  <c r="J45" i="39"/>
  <c r="W45" i="39"/>
  <c r="F36" i="39"/>
  <c r="S36" i="39"/>
  <c r="H36" i="39"/>
  <c r="AB36" i="39"/>
  <c r="J36" i="39"/>
  <c r="AC36" i="39"/>
  <c r="U9" i="39"/>
  <c r="W40" i="39"/>
  <c r="U30" i="37"/>
  <c r="F39" i="37"/>
  <c r="S39" i="37"/>
  <c r="F29" i="36"/>
  <c r="W8" i="36"/>
  <c r="F16" i="36"/>
  <c r="AA16" i="36"/>
  <c r="U9" i="36"/>
  <c r="W28" i="36"/>
  <c r="AA31" i="36"/>
  <c r="AC31" i="36"/>
  <c r="W31" i="36"/>
  <c r="J33" i="36"/>
  <c r="H22" i="35"/>
  <c r="AC27" i="35"/>
  <c r="W28" i="35"/>
  <c r="U31" i="35"/>
  <c r="W34" i="35"/>
  <c r="W22" i="35"/>
  <c r="S31" i="35"/>
  <c r="U34" i="35"/>
  <c r="J35" i="34"/>
  <c r="H39" i="33"/>
  <c r="AB39" i="33"/>
  <c r="U33" i="33"/>
  <c r="W39" i="33"/>
  <c r="H39" i="37"/>
  <c r="AB39" i="37"/>
  <c r="S27" i="35"/>
  <c r="F11" i="40"/>
  <c r="AA11" i="40" s="1"/>
  <c r="H11" i="40"/>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F27" i="39"/>
  <c r="S27" i="39" s="1"/>
  <c r="S34" i="21"/>
  <c r="C25" i="39"/>
  <c r="C27" i="39"/>
  <c r="C21" i="39"/>
  <c r="H11" i="39"/>
  <c r="U11" i="39" s="1"/>
  <c r="C15" i="39"/>
  <c r="H32" i="33"/>
  <c r="AB32" i="33"/>
  <c r="H37" i="40"/>
  <c r="U37" i="40"/>
  <c r="H36" i="40"/>
  <c r="AB36" i="40"/>
  <c r="F35" i="40"/>
  <c r="AA35" i="40"/>
  <c r="H23" i="40"/>
  <c r="AB23" i="40"/>
  <c r="H17" i="40"/>
  <c r="U17" i="40"/>
  <c r="J15" i="40"/>
  <c r="W15" i="40"/>
  <c r="J11" i="40"/>
  <c r="W11" i="40"/>
  <c r="AC12" i="34"/>
  <c r="AA12" i="34"/>
  <c r="AB12" i="35"/>
  <c r="S44" i="39"/>
  <c r="J34" i="36"/>
  <c r="W34" i="36"/>
  <c r="U30" i="36"/>
  <c r="J30" i="35"/>
  <c r="H30" i="35"/>
  <c r="AB30" i="35" s="1"/>
  <c r="F22" i="35"/>
  <c r="AA22" i="35" s="1"/>
  <c r="H10" i="35"/>
  <c r="U10" i="35" s="1"/>
  <c r="AC16" i="36"/>
  <c r="F33" i="36"/>
  <c r="AA33" i="36"/>
  <c r="H16" i="36"/>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H16" i="35"/>
  <c r="U16" i="35" s="1"/>
  <c r="F16" i="35"/>
  <c r="S16" i="35" s="1"/>
  <c r="H14" i="35"/>
  <c r="J29" i="35"/>
  <c r="AC29" i="35" s="1"/>
  <c r="H33" i="35"/>
  <c r="AB33" i="35"/>
  <c r="AC8" i="35"/>
  <c r="J20" i="35"/>
  <c r="F35" i="37"/>
  <c r="E101" i="37"/>
  <c r="F101" i="37" s="1"/>
  <c r="G101" i="37" s="1"/>
  <c r="H101" i="37" s="1"/>
  <c r="I101" i="37" s="1"/>
  <c r="J101" i="37" s="1"/>
  <c r="K101" i="37" s="1"/>
  <c r="L101" i="37" s="1"/>
  <c r="M101" i="37" s="1"/>
  <c r="J34" i="37"/>
  <c r="W34" i="37"/>
  <c r="S10" i="37"/>
  <c r="AA39" i="37"/>
  <c r="J33" i="37"/>
  <c r="U42" i="34"/>
  <c r="E114" i="34"/>
  <c r="F114" i="34" s="1"/>
  <c r="U36" i="34"/>
  <c r="H23" i="34"/>
  <c r="U23" i="34" s="1"/>
  <c r="J23" i="34"/>
  <c r="H17" i="34"/>
  <c r="U17" i="34" s="1"/>
  <c r="W8" i="34"/>
  <c r="J28" i="34"/>
  <c r="F41" i="33"/>
  <c r="AA41" i="33" s="1"/>
  <c r="S38" i="33"/>
  <c r="F32" i="33"/>
  <c r="J19" i="33"/>
  <c r="AC19" i="33" s="1"/>
  <c r="J15" i="33"/>
  <c r="AC15" i="33" s="1"/>
  <c r="F11" i="33"/>
  <c r="U40" i="33"/>
  <c r="W40" i="33"/>
  <c r="S8" i="33"/>
  <c r="F37" i="40"/>
  <c r="AA37" i="40"/>
  <c r="F36" i="40"/>
  <c r="AA36" i="40"/>
  <c r="H28" i="40"/>
  <c r="U28" i="40"/>
  <c r="F23" i="40"/>
  <c r="AA23" i="40"/>
  <c r="F17" i="40"/>
  <c r="AA17" i="40"/>
  <c r="J17" i="40"/>
  <c r="W17" i="40"/>
  <c r="F15" i="40"/>
  <c r="S15" i="40"/>
  <c r="H15" i="40"/>
  <c r="AB15" i="40"/>
  <c r="AC11" i="40"/>
  <c r="AB30" i="36"/>
  <c r="AC34" i="36"/>
  <c r="U30" i="35"/>
  <c r="U33" i="35"/>
  <c r="F29" i="35"/>
  <c r="H29" i="35"/>
  <c r="H33" i="37"/>
  <c r="F33" i="37"/>
  <c r="AA33" i="37" s="1"/>
  <c r="S34" i="37"/>
  <c r="AB42" i="34"/>
  <c r="G114" i="34"/>
  <c r="H114" i="34" s="1"/>
  <c r="I114" i="34" s="1"/>
  <c r="J114" i="34" s="1"/>
  <c r="K114" i="34" s="1"/>
  <c r="L114" i="34" s="1"/>
  <c r="M114" i="34" s="1"/>
  <c r="W36" i="34"/>
  <c r="J19" i="34"/>
  <c r="AC19" i="34" s="1"/>
  <c r="J17" i="34"/>
  <c r="W17" i="34" s="1"/>
  <c r="S41" i="33"/>
  <c r="H37" i="33"/>
  <c r="AB37" i="33"/>
  <c r="H15" i="33"/>
  <c r="AB15" i="33"/>
  <c r="H11" i="33"/>
  <c r="AB11" i="33"/>
  <c r="F28" i="40"/>
  <c r="AA28" i="40"/>
  <c r="AA42" i="34"/>
  <c r="S42" i="34"/>
  <c r="J11" i="33"/>
  <c r="W11" i="33" s="1"/>
  <c r="S28" i="34"/>
  <c r="U23" i="40"/>
  <c r="J10" i="35"/>
  <c r="W10" i="35" s="1"/>
  <c r="BL587" i="3"/>
  <c r="J14" i="21"/>
  <c r="W14" i="21"/>
  <c r="F14" i="21"/>
  <c r="S14" i="21"/>
  <c r="H14" i="21"/>
  <c r="U14" i="21"/>
  <c r="H28" i="21"/>
  <c r="AB28" i="21"/>
  <c r="F28" i="21"/>
  <c r="AA28" i="21"/>
  <c r="J28" i="21"/>
  <c r="W28" i="21"/>
  <c r="H30" i="21"/>
  <c r="U30" i="21"/>
  <c r="F30" i="21"/>
  <c r="S30" i="21"/>
  <c r="J30" i="21"/>
  <c r="AC30" i="21"/>
  <c r="E119" i="21"/>
  <c r="F119" i="21"/>
  <c r="G119" i="21" s="1"/>
  <c r="H119" i="21"/>
  <c r="I119" i="21" s="1"/>
  <c r="J119" i="21" s="1"/>
  <c r="K119" i="21" s="1"/>
  <c r="L119" i="21" s="1"/>
  <c r="M119" i="21" s="1"/>
  <c r="H26" i="33"/>
  <c r="U26" i="33" s="1"/>
  <c r="H28" i="33"/>
  <c r="F28" i="33"/>
  <c r="AA28" i="33" s="1"/>
  <c r="J28" i="33"/>
  <c r="F33" i="35"/>
  <c r="S33" i="35" s="1"/>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J13" i="33"/>
  <c r="H13" i="33"/>
  <c r="F13" i="33"/>
  <c r="J29" i="33"/>
  <c r="AC29" i="33" s="1"/>
  <c r="H29" i="33"/>
  <c r="F29" i="33"/>
  <c r="S29" i="33" s="1"/>
  <c r="J31" i="33"/>
  <c r="W31" i="33" s="1"/>
  <c r="H31" i="33"/>
  <c r="U31" i="33" s="1"/>
  <c r="F31" i="33"/>
  <c r="H45" i="33"/>
  <c r="J45" i="33"/>
  <c r="F45" i="33"/>
  <c r="AA45" i="33" s="1"/>
  <c r="J14" i="34"/>
  <c r="F14" i="34"/>
  <c r="H14" i="34"/>
  <c r="AB14" i="34" s="1"/>
  <c r="H30" i="34"/>
  <c r="F30" i="34"/>
  <c r="S30" i="34" s="1"/>
  <c r="J30" i="34"/>
  <c r="W30" i="34" s="1"/>
  <c r="H32" i="34"/>
  <c r="AB32" i="34" s="1"/>
  <c r="F32" i="34"/>
  <c r="J32" i="34"/>
  <c r="W32" i="34" s="1"/>
  <c r="H46" i="34"/>
  <c r="F46" i="34"/>
  <c r="AA46" i="34" s="1"/>
  <c r="J46" i="34"/>
  <c r="H11" i="35"/>
  <c r="J11" i="35"/>
  <c r="AC11" i="35" s="1"/>
  <c r="F11" i="35"/>
  <c r="J26" i="36"/>
  <c r="W26" i="36" s="1"/>
  <c r="H28" i="36"/>
  <c r="H32" i="36"/>
  <c r="J32" i="36"/>
  <c r="W32" i="36" s="1"/>
  <c r="J11" i="36"/>
  <c r="H11" i="36"/>
  <c r="U11" i="36" s="1"/>
  <c r="F11" i="36"/>
  <c r="AA11" i="36" s="1"/>
  <c r="H13" i="36"/>
  <c r="J13" i="36"/>
  <c r="W13" i="36" s="1"/>
  <c r="F13" i="36"/>
  <c r="S13" i="36"/>
  <c r="E89" i="37"/>
  <c r="F89" i="37"/>
  <c r="G89" i="37" s="1"/>
  <c r="H89" i="37"/>
  <c r="I89" i="37" s="1"/>
  <c r="J89" i="37" s="1"/>
  <c r="K89" i="37" s="1"/>
  <c r="L89" i="37" s="1"/>
  <c r="M89" i="37" s="1"/>
  <c r="J29" i="37"/>
  <c r="W29" i="37" s="1"/>
  <c r="F29" i="37"/>
  <c r="S29" i="37" s="1"/>
  <c r="F105" i="37"/>
  <c r="G105" i="37" s="1"/>
  <c r="H36" i="37"/>
  <c r="AB36" i="37"/>
  <c r="J37" i="37"/>
  <c r="H37" i="37"/>
  <c r="H40" i="37"/>
  <c r="J40" i="37"/>
  <c r="AC40" i="37" s="1"/>
  <c r="F40" i="37"/>
  <c r="AC12" i="40"/>
  <c r="H14" i="33"/>
  <c r="J14" i="33"/>
  <c r="W14" i="33" s="1"/>
  <c r="J30" i="33"/>
  <c r="W30" i="33" s="1"/>
  <c r="F44" i="33"/>
  <c r="S44" i="33" s="1"/>
  <c r="F46" i="33"/>
  <c r="AA46" i="33" s="1"/>
  <c r="H13" i="34"/>
  <c r="F13" i="34"/>
  <c r="F13" i="35"/>
  <c r="H13" i="35"/>
  <c r="U13" i="35" s="1"/>
  <c r="F25" i="35"/>
  <c r="J35" i="35"/>
  <c r="H35" i="35"/>
  <c r="AB35" i="35" s="1"/>
  <c r="J25" i="36"/>
  <c r="F25" i="36"/>
  <c r="S25" i="36" s="1"/>
  <c r="H25" i="36"/>
  <c r="AB25" i="36" s="1"/>
  <c r="H13" i="37"/>
  <c r="AB13" i="37" s="1"/>
  <c r="F13" i="37"/>
  <c r="J13" i="37"/>
  <c r="J28" i="37"/>
  <c r="H38" i="37"/>
  <c r="AB38" i="37" s="1"/>
  <c r="F38" i="37"/>
  <c r="S38" i="37" s="1"/>
  <c r="F43" i="39"/>
  <c r="H43" i="39"/>
  <c r="AB43" i="39" s="1"/>
  <c r="J14" i="39"/>
  <c r="AC14" i="39"/>
  <c r="F14" i="39"/>
  <c r="H14" i="39"/>
  <c r="F12" i="40"/>
  <c r="S12" i="40" s="1"/>
  <c r="H12" i="40"/>
  <c r="H30" i="40"/>
  <c r="AB30" i="40" s="1"/>
  <c r="F33" i="40"/>
  <c r="H33" i="40"/>
  <c r="U33" i="40" s="1"/>
  <c r="J35" i="40"/>
  <c r="AC35" i="40" s="1"/>
  <c r="J37" i="40"/>
  <c r="AC37" i="40" s="1"/>
  <c r="H13" i="40"/>
  <c r="J13" i="40"/>
  <c r="F13" i="40"/>
  <c r="AA13" i="40" s="1"/>
  <c r="F14" i="37"/>
  <c r="S14" i="37" s="1"/>
  <c r="F27" i="37"/>
  <c r="F13" i="39"/>
  <c r="S13" i="39" s="1"/>
  <c r="H14" i="40"/>
  <c r="J14" i="40"/>
  <c r="F14" i="40"/>
  <c r="AA14" i="40" s="1"/>
  <c r="J14" i="37"/>
  <c r="J27" i="37"/>
  <c r="AA44" i="33"/>
  <c r="J36" i="37"/>
  <c r="AC36" i="37"/>
  <c r="J10" i="36"/>
  <c r="AC10" i="36" s="1"/>
  <c r="AB26" i="33"/>
  <c r="AB30" i="21"/>
  <c r="AA14" i="37"/>
  <c r="AC13" i="36"/>
  <c r="S11" i="36"/>
  <c r="W11" i="35"/>
  <c r="AC30" i="34"/>
  <c r="S45" i="33"/>
  <c r="AB31" i="33"/>
  <c r="W29" i="33"/>
  <c r="AC28" i="21"/>
  <c r="BA586" i="3"/>
  <c r="F17" i="21"/>
  <c r="AA17" i="21" s="1"/>
  <c r="H17" i="21"/>
  <c r="AB17" i="21" s="1"/>
  <c r="F15" i="21"/>
  <c r="J41" i="39"/>
  <c r="W41" i="39"/>
  <c r="AC45" i="39"/>
  <c r="W36" i="39"/>
  <c r="U36" i="39"/>
  <c r="G540" i="3"/>
  <c r="G536" i="3"/>
  <c r="G535" i="3"/>
  <c r="G532" i="3"/>
  <c r="G531" i="3"/>
  <c r="G528" i="3"/>
  <c r="G527" i="3"/>
  <c r="G523" i="3"/>
  <c r="G518" i="3"/>
  <c r="G514" i="3"/>
  <c r="G510" i="3"/>
  <c r="G508" i="3"/>
  <c r="G504" i="3"/>
  <c r="G500" i="3"/>
  <c r="G496" i="3"/>
  <c r="G580" i="3"/>
  <c r="G576" i="3"/>
  <c r="G572" i="3"/>
  <c r="G564" i="3"/>
  <c r="G560" i="3"/>
  <c r="G550" i="3"/>
  <c r="BL580" i="3"/>
  <c r="BL576" i="3"/>
  <c r="BL568" i="3"/>
  <c r="BL564" i="3"/>
  <c r="BL560" i="3"/>
  <c r="BL538" i="3"/>
  <c r="BL534" i="3"/>
  <c r="BL530" i="3"/>
  <c r="BL526" i="3"/>
  <c r="BL522" i="3"/>
  <c r="BL516" i="3"/>
  <c r="BL512" i="3"/>
  <c r="AZ512" i="3" s="1"/>
  <c r="BL506" i="3"/>
  <c r="BL502" i="3"/>
  <c r="AZ502" i="3" s="1"/>
  <c r="BL498" i="3"/>
  <c r="BL494" i="3"/>
  <c r="BL578" i="3"/>
  <c r="BL574" i="3"/>
  <c r="BL562" i="3"/>
  <c r="BL540" i="3"/>
  <c r="BL536" i="3"/>
  <c r="G533" i="3"/>
  <c r="BL532" i="3"/>
  <c r="G529" i="3"/>
  <c r="BL528" i="3"/>
  <c r="G525" i="3"/>
  <c r="BL524" i="3"/>
  <c r="BL518" i="3"/>
  <c r="BL514" i="3"/>
  <c r="BL510" i="3"/>
  <c r="AZ510" i="3" s="1"/>
  <c r="BL504" i="3"/>
  <c r="BL500" i="3"/>
  <c r="BL496" i="3"/>
  <c r="G493" i="3"/>
  <c r="BA580" i="3"/>
  <c r="AZ580" i="3" s="1"/>
  <c r="BA578" i="3"/>
  <c r="AZ578" i="3" s="1"/>
  <c r="BA576" i="3"/>
  <c r="AZ576" i="3" s="1"/>
  <c r="BA574" i="3"/>
  <c r="AZ574" i="3" s="1"/>
  <c r="BA572" i="3"/>
  <c r="BA568" i="3"/>
  <c r="AZ568" i="3" s="1"/>
  <c r="BA564" i="3"/>
  <c r="AZ564" i="3" s="1"/>
  <c r="BA562" i="3"/>
  <c r="BA560" i="3"/>
  <c r="BA558" i="3"/>
  <c r="AZ558" i="3"/>
  <c r="BA546" i="3"/>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BA510" i="3"/>
  <c r="BA508" i="3"/>
  <c r="BA506" i="3"/>
  <c r="BA504" i="3"/>
  <c r="AZ504" i="3"/>
  <c r="BA502" i="3"/>
  <c r="BA500" i="3"/>
  <c r="BA498" i="3"/>
  <c r="AZ498" i="3"/>
  <c r="BA496" i="3"/>
  <c r="BA494" i="3"/>
  <c r="BA581" i="3"/>
  <c r="BA579" i="3"/>
  <c r="AZ579" i="3" s="1"/>
  <c r="BA577" i="3"/>
  <c r="BA575" i="3"/>
  <c r="AZ575" i="3" s="1"/>
  <c r="BA567" i="3"/>
  <c r="BA565" i="3"/>
  <c r="BA563" i="3"/>
  <c r="AZ563" i="3" s="1"/>
  <c r="BA561" i="3"/>
  <c r="BA559" i="3"/>
  <c r="AZ559" i="3" s="1"/>
  <c r="BA549" i="3"/>
  <c r="BA543" i="3"/>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1" i="3"/>
  <c r="G579" i="3"/>
  <c r="G577" i="3"/>
  <c r="G575" i="3"/>
  <c r="G569" i="3"/>
  <c r="G565" i="3"/>
  <c r="G563" i="3"/>
  <c r="G561" i="3"/>
  <c r="BL558" i="3"/>
  <c r="AC557" i="3"/>
  <c r="G557" i="3" s="1"/>
  <c r="BQ557" i="3"/>
  <c r="BQ583" i="3"/>
  <c r="BQ581" i="3"/>
  <c r="BL581" i="3"/>
  <c r="BQ579" i="3"/>
  <c r="BL579" i="3"/>
  <c r="BQ577" i="3"/>
  <c r="BL577" i="3" s="1"/>
  <c r="AZ577" i="3" s="1"/>
  <c r="BQ575" i="3"/>
  <c r="BL575" i="3"/>
  <c r="BQ573" i="3"/>
  <c r="BQ571" i="3"/>
  <c r="BQ569" i="3"/>
  <c r="BQ567" i="3"/>
  <c r="BQ565" i="3"/>
  <c r="BL565" i="3" s="1"/>
  <c r="AZ565" i="3" s="1"/>
  <c r="BQ563" i="3"/>
  <c r="BL563" i="3"/>
  <c r="BQ561" i="3"/>
  <c r="BL561" i="3"/>
  <c r="AZ561" i="3" s="1"/>
  <c r="BQ559" i="3"/>
  <c r="BL559" i="3" s="1"/>
  <c r="G559" i="3"/>
  <c r="G549" i="3"/>
  <c r="G541" i="3"/>
  <c r="G539" i="3"/>
  <c r="G537" i="3"/>
  <c r="BQ555" i="3"/>
  <c r="BL555" i="3"/>
  <c r="BQ553" i="3"/>
  <c r="BQ551" i="3"/>
  <c r="BL551" i="3"/>
  <c r="BQ549" i="3"/>
  <c r="BQ547" i="3"/>
  <c r="BQ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L493" i="3" s="1"/>
  <c r="AZ493" i="3" s="1"/>
  <c r="O27" i="31"/>
  <c r="O28" i="31"/>
  <c r="O26" i="31"/>
  <c r="M27" i="31"/>
  <c r="M28" i="31"/>
  <c r="M26" i="31"/>
  <c r="I26" i="31"/>
  <c r="I25" i="31"/>
  <c r="K26" i="31"/>
  <c r="I27" i="31"/>
  <c r="K27" i="31"/>
  <c r="I28" i="31"/>
  <c r="K28" i="31"/>
  <c r="S21" i="40"/>
  <c r="H25" i="21"/>
  <c r="F25" i="21"/>
  <c r="S25" i="21" s="1"/>
  <c r="J25" i="21"/>
  <c r="AC25" i="21" s="1"/>
  <c r="E125" i="33"/>
  <c r="F125" i="33" s="1"/>
  <c r="G125" i="33" s="1"/>
  <c r="H43" i="33"/>
  <c r="AB43" i="33" s="1"/>
  <c r="H17" i="37"/>
  <c r="U32" i="33"/>
  <c r="AA36" i="39"/>
  <c r="F39" i="33"/>
  <c r="AA39" i="33"/>
  <c r="F42" i="33"/>
  <c r="H28" i="34"/>
  <c r="AB28" i="34" s="1"/>
  <c r="F14" i="36"/>
  <c r="AA14" i="36" s="1"/>
  <c r="F22" i="36"/>
  <c r="F26" i="36"/>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U43" i="33"/>
  <c r="U35" i="35"/>
  <c r="AA12" i="35"/>
  <c r="U39" i="37"/>
  <c r="W26" i="37"/>
  <c r="AC8" i="37"/>
  <c r="U26" i="37"/>
  <c r="AC31" i="33"/>
  <c r="U11" i="33"/>
  <c r="U19" i="21"/>
  <c r="F43" i="33"/>
  <c r="AA43" i="33" s="1"/>
  <c r="W40" i="37"/>
  <c r="H107" i="37"/>
  <c r="I107" i="37" s="1"/>
  <c r="J107" i="37" s="1"/>
  <c r="K107" i="37" s="1"/>
  <c r="L107" i="37" s="1"/>
  <c r="M107" i="37" s="1"/>
  <c r="H19" i="34"/>
  <c r="AB19" i="34" s="1"/>
  <c r="F36" i="35"/>
  <c r="J9" i="37"/>
  <c r="H9" i="37"/>
  <c r="AB9" i="37" s="1"/>
  <c r="F9" i="37"/>
  <c r="J12" i="37"/>
  <c r="W12" i="37" s="1"/>
  <c r="H12" i="37"/>
  <c r="F12" i="37"/>
  <c r="S12" i="37" s="1"/>
  <c r="E71" i="37"/>
  <c r="F71" i="37" s="1"/>
  <c r="F15" i="37"/>
  <c r="AA15" i="37"/>
  <c r="E94" i="37"/>
  <c r="F31" i="37"/>
  <c r="S31" i="37" s="1"/>
  <c r="F12" i="39"/>
  <c r="J42" i="39"/>
  <c r="AC42" i="39" s="1"/>
  <c r="H21" i="40"/>
  <c r="AB21" i="40" s="1"/>
  <c r="AC12" i="37"/>
  <c r="F94" i="37"/>
  <c r="G94" i="37"/>
  <c r="H94" i="37" s="1"/>
  <c r="I94" i="37" s="1"/>
  <c r="J94" i="37" s="1"/>
  <c r="K94" i="37" s="1"/>
  <c r="L94" i="37" s="1"/>
  <c r="M94" i="37" s="1"/>
  <c r="H31" i="37"/>
  <c r="U31" i="37"/>
  <c r="G71" i="37"/>
  <c r="J15" i="37"/>
  <c r="W15" i="37"/>
  <c r="AT6" i="3"/>
  <c r="AA25" i="21"/>
  <c r="C12" i="43"/>
  <c r="H19" i="40"/>
  <c r="F19" i="40"/>
  <c r="S14" i="40"/>
  <c r="AB33" i="40"/>
  <c r="W23" i="39"/>
  <c r="AC43" i="39"/>
  <c r="W43" i="39"/>
  <c r="U45" i="39"/>
  <c r="AB45" i="39"/>
  <c r="H25" i="39"/>
  <c r="AB25" i="39"/>
  <c r="J25" i="39"/>
  <c r="F25" i="39"/>
  <c r="AA25" i="39" s="1"/>
  <c r="F15" i="39"/>
  <c r="H15" i="39"/>
  <c r="U15" i="39" s="1"/>
  <c r="J15" i="39"/>
  <c r="W15" i="39" s="1"/>
  <c r="H41" i="39"/>
  <c r="AB41" i="39" s="1"/>
  <c r="AB34" i="39"/>
  <c r="U40" i="39"/>
  <c r="S42" i="39"/>
  <c r="W14" i="39"/>
  <c r="AA41" i="39"/>
  <c r="W8" i="39"/>
  <c r="J19" i="40"/>
  <c r="AC19" i="40"/>
  <c r="J50" i="40"/>
  <c r="B54" i="72"/>
  <c r="H103" i="9"/>
  <c r="D8" i="53"/>
  <c r="B16" i="53"/>
  <c r="B33" i="72"/>
  <c r="C7" i="37"/>
  <c r="C7" i="34"/>
  <c r="C7" i="36"/>
  <c r="A118" i="9"/>
  <c r="A4" i="52"/>
  <c r="B41" i="72" s="1"/>
  <c r="J11" i="39"/>
  <c r="W11" i="39" s="1"/>
  <c r="F11" i="39"/>
  <c r="AA11" i="39" s="1"/>
  <c r="A12" i="52"/>
  <c r="B56" i="72" s="1"/>
  <c r="S11" i="39"/>
  <c r="G4" i="4"/>
  <c r="I4" i="4"/>
  <c r="K5" i="4"/>
  <c r="B47" i="48"/>
  <c r="A2" i="9"/>
  <c r="F59" i="43"/>
  <c r="AZ497" i="3"/>
  <c r="BL549" i="3"/>
  <c r="AZ494" i="3"/>
  <c r="AZ514" i="3"/>
  <c r="AZ530"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C5" i="3"/>
  <c r="AZ549" i="3"/>
  <c r="AZ506" i="3"/>
  <c r="AZ496" i="3"/>
  <c r="G548" i="3"/>
  <c r="G538" i="3"/>
  <c r="G520" i="3"/>
  <c r="G502" i="3"/>
  <c r="BS5" i="3"/>
  <c r="BG5" i="3"/>
  <c r="AZ350" i="3"/>
  <c r="AZ356" i="3"/>
  <c r="AZ364" i="3"/>
  <c r="AZ368" i="3"/>
  <c r="AZ380" i="3"/>
  <c r="AZ388" i="3"/>
  <c r="AZ396" i="3"/>
  <c r="G509" i="3"/>
  <c r="AZ491" i="3"/>
  <c r="AZ390" i="3"/>
  <c r="U36" i="40"/>
  <c r="F36" i="43"/>
  <c r="F81" i="43"/>
  <c r="H83" i="43"/>
  <c r="F48" i="43"/>
  <c r="H52" i="43"/>
  <c r="N3" i="43"/>
  <c r="F70" i="43"/>
  <c r="M11" i="43"/>
  <c r="D17" i="43"/>
  <c r="F39" i="43"/>
  <c r="I17" i="43"/>
  <c r="F35" i="43"/>
  <c r="J17" i="43"/>
  <c r="F6" i="1"/>
  <c r="U17" i="39"/>
  <c r="S14" i="35"/>
  <c r="U10" i="21"/>
  <c r="G8" i="1"/>
  <c r="G9" i="1"/>
  <c r="G10" i="1"/>
  <c r="F48" i="9"/>
  <c r="O52" i="9" s="1"/>
  <c r="AZ501" i="3"/>
  <c r="S15" i="37"/>
  <c r="AA12" i="40"/>
  <c r="J37" i="33"/>
  <c r="W37" i="33"/>
  <c r="J34" i="33"/>
  <c r="W34" i="33"/>
  <c r="H20" i="36"/>
  <c r="U20" i="36" s="1"/>
  <c r="J20" i="36"/>
  <c r="J27" i="36"/>
  <c r="W27" i="36"/>
  <c r="AC33" i="40"/>
  <c r="G111" i="40"/>
  <c r="H111" i="40" s="1"/>
  <c r="I111" i="40" s="1"/>
  <c r="J111" i="40" s="1"/>
  <c r="K111" i="40" s="1"/>
  <c r="L111" i="40" s="1"/>
  <c r="M111" i="40" s="1"/>
  <c r="H35" i="40"/>
  <c r="AB35" i="40"/>
  <c r="W29" i="35"/>
  <c r="H35" i="37"/>
  <c r="U35" i="37"/>
  <c r="H20" i="35"/>
  <c r="F20" i="35"/>
  <c r="AA20" i="35" s="1"/>
  <c r="U29" i="36"/>
  <c r="H32" i="37"/>
  <c r="AB32" i="37"/>
  <c r="H27" i="40"/>
  <c r="J27" i="40"/>
  <c r="AC27" i="40" s="1"/>
  <c r="F27" i="40"/>
  <c r="J30" i="40"/>
  <c r="AC30" i="40" s="1"/>
  <c r="F30" i="40"/>
  <c r="AA30" i="40" s="1"/>
  <c r="AC21" i="40"/>
  <c r="E98" i="40"/>
  <c r="F98" i="40"/>
  <c r="G98" i="40" s="1"/>
  <c r="H98" i="40"/>
  <c r="I98" i="40" s="1"/>
  <c r="J98" i="40" s="1"/>
  <c r="K98" i="40" s="1"/>
  <c r="L98" i="40" s="1"/>
  <c r="M98" i="40" s="1"/>
  <c r="F10" i="33"/>
  <c r="F34" i="33"/>
  <c r="S34" i="33" s="1"/>
  <c r="H34" i="33"/>
  <c r="F35" i="33"/>
  <c r="S39" i="34"/>
  <c r="W39" i="34"/>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H50" i="43"/>
  <c r="F23" i="39"/>
  <c r="AA23" i="39" s="1"/>
  <c r="H27" i="36"/>
  <c r="F27" i="36"/>
  <c r="AA27" i="36" s="1"/>
  <c r="F32" i="37"/>
  <c r="AA32" i="37"/>
  <c r="H96" i="37"/>
  <c r="I96" i="37" s="1"/>
  <c r="J96" i="37" s="1"/>
  <c r="K96" i="37" s="1"/>
  <c r="L96" i="37" s="1"/>
  <c r="M96" i="37" s="1"/>
  <c r="F20" i="36"/>
  <c r="AA20" i="36" s="1"/>
  <c r="J33" i="34"/>
  <c r="AC33" i="34" s="1"/>
  <c r="H23" i="39"/>
  <c r="U23" i="39"/>
  <c r="D48" i="9"/>
  <c r="M52" i="9"/>
  <c r="H86" i="43"/>
  <c r="H82" i="43"/>
  <c r="H87" i="43"/>
  <c r="K9" i="1"/>
  <c r="M9" i="1" s="1"/>
  <c r="O9" i="1"/>
  <c r="P9" i="1"/>
  <c r="AE9" i="1"/>
  <c r="D93" i="9"/>
  <c r="AB33" i="36"/>
  <c r="AC12" i="39"/>
  <c r="AC39" i="40"/>
  <c r="W39" i="40"/>
  <c r="AZ401" i="3"/>
  <c r="AZ412" i="3"/>
  <c r="AZ417" i="3"/>
  <c r="AZ428" i="3"/>
  <c r="AZ433" i="3"/>
  <c r="AZ465" i="3"/>
  <c r="N104" i="46"/>
  <c r="S32" i="36"/>
  <c r="AZ408" i="3"/>
  <c r="AZ437" i="3"/>
  <c r="AZ441" i="3"/>
  <c r="AZ457" i="3"/>
  <c r="AZ473" i="3"/>
  <c r="AZ490" i="3"/>
  <c r="BL14" i="3"/>
  <c r="AZ266" i="3"/>
  <c r="S19" i="39"/>
  <c r="H12" i="39"/>
  <c r="F39" i="40"/>
  <c r="S39" i="40" s="1"/>
  <c r="AZ367" i="3"/>
  <c r="AZ213" i="3"/>
  <c r="AZ224" i="3"/>
  <c r="AZ234" i="3"/>
  <c r="AZ238" i="3"/>
  <c r="AZ250" i="3"/>
  <c r="AZ254" i="3"/>
  <c r="AZ281" i="3"/>
  <c r="AZ286" i="3"/>
  <c r="AZ297" i="3"/>
  <c r="AZ149" i="3"/>
  <c r="AZ157" i="3"/>
  <c r="AZ165" i="3"/>
  <c r="AZ173" i="3"/>
  <c r="AZ181" i="3"/>
  <c r="AZ189" i="3"/>
  <c r="AZ197" i="3"/>
  <c r="S12" i="1"/>
  <c r="AQ12" i="1" s="1"/>
  <c r="R12" i="1"/>
  <c r="B12" i="1"/>
  <c r="E12" i="1" s="1"/>
  <c r="S10" i="1"/>
  <c r="R10" i="1"/>
  <c r="B10" i="1"/>
  <c r="E10" i="1" s="1"/>
  <c r="D1" i="66"/>
  <c r="E10" i="66" s="1"/>
  <c r="AZ80" i="3"/>
  <c r="AZ84" i="3"/>
  <c r="AZ88" i="3"/>
  <c r="AZ107" i="3"/>
  <c r="AZ111" i="3"/>
  <c r="K12" i="1"/>
  <c r="M12" i="1" s="1"/>
  <c r="O12" i="1"/>
  <c r="P12" i="1"/>
  <c r="S13" i="1"/>
  <c r="R13" i="1"/>
  <c r="S11" i="1"/>
  <c r="AQ11" i="1" s="1"/>
  <c r="R11" i="1"/>
  <c r="S9" i="1"/>
  <c r="AR9" i="1" s="1"/>
  <c r="R9" i="1"/>
  <c r="J51" i="67"/>
  <c r="C42" i="1"/>
  <c r="B41" i="1"/>
  <c r="F31" i="12"/>
  <c r="H100" i="43"/>
  <c r="C30" i="66"/>
  <c r="E26" i="66"/>
  <c r="AC34" i="33"/>
  <c r="AA34" i="33"/>
  <c r="F53" i="9"/>
  <c r="J100" i="43"/>
  <c r="AB37" i="40"/>
  <c r="S35" i="40"/>
  <c r="U35" i="40"/>
  <c r="AC36" i="40"/>
  <c r="W38" i="40"/>
  <c r="AA32" i="40"/>
  <c r="S17" i="40"/>
  <c r="S23" i="40"/>
  <c r="AC17" i="40"/>
  <c r="AC15" i="40"/>
  <c r="S30" i="40"/>
  <c r="S28" i="40"/>
  <c r="U21" i="40"/>
  <c r="W42" i="39"/>
  <c r="F32" i="39"/>
  <c r="S32" i="39" s="1"/>
  <c r="F107" i="39"/>
  <c r="G107" i="39"/>
  <c r="H107" i="39" s="1"/>
  <c r="U25" i="39"/>
  <c r="AB27" i="39"/>
  <c r="S25" i="39"/>
  <c r="J21" i="39"/>
  <c r="F21" i="39"/>
  <c r="S21" i="39" s="1"/>
  <c r="H21" i="39"/>
  <c r="U21" i="39" s="1"/>
  <c r="W19" i="39"/>
  <c r="U19" i="39"/>
  <c r="S17" i="39"/>
  <c r="AB15" i="39"/>
  <c r="S9" i="39"/>
  <c r="S23" i="36"/>
  <c r="AC27" i="36"/>
  <c r="U26" i="36"/>
  <c r="S33" i="36"/>
  <c r="AA34" i="36"/>
  <c r="AC26" i="36"/>
  <c r="W14" i="36"/>
  <c r="AB14" i="36"/>
  <c r="U22" i="36"/>
  <c r="S16" i="36"/>
  <c r="AA25" i="36"/>
  <c r="U23" i="36"/>
  <c r="S14" i="36"/>
  <c r="U10" i="36"/>
  <c r="W10" i="36"/>
  <c r="AB13" i="35"/>
  <c r="U28" i="35"/>
  <c r="AB27" i="35"/>
  <c r="U36" i="35"/>
  <c r="AA33" i="35"/>
  <c r="W32" i="35"/>
  <c r="S28" i="35"/>
  <c r="AB16" i="35"/>
  <c r="S22" i="35"/>
  <c r="AA10" i="35"/>
  <c r="AB10" i="35"/>
  <c r="S8" i="35"/>
  <c r="AC12" i="35"/>
  <c r="H9" i="35"/>
  <c r="U9" i="35" s="1"/>
  <c r="F26" i="35"/>
  <c r="AA26" i="35"/>
  <c r="J26" i="35"/>
  <c r="H26" i="35"/>
  <c r="AB26" i="35" s="1"/>
  <c r="S26" i="37"/>
  <c r="AC29" i="37"/>
  <c r="S32" i="37"/>
  <c r="AB31" i="37"/>
  <c r="W30" i="37"/>
  <c r="S36" i="37"/>
  <c r="AA38" i="37"/>
  <c r="U32" i="37"/>
  <c r="AC35" i="37"/>
  <c r="W39" i="37"/>
  <c r="S37" i="37"/>
  <c r="AC15" i="37"/>
  <c r="J17" i="37"/>
  <c r="G73" i="37"/>
  <c r="F17" i="37"/>
  <c r="AA17" i="37"/>
  <c r="F75" i="37"/>
  <c r="F19" i="37"/>
  <c r="F79" i="37"/>
  <c r="G79" i="37" s="1"/>
  <c r="F23" i="37"/>
  <c r="S23" i="37"/>
  <c r="U23" i="37"/>
  <c r="U15" i="37"/>
  <c r="U9" i="37"/>
  <c r="AA12" i="37"/>
  <c r="H10" i="37"/>
  <c r="U10" i="37" s="1"/>
  <c r="F63" i="37"/>
  <c r="F11" i="37"/>
  <c r="S11" i="37"/>
  <c r="AB8" i="34"/>
  <c r="U43" i="34"/>
  <c r="U39" i="34"/>
  <c r="S43" i="34"/>
  <c r="U28" i="34"/>
  <c r="S17" i="34"/>
  <c r="S23" i="34"/>
  <c r="S10" i="34"/>
  <c r="H67" i="34"/>
  <c r="I67" i="34" s="1"/>
  <c r="H10" i="34"/>
  <c r="W42" i="33"/>
  <c r="AA29" i="33"/>
  <c r="W38" i="33"/>
  <c r="H41" i="33"/>
  <c r="F121" i="33"/>
  <c r="G121" i="33" s="1"/>
  <c r="H121" i="33"/>
  <c r="I121" i="33" s="1"/>
  <c r="J121" i="33" s="1"/>
  <c r="K121" i="33" s="1"/>
  <c r="L121" i="33" s="1"/>
  <c r="M121" i="33" s="1"/>
  <c r="U42" i="33"/>
  <c r="F36" i="33"/>
  <c r="AA36" i="33" s="1"/>
  <c r="G108" i="33"/>
  <c r="H108" i="33" s="1"/>
  <c r="I108" i="33"/>
  <c r="J108" i="33" s="1"/>
  <c r="K108" i="33" s="1"/>
  <c r="L108" i="33" s="1"/>
  <c r="M108" i="33" s="1"/>
  <c r="J35" i="33"/>
  <c r="S37" i="33"/>
  <c r="AA37" i="33"/>
  <c r="S39" i="33"/>
  <c r="G101" i="33"/>
  <c r="H101" i="33" s="1"/>
  <c r="I101" i="33"/>
  <c r="J101" i="33" s="1"/>
  <c r="K101" i="33" s="1"/>
  <c r="L101" i="33" s="1"/>
  <c r="M101" i="33" s="1"/>
  <c r="J32" i="33"/>
  <c r="S46" i="33"/>
  <c r="S43" i="33"/>
  <c r="H27" i="33"/>
  <c r="AB27" i="33" s="1"/>
  <c r="H25" i="33"/>
  <c r="AB25" i="33" s="1"/>
  <c r="F25" i="33"/>
  <c r="J23" i="33"/>
  <c r="W23" i="33" s="1"/>
  <c r="H23" i="33"/>
  <c r="U23" i="33" s="1"/>
  <c r="F19" i="33"/>
  <c r="S19" i="33" s="1"/>
  <c r="W19" i="33"/>
  <c r="J17" i="33"/>
  <c r="F79" i="33"/>
  <c r="G79" i="33" s="1"/>
  <c r="W15" i="33"/>
  <c r="I66" i="33"/>
  <c r="J10" i="33"/>
  <c r="H10" i="33"/>
  <c r="AB10" i="33" s="1"/>
  <c r="AC11" i="33"/>
  <c r="W36" i="21"/>
  <c r="W41" i="21"/>
  <c r="S39" i="21"/>
  <c r="AC40" i="21"/>
  <c r="F23" i="21"/>
  <c r="S23" i="21"/>
  <c r="AA14" i="21"/>
  <c r="M3" i="43"/>
  <c r="C6" i="43" s="1"/>
  <c r="M1" i="43"/>
  <c r="N8" i="43"/>
  <c r="D120" i="9"/>
  <c r="F34" i="67"/>
  <c r="F62" i="67" s="1"/>
  <c r="M20" i="67"/>
  <c r="F34" i="15"/>
  <c r="F62" i="15"/>
  <c r="BL17" i="3"/>
  <c r="A24" i="51"/>
  <c r="B18" i="72" s="1"/>
  <c r="P10" i="1"/>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AD11" i="43"/>
  <c r="AC11" i="43"/>
  <c r="E48" i="43"/>
  <c r="B46" i="43"/>
  <c r="F100" i="43"/>
  <c r="H17" i="43"/>
  <c r="D9" i="53"/>
  <c r="B25" i="72" s="1"/>
  <c r="B24" i="72"/>
  <c r="H85" i="43"/>
  <c r="H81" i="43"/>
  <c r="H84" i="43"/>
  <c r="H88" i="43"/>
  <c r="H53" i="43"/>
  <c r="H71" i="43"/>
  <c r="G71" i="43" s="1"/>
  <c r="C17" i="43"/>
  <c r="F33" i="43"/>
  <c r="K17" i="43"/>
  <c r="F34" i="43"/>
  <c r="N6" i="43"/>
  <c r="F38" i="43"/>
  <c r="F37" i="43"/>
  <c r="M9" i="43"/>
  <c r="N5" i="43"/>
  <c r="M12" i="43"/>
  <c r="B19" i="53"/>
  <c r="B37" i="72" s="1"/>
  <c r="C7" i="39"/>
  <c r="C68" i="39" s="1"/>
  <c r="D68" i="39" s="1"/>
  <c r="C7" i="35"/>
  <c r="C7" i="33"/>
  <c r="C58" i="33"/>
  <c r="D58" i="33" s="1"/>
  <c r="E58" i="33"/>
  <c r="F58" i="33" s="1"/>
  <c r="G58" i="33" s="1"/>
  <c r="H58" i="33" s="1"/>
  <c r="I58" i="33" s="1"/>
  <c r="J58" i="33" s="1"/>
  <c r="K58" i="33" s="1"/>
  <c r="L58" i="33" s="1"/>
  <c r="M58" i="33" s="1"/>
  <c r="N58" i="33" s="1"/>
  <c r="O58" i="33" s="1"/>
  <c r="C7" i="21"/>
  <c r="C58" i="21"/>
  <c r="C7" i="40"/>
  <c r="C63" i="40"/>
  <c r="M47" i="9"/>
  <c r="G19" i="43"/>
  <c r="O19" i="43" s="1"/>
  <c r="T35" i="4"/>
  <c r="A19" i="51" s="1"/>
  <c r="B14" i="72" s="1"/>
  <c r="C46" i="36"/>
  <c r="D46" i="36"/>
  <c r="C52" i="37"/>
  <c r="D52" i="37"/>
  <c r="E52" i="37" s="1"/>
  <c r="F52" i="37"/>
  <c r="A4" i="51"/>
  <c r="B6" i="72" s="1"/>
  <c r="C48" i="35"/>
  <c r="D48" i="35" s="1"/>
  <c r="E48" i="35" s="1"/>
  <c r="C4" i="12"/>
  <c r="C31" i="12" s="1"/>
  <c r="H66" i="43"/>
  <c r="H64" i="43"/>
  <c r="H55" i="43"/>
  <c r="H56" i="43"/>
  <c r="H72" i="43"/>
  <c r="G72" i="43" s="1"/>
  <c r="B6" i="1"/>
  <c r="E6" i="1"/>
  <c r="S8" i="1"/>
  <c r="K11" i="1"/>
  <c r="M11" i="1" s="1"/>
  <c r="O11" i="1"/>
  <c r="P11" i="1"/>
  <c r="B9" i="1"/>
  <c r="E9" i="1" s="1"/>
  <c r="G1" i="69"/>
  <c r="G1" i="67"/>
  <c r="W23" i="40"/>
  <c r="U32" i="40"/>
  <c r="AB31" i="40"/>
  <c r="S37" i="40"/>
  <c r="AB28" i="40"/>
  <c r="W34" i="40"/>
  <c r="W19" i="40"/>
  <c r="W27" i="40"/>
  <c r="S36" i="40"/>
  <c r="W37" i="40"/>
  <c r="AA15" i="40"/>
  <c r="S31" i="40"/>
  <c r="U15" i="40"/>
  <c r="AB17" i="40"/>
  <c r="U8" i="40"/>
  <c r="AA39" i="39"/>
  <c r="AC41" i="39"/>
  <c r="U42" i="39"/>
  <c r="AB23" i="39"/>
  <c r="U41" i="39"/>
  <c r="W25" i="39"/>
  <c r="AC25" i="39"/>
  <c r="AA13" i="39"/>
  <c r="S14" i="39"/>
  <c r="AA14" i="39"/>
  <c r="U43" i="39"/>
  <c r="AA27" i="39"/>
  <c r="W17" i="39"/>
  <c r="AC17" i="39"/>
  <c r="W31" i="39"/>
  <c r="AC31" i="39"/>
  <c r="AA45" i="39"/>
  <c r="AB39" i="39"/>
  <c r="W34" i="39"/>
  <c r="U38" i="39"/>
  <c r="S8" i="39"/>
  <c r="S20" i="36"/>
  <c r="S28" i="36"/>
  <c r="W29" i="36"/>
  <c r="U25" i="36"/>
  <c r="AA13" i="36"/>
  <c r="W9" i="36"/>
  <c r="W22" i="36"/>
  <c r="W23" i="36"/>
  <c r="S9" i="36"/>
  <c r="S24" i="35"/>
  <c r="AA30" i="35"/>
  <c r="U24" i="35"/>
  <c r="W36" i="37"/>
  <c r="W32" i="37"/>
  <c r="U36" i="37"/>
  <c r="U38" i="37"/>
  <c r="AC34" i="37"/>
  <c r="AB35" i="37"/>
  <c r="AA11" i="37"/>
  <c r="U19" i="37"/>
  <c r="AA8" i="37"/>
  <c r="U8" i="37"/>
  <c r="U19" i="34"/>
  <c r="W19" i="34"/>
  <c r="AC32" i="34"/>
  <c r="W46" i="34"/>
  <c r="AC46" i="34"/>
  <c r="S32" i="34"/>
  <c r="AA32" i="34"/>
  <c r="U30" i="34"/>
  <c r="AB30" i="34"/>
  <c r="U38" i="34"/>
  <c r="S19" i="34"/>
  <c r="S36" i="34"/>
  <c r="AA8" i="34"/>
  <c r="S8" i="34"/>
  <c r="S46" i="34"/>
  <c r="U14" i="34"/>
  <c r="W43" i="34"/>
  <c r="W23" i="34"/>
  <c r="AC23" i="34"/>
  <c r="AC35" i="34"/>
  <c r="W35" i="34"/>
  <c r="U12" i="34"/>
  <c r="AB12" i="34"/>
  <c r="AC37" i="33"/>
  <c r="U39" i="33"/>
  <c r="S33" i="33"/>
  <c r="AC30" i="33"/>
  <c r="S31" i="33"/>
  <c r="AA31" i="33"/>
  <c r="W13" i="33"/>
  <c r="AC13" i="33"/>
  <c r="U15" i="33"/>
  <c r="U37" i="33"/>
  <c r="S28" i="33"/>
  <c r="W8" i="33"/>
  <c r="U28" i="21"/>
  <c r="S45" i="21"/>
  <c r="AB14" i="21"/>
  <c r="U40" i="21"/>
  <c r="AB31" i="21"/>
  <c r="S35" i="21"/>
  <c r="H15" i="21"/>
  <c r="J17" i="21"/>
  <c r="AC19" i="21"/>
  <c r="W39" i="21"/>
  <c r="AC14" i="21"/>
  <c r="W30" i="21"/>
  <c r="H45" i="21"/>
  <c r="U45" i="21"/>
  <c r="H32" i="21"/>
  <c r="H9" i="21"/>
  <c r="J9" i="21"/>
  <c r="J32" i="21"/>
  <c r="AA31" i="21"/>
  <c r="S19" i="21"/>
  <c r="AA9" i="21"/>
  <c r="K141" i="21"/>
  <c r="K144" i="21"/>
  <c r="K143" i="21"/>
  <c r="AA30" i="21"/>
  <c r="W42" i="21"/>
  <c r="AC45" i="21"/>
  <c r="K145" i="21"/>
  <c r="W25" i="21"/>
  <c r="W31" i="21"/>
  <c r="S17" i="21"/>
  <c r="S28" i="21"/>
  <c r="AC34" i="21"/>
  <c r="W12" i="21"/>
  <c r="AB36" i="21"/>
  <c r="W30" i="40"/>
  <c r="C19" i="39"/>
  <c r="C15" i="40"/>
  <c r="C17" i="40"/>
  <c r="C23" i="40"/>
  <c r="C21" i="40"/>
  <c r="U30" i="40"/>
  <c r="B54" i="43"/>
  <c r="B65" i="43"/>
  <c r="B49" i="43"/>
  <c r="B52" i="43"/>
  <c r="B56" i="43"/>
  <c r="B60" i="43"/>
  <c r="B63" i="43"/>
  <c r="B67" i="43"/>
  <c r="D23" i="15"/>
  <c r="D22" i="15"/>
  <c r="O6" i="1"/>
  <c r="P6" i="1"/>
  <c r="F30" i="68"/>
  <c r="F30" i="11"/>
  <c r="C48" i="11" s="1"/>
  <c r="F28" i="67"/>
  <c r="C28" i="67" s="1"/>
  <c r="F52" i="9"/>
  <c r="M18" i="67"/>
  <c r="F32" i="67"/>
  <c r="F60" i="67"/>
  <c r="F30" i="69"/>
  <c r="C48" i="69"/>
  <c r="F32" i="15"/>
  <c r="F60" i="15"/>
  <c r="M18" i="15"/>
  <c r="F28" i="15"/>
  <c r="C28" i="15" s="1"/>
  <c r="AQ9" i="1"/>
  <c r="AR11" i="1"/>
  <c r="T9" i="1"/>
  <c r="AA39" i="40"/>
  <c r="D68" i="9"/>
  <c r="F54" i="9"/>
  <c r="J32" i="39"/>
  <c r="AC32" i="39" s="1"/>
  <c r="I107" i="39"/>
  <c r="J107" i="39" s="1"/>
  <c r="K107" i="39"/>
  <c r="L107" i="39" s="1"/>
  <c r="M107" i="39" s="1"/>
  <c r="H32" i="39"/>
  <c r="AA32" i="39"/>
  <c r="AB21" i="39"/>
  <c r="AC21" i="39"/>
  <c r="W21" i="39"/>
  <c r="S26" i="35"/>
  <c r="AC26" i="35"/>
  <c r="W26" i="35"/>
  <c r="S17" i="37"/>
  <c r="J19" i="37"/>
  <c r="G75" i="37"/>
  <c r="S19" i="37"/>
  <c r="AA19" i="37"/>
  <c r="AA23" i="37"/>
  <c r="J23" i="37"/>
  <c r="W23" i="37" s="1"/>
  <c r="J10" i="37"/>
  <c r="G63" i="37"/>
  <c r="H63" i="37" s="1"/>
  <c r="I63" i="37" s="1"/>
  <c r="J63" i="37" s="1"/>
  <c r="K63" i="37" s="1"/>
  <c r="L63" i="37" s="1"/>
  <c r="M63" i="37" s="1"/>
  <c r="H11" i="37"/>
  <c r="AB10" i="37"/>
  <c r="AB10" i="34"/>
  <c r="U10" i="34"/>
  <c r="J10" i="34"/>
  <c r="W10" i="34" s="1"/>
  <c r="AB41" i="33"/>
  <c r="U41" i="33"/>
  <c r="W35" i="33"/>
  <c r="AC35" i="33"/>
  <c r="J36" i="33"/>
  <c r="AC36" i="33" s="1"/>
  <c r="H36" i="33"/>
  <c r="S36" i="33"/>
  <c r="AC32" i="33"/>
  <c r="W32" i="33"/>
  <c r="G91" i="33"/>
  <c r="H91" i="33" s="1"/>
  <c r="I91" i="33" s="1"/>
  <c r="J91" i="33" s="1"/>
  <c r="K91" i="33" s="1"/>
  <c r="L91" i="33" s="1"/>
  <c r="M91" i="33" s="1"/>
  <c r="U25" i="33"/>
  <c r="S25" i="33"/>
  <c r="AA25" i="33"/>
  <c r="G87" i="33"/>
  <c r="H87" i="33" s="1"/>
  <c r="I87" i="33"/>
  <c r="J87" i="33" s="1"/>
  <c r="K87" i="33" s="1"/>
  <c r="L87" i="33" s="1"/>
  <c r="M87" i="33" s="1"/>
  <c r="J25" i="33"/>
  <c r="AB23" i="33"/>
  <c r="F23" i="33"/>
  <c r="AC23" i="33"/>
  <c r="AA19" i="33"/>
  <c r="H19" i="33"/>
  <c r="G81" i="33"/>
  <c r="H17" i="33"/>
  <c r="U17" i="33" s="1"/>
  <c r="F17" i="33"/>
  <c r="W17" i="33"/>
  <c r="AC17" i="33"/>
  <c r="U10" i="33"/>
  <c r="AC10" i="33"/>
  <c r="W10" i="33"/>
  <c r="U33" i="21"/>
  <c r="AA23" i="21"/>
  <c r="J23" i="21"/>
  <c r="G85" i="21"/>
  <c r="H23" i="21"/>
  <c r="D6" i="52"/>
  <c r="D121" i="9"/>
  <c r="D7" i="52" s="1"/>
  <c r="K120" i="9"/>
  <c r="C23" i="43"/>
  <c r="O14" i="1"/>
  <c r="P14" i="1"/>
  <c r="AR8" i="1"/>
  <c r="AQ8" i="1"/>
  <c r="T8" i="1"/>
  <c r="AP7" i="1"/>
  <c r="O7" i="1"/>
  <c r="O16" i="1" s="1"/>
  <c r="AB45" i="21"/>
  <c r="W33" i="21"/>
  <c r="S33" i="21"/>
  <c r="W32" i="21"/>
  <c r="AC32" i="21"/>
  <c r="AB9" i="21"/>
  <c r="U9" i="21"/>
  <c r="S32" i="21"/>
  <c r="W9" i="21"/>
  <c r="AC9" i="21"/>
  <c r="AB32" i="21"/>
  <c r="U32" i="21"/>
  <c r="C30" i="11"/>
  <c r="A18" i="62"/>
  <c r="B64" i="72"/>
  <c r="U32" i="39"/>
  <c r="AB32" i="39"/>
  <c r="W32" i="39"/>
  <c r="W19" i="37"/>
  <c r="AC19" i="37"/>
  <c r="AC23" i="37"/>
  <c r="AB11" i="37"/>
  <c r="U11" i="37"/>
  <c r="J11" i="37"/>
  <c r="W10" i="37"/>
  <c r="AC10" i="37"/>
  <c r="AC10" i="34"/>
  <c r="J11" i="34"/>
  <c r="AC11" i="34" s="1"/>
  <c r="W36" i="33"/>
  <c r="U36" i="33"/>
  <c r="AB36" i="33"/>
  <c r="W25" i="33"/>
  <c r="AC25" i="33"/>
  <c r="AA23" i="33"/>
  <c r="S23" i="33"/>
  <c r="AB19" i="33"/>
  <c r="U19" i="33"/>
  <c r="AA17" i="33"/>
  <c r="S17" i="33"/>
  <c r="AB17" i="33"/>
  <c r="U23" i="21"/>
  <c r="AB23" i="21"/>
  <c r="AC23" i="21"/>
  <c r="W23" i="21"/>
  <c r="C24" i="12"/>
  <c r="P7" i="1"/>
  <c r="AC11" i="37"/>
  <c r="W11" i="37"/>
  <c r="W11" i="34"/>
  <c r="P16" i="1"/>
  <c r="C11" i="12" s="1"/>
  <c r="F34" i="11"/>
  <c r="F11" i="12"/>
  <c r="C23" i="12" s="1"/>
  <c r="F34" i="68"/>
  <c r="AG6" i="1"/>
  <c r="H109" i="9"/>
  <c r="K1" i="73"/>
  <c r="H110" i="9"/>
  <c r="D18" i="53"/>
  <c r="B35" i="72" s="1"/>
  <c r="D124" i="9"/>
  <c r="D16" i="53"/>
  <c r="B34" i="72" s="1"/>
  <c r="D10" i="52"/>
  <c r="H14" i="74"/>
  <c r="D17" i="53"/>
  <c r="B36" i="72" s="1"/>
  <c r="D125" i="9"/>
  <c r="D11" i="52" s="1"/>
  <c r="B7" i="74"/>
  <c r="H112" i="9"/>
  <c r="D21" i="53"/>
  <c r="B39" i="72" s="1"/>
  <c r="H111" i="9"/>
  <c r="D126" i="9" s="1"/>
  <c r="D59" i="9"/>
  <c r="M55" i="9"/>
  <c r="AD3" i="71"/>
  <c r="C65" i="40"/>
  <c r="D63" i="40"/>
  <c r="C13" i="12"/>
  <c r="C30" i="69"/>
  <c r="C77" i="9"/>
  <c r="C74" i="9"/>
  <c r="C30" i="68"/>
  <c r="H77" i="43"/>
  <c r="G77" i="43" s="1"/>
  <c r="H76" i="43"/>
  <c r="G76" i="43" s="1"/>
  <c r="H51" i="43"/>
  <c r="H67" i="43"/>
  <c r="H59" i="43"/>
  <c r="H60" i="43"/>
  <c r="H61" i="43"/>
  <c r="M4" i="43"/>
  <c r="M5" i="43"/>
  <c r="N12" i="43"/>
  <c r="N11" i="43"/>
  <c r="M10" i="43"/>
  <c r="M2" i="43"/>
  <c r="M7" i="43"/>
  <c r="H70" i="43"/>
  <c r="G70" i="43" s="1"/>
  <c r="H54" i="43"/>
  <c r="N9" i="43"/>
  <c r="M8" i="43"/>
  <c r="N10" i="43"/>
  <c r="H48" i="43"/>
  <c r="H74" i="43"/>
  <c r="G74" i="43" s="1"/>
  <c r="M6" i="43"/>
  <c r="N7" i="43"/>
  <c r="N4" i="43"/>
  <c r="N2" i="43"/>
  <c r="H49" i="43"/>
  <c r="N17" i="43"/>
  <c r="L17" i="43"/>
  <c r="G17" i="43" s="1"/>
  <c r="O17" i="43"/>
  <c r="M17" i="43"/>
  <c r="E17" i="43"/>
  <c r="C70" i="39"/>
  <c r="G52" i="37"/>
  <c r="H52" i="37" s="1"/>
  <c r="E46" i="36"/>
  <c r="F46" i="36"/>
  <c r="G46" i="36" s="1"/>
  <c r="D58" i="21"/>
  <c r="C48" i="68"/>
  <c r="AB11" i="71"/>
  <c r="X9" i="71"/>
  <c r="X8" i="71"/>
  <c r="AA9" i="71"/>
  <c r="AA8" i="71"/>
  <c r="X12" i="71"/>
  <c r="Y8" i="71"/>
  <c r="Z8" i="71"/>
  <c r="AB9" i="71"/>
  <c r="AB8" i="71"/>
  <c r="C94" i="9"/>
  <c r="C92" i="9"/>
  <c r="F10" i="71"/>
  <c r="F9" i="71" s="1"/>
  <c r="F8" i="71" s="1"/>
  <c r="F7" i="71" s="1"/>
  <c r="F6" i="71" s="1"/>
  <c r="F5" i="71" s="1"/>
  <c r="Y9" i="71"/>
  <c r="Z9" i="71" s="1"/>
  <c r="AB3" i="71"/>
  <c r="X3" i="71"/>
  <c r="AF3" i="71"/>
  <c r="P24" i="43"/>
  <c r="B66" i="40" s="1"/>
  <c r="P21" i="43"/>
  <c r="P22" i="43"/>
  <c r="D65" i="40"/>
  <c r="E63" i="40"/>
  <c r="E65" i="40" s="1"/>
  <c r="C16" i="43"/>
  <c r="E58" i="21"/>
  <c r="F58" i="21"/>
  <c r="G58" i="21" s="1"/>
  <c r="H58" i="21" s="1"/>
  <c r="I58" i="21" s="1"/>
  <c r="J58" i="21" s="1"/>
  <c r="K58" i="21" s="1"/>
  <c r="L58" i="21" s="1"/>
  <c r="M58" i="21" s="1"/>
  <c r="N58" i="21" s="1"/>
  <c r="O58" i="21" s="1"/>
  <c r="P23" i="43"/>
  <c r="B71" i="39" s="1"/>
  <c r="P25" i="43"/>
  <c r="F63" i="40"/>
  <c r="G63" i="40" s="1"/>
  <c r="F65" i="40"/>
  <c r="C19" i="43"/>
  <c r="F31" i="67"/>
  <c r="F31" i="15"/>
  <c r="I54" i="67"/>
  <c r="F59" i="15"/>
  <c r="F59" i="67"/>
  <c r="M17" i="15"/>
  <c r="M17" i="67"/>
  <c r="L46" i="67"/>
  <c r="M8" i="67"/>
  <c r="M24" i="67"/>
  <c r="D2" i="35"/>
  <c r="AO13" i="1"/>
  <c r="F13" i="67"/>
  <c r="L48" i="67"/>
  <c r="M9" i="67"/>
  <c r="D34" i="78"/>
  <c r="F20" i="31"/>
  <c r="B7" i="76"/>
  <c r="M22" i="67"/>
  <c r="E7" i="76"/>
  <c r="E8" i="76"/>
  <c r="E11" i="76"/>
  <c r="D2" i="36"/>
  <c r="E13" i="76"/>
  <c r="F36" i="67"/>
  <c r="M6" i="67"/>
  <c r="F8" i="67"/>
  <c r="F26" i="67"/>
  <c r="D2" i="33"/>
  <c r="J15" i="67"/>
  <c r="D2" i="37"/>
  <c r="AO12" i="1"/>
  <c r="M28" i="67"/>
  <c r="AO9" i="1"/>
  <c r="D35" i="9"/>
  <c r="M27" i="67"/>
  <c r="M23" i="67"/>
  <c r="B8" i="76"/>
  <c r="L47" i="67"/>
  <c r="E2" i="69"/>
  <c r="F37" i="67"/>
  <c r="E12" i="76"/>
  <c r="B10" i="76"/>
  <c r="F42" i="67"/>
  <c r="D35" i="78"/>
  <c r="B9" i="76"/>
  <c r="E10" i="76"/>
  <c r="D2" i="21"/>
  <c r="AO8" i="1"/>
  <c r="F6" i="67"/>
  <c r="F38" i="67"/>
  <c r="F9" i="67"/>
  <c r="F40" i="67"/>
  <c r="D2" i="34"/>
  <c r="C76" i="67"/>
  <c r="B11" i="76"/>
  <c r="B12" i="76"/>
  <c r="E9" i="76"/>
  <c r="B13" i="76"/>
  <c r="AO11" i="1"/>
  <c r="M26" i="67"/>
  <c r="F16" i="67"/>
  <c r="D34" i="9"/>
  <c r="E2" i="68"/>
  <c r="AO10" i="1"/>
  <c r="B22" i="49" l="1"/>
  <c r="E13" i="49"/>
  <c r="J22" i="43"/>
  <c r="S5" i="43"/>
  <c r="G65" i="40"/>
  <c r="H63" i="40"/>
  <c r="I14" i="74"/>
  <c r="B8" i="74" s="1"/>
  <c r="D127" i="9"/>
  <c r="D13" i="52" s="1"/>
  <c r="D12" i="52"/>
  <c r="F48" i="35"/>
  <c r="G48" i="35" s="1"/>
  <c r="H48" i="35" s="1"/>
  <c r="I48" i="35" s="1"/>
  <c r="J48" i="35" s="1"/>
  <c r="K48" i="35" s="1"/>
  <c r="L48" i="35" s="1"/>
  <c r="M48" i="35" s="1"/>
  <c r="N48" i="35" s="1"/>
  <c r="O48" i="35" s="1"/>
  <c r="J7" i="35"/>
  <c r="F7" i="35"/>
  <c r="F7" i="37"/>
  <c r="D70" i="39"/>
  <c r="E68" i="39"/>
  <c r="D5" i="43"/>
  <c r="C5" i="43"/>
  <c r="W25" i="35"/>
  <c r="AC25" i="35"/>
  <c r="AA35" i="35"/>
  <c r="S35" i="35"/>
  <c r="AZ547" i="3"/>
  <c r="H46" i="36"/>
  <c r="I46" i="36" s="1"/>
  <c r="J46" i="36" s="1"/>
  <c r="K46" i="36" s="1"/>
  <c r="L46" i="36" s="1"/>
  <c r="M46" i="36" s="1"/>
  <c r="N46" i="36" s="1"/>
  <c r="O46" i="36" s="1"/>
  <c r="H7" i="36"/>
  <c r="I52" i="37"/>
  <c r="J52" i="37" s="1"/>
  <c r="K52" i="37" s="1"/>
  <c r="L52" i="37" s="1"/>
  <c r="M52" i="37" s="1"/>
  <c r="N52" i="37" s="1"/>
  <c r="O52" i="37" s="1"/>
  <c r="H7" i="37"/>
  <c r="S14" i="33"/>
  <c r="AA14" i="33"/>
  <c r="AC46" i="33"/>
  <c r="W46" i="33"/>
  <c r="W13" i="34"/>
  <c r="AC13" i="34"/>
  <c r="AC13" i="35"/>
  <c r="W13" i="35"/>
  <c r="AA28" i="37"/>
  <c r="S28" i="37"/>
  <c r="AC38" i="37"/>
  <c r="W38" i="37"/>
  <c r="AZ571" i="3"/>
  <c r="AZ570" i="3"/>
  <c r="D19" i="53"/>
  <c r="AC17" i="21"/>
  <c r="W17" i="21"/>
  <c r="AR13" i="1"/>
  <c r="AQ13" i="1"/>
  <c r="T13" i="1"/>
  <c r="AQ10" i="1"/>
  <c r="AR10" i="1"/>
  <c r="AB12" i="39"/>
  <c r="U12" i="39"/>
  <c r="S19" i="40"/>
  <c r="AA19" i="40"/>
  <c r="S9" i="37"/>
  <c r="AA9" i="37"/>
  <c r="AA42" i="33"/>
  <c r="S42" i="33"/>
  <c r="AZ513" i="3"/>
  <c r="AZ567" i="3"/>
  <c r="AZ546" i="3"/>
  <c r="W14" i="40"/>
  <c r="AC14" i="40"/>
  <c r="AA33" i="40"/>
  <c r="S33" i="40"/>
  <c r="AB12" i="40"/>
  <c r="U12" i="40"/>
  <c r="AB14" i="39"/>
  <c r="U14" i="39"/>
  <c r="AC28" i="37"/>
  <c r="W28" i="37"/>
  <c r="W13" i="37"/>
  <c r="AC13" i="37"/>
  <c r="AC35" i="35"/>
  <c r="W35" i="35"/>
  <c r="S25" i="35"/>
  <c r="AA25" i="35"/>
  <c r="S13" i="35"/>
  <c r="AA13" i="35"/>
  <c r="AA13" i="34"/>
  <c r="S13" i="34"/>
  <c r="U13" i="34"/>
  <c r="AB13" i="34"/>
  <c r="U14" i="33"/>
  <c r="AB14" i="33"/>
  <c r="AA40" i="37"/>
  <c r="S40" i="37"/>
  <c r="U40" i="37"/>
  <c r="AB40" i="37"/>
  <c r="AB13" i="36"/>
  <c r="U13" i="36"/>
  <c r="S11" i="35"/>
  <c r="AA11" i="35"/>
  <c r="W14" i="34"/>
  <c r="AC14" i="34"/>
  <c r="W45" i="33"/>
  <c r="AC45" i="33"/>
  <c r="U29" i="33"/>
  <c r="AB29" i="33"/>
  <c r="S13" i="33"/>
  <c r="AA13" i="33"/>
  <c r="AB29" i="35"/>
  <c r="U29" i="35"/>
  <c r="AA11" i="33"/>
  <c r="S11" i="33"/>
  <c r="W20" i="35"/>
  <c r="AC20" i="35"/>
  <c r="W30" i="35"/>
  <c r="AC30" i="35"/>
  <c r="AB22" i="35"/>
  <c r="U22" i="35"/>
  <c r="AB34" i="21"/>
  <c r="U34" i="21"/>
  <c r="W35" i="21"/>
  <c r="AC35" i="21"/>
  <c r="H13" i="21"/>
  <c r="J13" i="21"/>
  <c r="F13" i="21"/>
  <c r="H46" i="21"/>
  <c r="J46" i="21"/>
  <c r="F46" i="21"/>
  <c r="F11" i="21"/>
  <c r="H11" i="21"/>
  <c r="J11" i="21"/>
  <c r="AB9" i="33"/>
  <c r="U9" i="33"/>
  <c r="AC33" i="33"/>
  <c r="W33" i="33"/>
  <c r="F11" i="34"/>
  <c r="F70" i="34"/>
  <c r="G70" i="34" s="1"/>
  <c r="H70" i="34" s="1"/>
  <c r="I70" i="34" s="1"/>
  <c r="J70" i="34" s="1"/>
  <c r="K70" i="34" s="1"/>
  <c r="L70" i="34" s="1"/>
  <c r="M70" i="34" s="1"/>
  <c r="H11" i="34"/>
  <c r="H25" i="34"/>
  <c r="F25" i="34"/>
  <c r="J25" i="34"/>
  <c r="F88" i="34"/>
  <c r="G88" i="34" s="1"/>
  <c r="H88" i="34" s="1"/>
  <c r="I88" i="34" s="1"/>
  <c r="J88" i="34" s="1"/>
  <c r="K88" i="34" s="1"/>
  <c r="L88" i="34" s="1"/>
  <c r="M88" i="34" s="1"/>
  <c r="F27" i="34"/>
  <c r="H27" i="34"/>
  <c r="J27" i="34"/>
  <c r="E102" i="34"/>
  <c r="F102" i="34" s="1"/>
  <c r="G102" i="34" s="1"/>
  <c r="H102" i="34" s="1"/>
  <c r="I102" i="34" s="1"/>
  <c r="J102" i="34" s="1"/>
  <c r="K102" i="34" s="1"/>
  <c r="L102" i="34" s="1"/>
  <c r="M102" i="34" s="1"/>
  <c r="F33" i="34"/>
  <c r="AA34" i="35"/>
  <c r="S34" i="35"/>
  <c r="J12" i="33"/>
  <c r="F12" i="33"/>
  <c r="H30" i="33"/>
  <c r="F30" i="33"/>
  <c r="F29" i="34"/>
  <c r="H29" i="34"/>
  <c r="AB31" i="36"/>
  <c r="U31" i="36"/>
  <c r="AC31" i="37"/>
  <c r="W31" i="37"/>
  <c r="J35" i="39"/>
  <c r="F35" i="39"/>
  <c r="BA584" i="3"/>
  <c r="AZ584" i="3" s="1"/>
  <c r="BL582" i="3"/>
  <c r="AZ582" i="3" s="1"/>
  <c r="BL572" i="3"/>
  <c r="BL566" i="3"/>
  <c r="AZ566" i="3" s="1"/>
  <c r="BA555" i="3"/>
  <c r="AZ555" i="3" s="1"/>
  <c r="BL553" i="3"/>
  <c r="AZ553" i="3" s="1"/>
  <c r="BL547" i="3"/>
  <c r="BA545" i="3"/>
  <c r="AZ545" i="3" s="1"/>
  <c r="BK5" i="3"/>
  <c r="BA544" i="3"/>
  <c r="AZ544" i="3" s="1"/>
  <c r="BJ5" i="3"/>
  <c r="BA542" i="3"/>
  <c r="M76" i="43"/>
  <c r="N76" i="43" s="1"/>
  <c r="K76" i="43"/>
  <c r="M109" i="43"/>
  <c r="M102" i="43"/>
  <c r="M103" i="43"/>
  <c r="S35" i="33"/>
  <c r="AA35" i="33"/>
  <c r="I20" i="43"/>
  <c r="G6" i="1"/>
  <c r="AA15" i="39"/>
  <c r="S15" i="39"/>
  <c r="U19" i="40"/>
  <c r="AB19" i="40"/>
  <c r="AB12" i="37"/>
  <c r="U12" i="37"/>
  <c r="W9" i="37"/>
  <c r="AC9" i="37"/>
  <c r="S26" i="36"/>
  <c r="AA26" i="36"/>
  <c r="U17" i="37"/>
  <c r="AB17" i="37"/>
  <c r="AZ517" i="3"/>
  <c r="AZ572" i="3"/>
  <c r="AC14" i="37"/>
  <c r="W14" i="37"/>
  <c r="AA27" i="37"/>
  <c r="S27" i="37"/>
  <c r="U13" i="40"/>
  <c r="AB13" i="40"/>
  <c r="AC37" i="37"/>
  <c r="W37" i="37"/>
  <c r="U28" i="36"/>
  <c r="AB28" i="36"/>
  <c r="U11" i="35"/>
  <c r="AB11" i="35"/>
  <c r="AC33" i="35"/>
  <c r="W33" i="35"/>
  <c r="W28" i="33"/>
  <c r="AC28" i="33"/>
  <c r="U28" i="33"/>
  <c r="AB28" i="33"/>
  <c r="W28" i="34"/>
  <c r="AC28" i="34"/>
  <c r="AC16" i="35"/>
  <c r="W16" i="35"/>
  <c r="AB31" i="39"/>
  <c r="U31" i="39"/>
  <c r="AA29" i="36"/>
  <c r="S29" i="36"/>
  <c r="B113" i="43"/>
  <c r="C101" i="43"/>
  <c r="L101" i="43"/>
  <c r="D101" i="43"/>
  <c r="D103" i="43" s="1"/>
  <c r="I101" i="43"/>
  <c r="G22" i="43"/>
  <c r="S2" i="43"/>
  <c r="AJ11" i="43"/>
  <c r="AJ13" i="43" s="1"/>
  <c r="AF11" i="43"/>
  <c r="AB11" i="43"/>
  <c r="AB13" i="43" s="1"/>
  <c r="Z7" i="43"/>
  <c r="AI11" i="43"/>
  <c r="AI13" i="43" s="1"/>
  <c r="AE11" i="43"/>
  <c r="AE13" i="43" s="1"/>
  <c r="AA11" i="43"/>
  <c r="AA13" i="43" s="1"/>
  <c r="S6" i="43"/>
  <c r="S4" i="43"/>
  <c r="S7" i="43"/>
  <c r="AA8" i="21"/>
  <c r="S8" i="21"/>
  <c r="AB38" i="33"/>
  <c r="U38" i="33"/>
  <c r="W14" i="35"/>
  <c r="AC14" i="35"/>
  <c r="J31" i="34"/>
  <c r="H31" i="34"/>
  <c r="F31" i="34"/>
  <c r="H45" i="34"/>
  <c r="J45" i="34"/>
  <c r="F45" i="34"/>
  <c r="F47" i="34"/>
  <c r="H47" i="34"/>
  <c r="AC24" i="35"/>
  <c r="W24" i="35"/>
  <c r="J12" i="36"/>
  <c r="H12" i="36"/>
  <c r="F12" i="36"/>
  <c r="J24" i="36"/>
  <c r="H24" i="36"/>
  <c r="AB29" i="37"/>
  <c r="U29" i="37"/>
  <c r="AA30" i="37"/>
  <c r="S30" i="37"/>
  <c r="AB14" i="37"/>
  <c r="U14" i="37"/>
  <c r="W42" i="34"/>
  <c r="AC42" i="34"/>
  <c r="AA30" i="36"/>
  <c r="S30" i="36"/>
  <c r="BL583" i="3"/>
  <c r="BA583" i="3"/>
  <c r="AZ583" i="3" s="1"/>
  <c r="BL573" i="3"/>
  <c r="BA573" i="3"/>
  <c r="AZ573" i="3" s="1"/>
  <c r="BL569" i="3"/>
  <c r="BA569" i="3"/>
  <c r="AZ569" i="3" s="1"/>
  <c r="BL557" i="3"/>
  <c r="AZ557" i="3" s="1"/>
  <c r="BL556" i="3"/>
  <c r="BA556" i="3"/>
  <c r="BL554" i="3"/>
  <c r="BA554" i="3"/>
  <c r="BA552" i="3"/>
  <c r="AZ552" i="3" s="1"/>
  <c r="BL548" i="3"/>
  <c r="BA548" i="3"/>
  <c r="AZ548" i="3" s="1"/>
  <c r="BL544" i="3"/>
  <c r="BN5" i="3"/>
  <c r="BL543" i="3"/>
  <c r="AZ543" i="3" s="1"/>
  <c r="BL542" i="3"/>
  <c r="H7" i="35"/>
  <c r="J7" i="37"/>
  <c r="M74" i="43"/>
  <c r="N74" i="43" s="1"/>
  <c r="K74" i="43"/>
  <c r="M70" i="43"/>
  <c r="N70" i="43" s="1"/>
  <c r="K70" i="43"/>
  <c r="M77" i="43"/>
  <c r="N77" i="43" s="1"/>
  <c r="K77" i="43"/>
  <c r="H7" i="33"/>
  <c r="F7" i="33"/>
  <c r="J7" i="33"/>
  <c r="M106" i="43"/>
  <c r="S3" i="43"/>
  <c r="U27" i="33"/>
  <c r="U26" i="35"/>
  <c r="AB9" i="35"/>
  <c r="AA21" i="39"/>
  <c r="T11" i="1"/>
  <c r="U17" i="21"/>
  <c r="U15" i="21"/>
  <c r="AB15" i="21"/>
  <c r="AC14" i="33"/>
  <c r="U44" i="33"/>
  <c r="U32" i="34"/>
  <c r="AB9" i="34"/>
  <c r="W33" i="34"/>
  <c r="AA30" i="34"/>
  <c r="AA29" i="37"/>
  <c r="AA31" i="37"/>
  <c r="S33" i="37"/>
  <c r="AA16" i="35"/>
  <c r="S23" i="39"/>
  <c r="AB11" i="39"/>
  <c r="S13" i="40"/>
  <c r="M72" i="43"/>
  <c r="N72" i="43" s="1"/>
  <c r="K72" i="43"/>
  <c r="F7" i="21"/>
  <c r="H7" i="21"/>
  <c r="J7" i="21"/>
  <c r="M71" i="43"/>
  <c r="N71" i="43" s="1"/>
  <c r="K71" i="43"/>
  <c r="Y11" i="43"/>
  <c r="Y13" i="43" s="1"/>
  <c r="AG11" i="43"/>
  <c r="Z11" i="43"/>
  <c r="Z13" i="43" s="1"/>
  <c r="AH11" i="43"/>
  <c r="E101" i="43"/>
  <c r="E109" i="43" s="1"/>
  <c r="H101" i="43"/>
  <c r="AB8" i="21"/>
  <c r="W17" i="37"/>
  <c r="AC17" i="37"/>
  <c r="AC10" i="35"/>
  <c r="S20" i="35"/>
  <c r="S32" i="35"/>
  <c r="S23" i="35"/>
  <c r="AB20" i="36"/>
  <c r="S27" i="36"/>
  <c r="AC15" i="39"/>
  <c r="W39" i="39"/>
  <c r="C77" i="78"/>
  <c r="C74" i="78" s="1"/>
  <c r="N101" i="43"/>
  <c r="AB34" i="36"/>
  <c r="H33" i="34"/>
  <c r="U27" i="36"/>
  <c r="AB27" i="36"/>
  <c r="U34" i="33"/>
  <c r="AB34" i="33"/>
  <c r="S10" i="33"/>
  <c r="AA10" i="33"/>
  <c r="S11" i="40"/>
  <c r="S27" i="40"/>
  <c r="AA27" i="40"/>
  <c r="U27" i="40"/>
  <c r="AB27" i="40"/>
  <c r="U20" i="35"/>
  <c r="AB20" i="35"/>
  <c r="W20" i="36"/>
  <c r="AC20" i="36"/>
  <c r="U13" i="37"/>
  <c r="AC11" i="39"/>
  <c r="U35" i="21"/>
  <c r="H73" i="43"/>
  <c r="G73" i="43" s="1"/>
  <c r="H75" i="43"/>
  <c r="G75" i="43" s="1"/>
  <c r="H78" i="43"/>
  <c r="G78" i="43" s="1"/>
  <c r="BB5" i="3"/>
  <c r="AZ321" i="3"/>
  <c r="H62" i="43"/>
  <c r="H65" i="43"/>
  <c r="H63" i="43"/>
  <c r="W35" i="40"/>
  <c r="E7" i="34"/>
  <c r="C59" i="34"/>
  <c r="D59" i="34" s="1"/>
  <c r="E59" i="34" s="1"/>
  <c r="F59" i="34" s="1"/>
  <c r="G59" i="34" s="1"/>
  <c r="H59" i="34" s="1"/>
  <c r="I59" i="34" s="1"/>
  <c r="J59" i="34" s="1"/>
  <c r="K59" i="34" s="1"/>
  <c r="L59" i="34" s="1"/>
  <c r="M59" i="34" s="1"/>
  <c r="N59" i="34" s="1"/>
  <c r="O59" i="34" s="1"/>
  <c r="S12" i="39"/>
  <c r="AA12" i="39"/>
  <c r="S36" i="35"/>
  <c r="AA36" i="35"/>
  <c r="AC32" i="36"/>
  <c r="AC43" i="33"/>
  <c r="W43" i="33"/>
  <c r="S22" i="36"/>
  <c r="AA22" i="36"/>
  <c r="AB27" i="37"/>
  <c r="U25" i="21"/>
  <c r="AB25" i="21"/>
  <c r="AZ581" i="3"/>
  <c r="AZ518" i="3"/>
  <c r="AZ522" i="3"/>
  <c r="AZ562" i="3"/>
  <c r="S15" i="21"/>
  <c r="AA15" i="21"/>
  <c r="AB11" i="36"/>
  <c r="AC27" i="37"/>
  <c r="W27" i="37"/>
  <c r="AB14" i="40"/>
  <c r="U14" i="40"/>
  <c r="W13" i="40"/>
  <c r="AC13" i="40"/>
  <c r="AA43" i="39"/>
  <c r="S43" i="39"/>
  <c r="H28" i="37"/>
  <c r="S13" i="37"/>
  <c r="AA13" i="37"/>
  <c r="W25" i="36"/>
  <c r="AC25" i="36"/>
  <c r="H25" i="35"/>
  <c r="J47" i="34"/>
  <c r="J29" i="34"/>
  <c r="H46" i="33"/>
  <c r="J44" i="33"/>
  <c r="U37" i="37"/>
  <c r="AB37" i="37"/>
  <c r="AC11" i="36"/>
  <c r="W11" i="36"/>
  <c r="AB32" i="36"/>
  <c r="U32" i="36"/>
  <c r="U46" i="34"/>
  <c r="AB46" i="34"/>
  <c r="S14" i="34"/>
  <c r="AA14" i="34"/>
  <c r="U45" i="33"/>
  <c r="AB45" i="33"/>
  <c r="AB13" i="33"/>
  <c r="U13" i="33"/>
  <c r="U34" i="37"/>
  <c r="AB33" i="37"/>
  <c r="U33" i="37"/>
  <c r="S29" i="35"/>
  <c r="AA29" i="35"/>
  <c r="AA32" i="33"/>
  <c r="S32" i="33"/>
  <c r="AC33" i="37"/>
  <c r="W33" i="37"/>
  <c r="S35" i="37"/>
  <c r="AA35" i="37"/>
  <c r="AB14" i="35"/>
  <c r="U14" i="35"/>
  <c r="F24" i="36"/>
  <c r="AB16" i="36"/>
  <c r="U16" i="36"/>
  <c r="S40" i="21"/>
  <c r="AC27" i="39"/>
  <c r="W27" i="39"/>
  <c r="AA31" i="39"/>
  <c r="S31" i="39"/>
  <c r="AB11" i="40"/>
  <c r="U11" i="40"/>
  <c r="S40" i="33"/>
  <c r="W9" i="34"/>
  <c r="W33" i="36"/>
  <c r="AC33" i="36"/>
  <c r="AB12" i="21"/>
  <c r="U12" i="21"/>
  <c r="AC8" i="21"/>
  <c r="W8" i="21"/>
  <c r="BA587" i="3"/>
  <c r="AZ587" i="3" s="1"/>
  <c r="J29" i="21"/>
  <c r="H29" i="21"/>
  <c r="F29" i="21"/>
  <c r="J44" i="21"/>
  <c r="H44" i="21"/>
  <c r="F44" i="21"/>
  <c r="E77" i="21"/>
  <c r="F77" i="21" s="1"/>
  <c r="G77" i="21" s="1"/>
  <c r="J15" i="21"/>
  <c r="E66" i="21"/>
  <c r="F66" i="21" s="1"/>
  <c r="G66" i="21" s="1"/>
  <c r="H66" i="21" s="1"/>
  <c r="I66" i="21" s="1"/>
  <c r="J10" i="21"/>
  <c r="F10" i="21"/>
  <c r="F69" i="21"/>
  <c r="G69" i="21" s="1"/>
  <c r="H69" i="21" s="1"/>
  <c r="I69" i="21" s="1"/>
  <c r="J69" i="21" s="1"/>
  <c r="K69" i="21" s="1"/>
  <c r="L69" i="21" s="1"/>
  <c r="M69" i="21" s="1"/>
  <c r="AB8" i="33"/>
  <c r="U8" i="33"/>
  <c r="AA9" i="33"/>
  <c r="S9" i="33"/>
  <c r="AC9" i="33"/>
  <c r="W9" i="33"/>
  <c r="H12" i="33"/>
  <c r="AA15" i="33"/>
  <c r="S15" i="33"/>
  <c r="AB35" i="33"/>
  <c r="U35" i="33"/>
  <c r="F27" i="33"/>
  <c r="J27" i="33"/>
  <c r="J26" i="33"/>
  <c r="F26" i="33"/>
  <c r="F9" i="34"/>
  <c r="AA9" i="34" s="1"/>
  <c r="AB32" i="35"/>
  <c r="U32" i="35"/>
  <c r="AC36" i="35"/>
  <c r="W36" i="35"/>
  <c r="J9" i="35"/>
  <c r="F9" i="35"/>
  <c r="H23" i="35"/>
  <c r="J23" i="35"/>
  <c r="AC30" i="36"/>
  <c r="H25" i="37"/>
  <c r="J25" i="37"/>
  <c r="F25" i="37"/>
  <c r="U8" i="39"/>
  <c r="AB8" i="39"/>
  <c r="AC9" i="39"/>
  <c r="W9" i="39"/>
  <c r="AA40" i="39"/>
  <c r="S40" i="39"/>
  <c r="J13" i="39"/>
  <c r="H13" i="39"/>
  <c r="H35" i="39"/>
  <c r="H44" i="39"/>
  <c r="J44" i="39"/>
  <c r="J37" i="39"/>
  <c r="F37" i="39"/>
  <c r="H37" i="39"/>
  <c r="AA8" i="40"/>
  <c r="S8" i="40"/>
  <c r="AB9" i="40"/>
  <c r="U9" i="40"/>
  <c r="AB38" i="40"/>
  <c r="U38" i="40"/>
  <c r="AC28" i="40"/>
  <c r="W28" i="40"/>
  <c r="AC32" i="40"/>
  <c r="W32" i="40"/>
  <c r="AZ551" i="3"/>
  <c r="AZ398" i="3"/>
  <c r="AZ405" i="3"/>
  <c r="AZ407" i="3"/>
  <c r="AZ410" i="3"/>
  <c r="AZ415" i="3"/>
  <c r="AZ420" i="3"/>
  <c r="AZ426" i="3"/>
  <c r="AZ431" i="3"/>
  <c r="AZ448" i="3"/>
  <c r="AZ452" i="3"/>
  <c r="AZ461" i="3"/>
  <c r="AZ463" i="3"/>
  <c r="AZ468" i="3"/>
  <c r="AZ470" i="3"/>
  <c r="AZ479" i="3"/>
  <c r="AZ485" i="3"/>
  <c r="AZ385" i="3"/>
  <c r="AZ210" i="3"/>
  <c r="AZ225" i="3"/>
  <c r="AZ239" i="3"/>
  <c r="AZ255" i="3"/>
  <c r="AZ277" i="3"/>
  <c r="F53" i="78"/>
  <c r="D68" i="78"/>
  <c r="F54" i="78"/>
  <c r="F52" i="78"/>
  <c r="F43" i="21"/>
  <c r="H43" i="21"/>
  <c r="J43" i="21"/>
  <c r="F15" i="34"/>
  <c r="H15" i="34"/>
  <c r="J15" i="34"/>
  <c r="F35" i="34"/>
  <c r="H35" i="34"/>
  <c r="H40" i="34"/>
  <c r="J40" i="34"/>
  <c r="F40" i="34"/>
  <c r="H44" i="34"/>
  <c r="J44" i="34"/>
  <c r="F44" i="34"/>
  <c r="F41" i="34"/>
  <c r="H41" i="34"/>
  <c r="J41" i="34"/>
  <c r="BA550" i="3"/>
  <c r="AZ550" i="3" s="1"/>
  <c r="AZ489" i="3"/>
  <c r="AZ316" i="3"/>
  <c r="AZ332" i="3"/>
  <c r="AZ220" i="3"/>
  <c r="AZ264" i="3"/>
  <c r="AZ282" i="3"/>
  <c r="BT5" i="3"/>
  <c r="BR5" i="3"/>
  <c r="G28" i="6" s="1"/>
  <c r="BQ5" i="3"/>
  <c r="D93" i="78"/>
  <c r="D78" i="78"/>
  <c r="AB21" i="33"/>
  <c r="U21" i="33"/>
  <c r="AC18" i="36"/>
  <c r="W18" i="36"/>
  <c r="AB29" i="39"/>
  <c r="U29" i="39"/>
  <c r="AA29" i="39"/>
  <c r="S29" i="39"/>
  <c r="AA15" i="71"/>
  <c r="AA17" i="71"/>
  <c r="E17" i="71"/>
  <c r="AA14" i="71"/>
  <c r="AA27" i="71"/>
  <c r="AA26" i="71"/>
  <c r="X28" i="71"/>
  <c r="X24" i="71"/>
  <c r="X23" i="71"/>
  <c r="Z12" i="43"/>
  <c r="Z10" i="43"/>
  <c r="AD12" i="43"/>
  <c r="AD13" i="43" s="1"/>
  <c r="AD10" i="43"/>
  <c r="AF12" i="43"/>
  <c r="AF10" i="43"/>
  <c r="AH12" i="43"/>
  <c r="AH10" i="43"/>
  <c r="AJ12" i="43"/>
  <c r="AJ10" i="43"/>
  <c r="Y13" i="71"/>
  <c r="Z13" i="71" s="1"/>
  <c r="Y15" i="71"/>
  <c r="Z15" i="71" s="1"/>
  <c r="Y14" i="71"/>
  <c r="Z14" i="71" s="1"/>
  <c r="AB15" i="71"/>
  <c r="AB14" i="71"/>
  <c r="A15" i="62"/>
  <c r="B61" i="72" s="1"/>
  <c r="X10" i="71"/>
  <c r="Y7" i="71"/>
  <c r="Z7" i="71" s="1"/>
  <c r="Y10" i="71"/>
  <c r="Z10" i="71" s="1"/>
  <c r="Y3" i="71"/>
  <c r="Z3" i="71" s="1"/>
  <c r="X5" i="71"/>
  <c r="AA3" i="71"/>
  <c r="AA6" i="71"/>
  <c r="BA17" i="3"/>
  <c r="BH5" i="3"/>
  <c r="BD5" i="3"/>
  <c r="BI5" i="3"/>
  <c r="BE5" i="3"/>
  <c r="BA15" i="3"/>
  <c r="BP5" i="3"/>
  <c r="BL15" i="3"/>
  <c r="BM5" i="3"/>
  <c r="F29" i="6" s="1"/>
  <c r="D78" i="9"/>
  <c r="AZ290" i="3"/>
  <c r="AZ301" i="3"/>
  <c r="AZ122" i="3"/>
  <c r="AZ125" i="3"/>
  <c r="AZ169" i="3"/>
  <c r="AZ201" i="3"/>
  <c r="AZ45" i="3"/>
  <c r="AZ47" i="3"/>
  <c r="AZ49" i="3"/>
  <c r="AZ51" i="3"/>
  <c r="AZ53" i="3"/>
  <c r="AZ56" i="3"/>
  <c r="AZ60" i="3"/>
  <c r="AZ73" i="3"/>
  <c r="AZ78" i="3"/>
  <c r="AZ87" i="3"/>
  <c r="C21" i="68"/>
  <c r="C40" i="68"/>
  <c r="B86" i="43"/>
  <c r="C25" i="40"/>
  <c r="AA18" i="35"/>
  <c r="S18" i="35"/>
  <c r="D16" i="71"/>
  <c r="T33" i="71"/>
  <c r="D33" i="71"/>
  <c r="C49" i="71"/>
  <c r="D55" i="71"/>
  <c r="O54" i="71"/>
  <c r="AA16" i="71"/>
  <c r="D60" i="71"/>
  <c r="C59" i="71"/>
  <c r="D59" i="71" s="1"/>
  <c r="O56" i="71"/>
  <c r="D56" i="71"/>
  <c r="X14" i="71"/>
  <c r="Y16" i="71"/>
  <c r="Z16" i="71" s="1"/>
  <c r="D24" i="71"/>
  <c r="C25" i="71"/>
  <c r="AA21" i="71"/>
  <c r="Y20" i="71"/>
  <c r="Z20" i="71" s="1"/>
  <c r="Y17" i="71"/>
  <c r="Z17" i="71" s="1"/>
  <c r="Y19" i="71"/>
  <c r="Z19" i="71" s="1"/>
  <c r="X20" i="71"/>
  <c r="X21" i="71"/>
  <c r="X18" i="71"/>
  <c r="X15" i="71"/>
  <c r="X17" i="71"/>
  <c r="X16" i="71"/>
  <c r="AB21" i="71"/>
  <c r="AB18" i="71"/>
  <c r="AB17" i="71"/>
  <c r="X22" i="71"/>
  <c r="AA20" i="71"/>
  <c r="E23" i="71"/>
  <c r="E24" i="71" s="1"/>
  <c r="E25" i="71" s="1"/>
  <c r="U25" i="71" s="1"/>
  <c r="AA19" i="71"/>
  <c r="B36" i="71"/>
  <c r="B37" i="71" s="1"/>
  <c r="S37" i="71" s="1"/>
  <c r="C36" i="71"/>
  <c r="D36" i="71" s="1"/>
  <c r="D35" i="71"/>
  <c r="F27" i="21"/>
  <c r="H27" i="21"/>
  <c r="J27" i="21"/>
  <c r="F37" i="21"/>
  <c r="G37" i="21"/>
  <c r="BL18" i="3"/>
  <c r="BA19" i="3"/>
  <c r="AZ19" i="3" s="1"/>
  <c r="BL20" i="3"/>
  <c r="BA21" i="3"/>
  <c r="AZ21" i="3" s="1"/>
  <c r="BL22" i="3"/>
  <c r="BA23" i="3"/>
  <c r="AZ23" i="3" s="1"/>
  <c r="BL24" i="3"/>
  <c r="BA25" i="3"/>
  <c r="AZ25" i="3" s="1"/>
  <c r="BL26" i="3"/>
  <c r="BA27" i="3"/>
  <c r="AZ27" i="3" s="1"/>
  <c r="BL28" i="3"/>
  <c r="BA29" i="3"/>
  <c r="AZ29" i="3" s="1"/>
  <c r="BL30" i="3"/>
  <c r="BA31" i="3"/>
  <c r="AZ31" i="3" s="1"/>
  <c r="BL32" i="3"/>
  <c r="BA33" i="3"/>
  <c r="AZ33" i="3" s="1"/>
  <c r="BL34" i="3"/>
  <c r="BA35" i="3"/>
  <c r="AZ35" i="3" s="1"/>
  <c r="BL36" i="3"/>
  <c r="BA37" i="3"/>
  <c r="AZ37" i="3" s="1"/>
  <c r="BL38" i="3"/>
  <c r="BA39" i="3"/>
  <c r="AZ39" i="3" s="1"/>
  <c r="BL40" i="3"/>
  <c r="BA41" i="3"/>
  <c r="AZ41" i="3" s="1"/>
  <c r="BL42" i="3"/>
  <c r="BA43" i="3"/>
  <c r="AZ43" i="3" s="1"/>
  <c r="AZ99" i="3"/>
  <c r="AZ103" i="3"/>
  <c r="AZ106" i="3"/>
  <c r="B7" i="1"/>
  <c r="E7" i="1" s="1"/>
  <c r="J51" i="15"/>
  <c r="M47" i="78"/>
  <c r="C21" i="69"/>
  <c r="C40" i="69"/>
  <c r="AB21" i="34"/>
  <c r="U21" i="34"/>
  <c r="B75" i="43"/>
  <c r="B66" i="43"/>
  <c r="C29" i="39"/>
  <c r="AB23" i="71"/>
  <c r="AB22" i="71"/>
  <c r="AA24" i="71"/>
  <c r="AA25" i="71"/>
  <c r="E36" i="71"/>
  <c r="E37" i="71" s="1"/>
  <c r="U37" i="71" s="1"/>
  <c r="B52" i="71"/>
  <c r="B53" i="71" s="1"/>
  <c r="S53" i="71" s="1"/>
  <c r="E52" i="71"/>
  <c r="E53" i="71" s="1"/>
  <c r="U53" i="71" s="1"/>
  <c r="U61" i="71"/>
  <c r="E60" i="71"/>
  <c r="E59" i="71" s="1"/>
  <c r="AA12" i="71"/>
  <c r="AA13" i="71"/>
  <c r="AA11" i="71"/>
  <c r="E13" i="71"/>
  <c r="X11" i="71"/>
  <c r="B13" i="71"/>
  <c r="X13" i="71"/>
  <c r="G53" i="3"/>
  <c r="G51" i="3"/>
  <c r="G49" i="3"/>
  <c r="G47" i="3"/>
  <c r="G45" i="3"/>
  <c r="BA52" i="3"/>
  <c r="AZ52" i="3" s="1"/>
  <c r="BA50" i="3"/>
  <c r="AZ50" i="3" s="1"/>
  <c r="BA48" i="3"/>
  <c r="AZ48" i="3" s="1"/>
  <c r="BA46" i="3"/>
  <c r="AZ46" i="3" s="1"/>
  <c r="K6" i="1"/>
  <c r="G1" i="15"/>
  <c r="E28" i="71"/>
  <c r="E29" i="71" s="1"/>
  <c r="E19" i="71"/>
  <c r="E20" i="71" s="1"/>
  <c r="E21" i="71" s="1"/>
  <c r="U21" i="71" s="1"/>
  <c r="AA18" i="71"/>
  <c r="X19" i="71"/>
  <c r="AB19" i="71"/>
  <c r="AA23" i="71"/>
  <c r="Y24" i="71"/>
  <c r="Z24" i="71" s="1"/>
  <c r="Y22" i="71"/>
  <c r="Z22" i="71" s="1"/>
  <c r="B27" i="71"/>
  <c r="B28" i="71" s="1"/>
  <c r="B29" i="71" s="1"/>
  <c r="S29" i="71" s="1"/>
  <c r="X26" i="71"/>
  <c r="AB27" i="71"/>
  <c r="AB26" i="71"/>
  <c r="S57" i="71"/>
  <c r="B56" i="71"/>
  <c r="N57" i="71"/>
  <c r="X6" i="71"/>
  <c r="Y6" i="71"/>
  <c r="Z6" i="71" s="1"/>
  <c r="Y5" i="71"/>
  <c r="Z5" i="71" s="1"/>
  <c r="AB6" i="71"/>
  <c r="B3" i="74"/>
  <c r="C1" i="73"/>
  <c r="C53" i="10"/>
  <c r="G43" i="3"/>
  <c r="G41" i="3"/>
  <c r="G39" i="3"/>
  <c r="G37" i="3"/>
  <c r="G35" i="3"/>
  <c r="G33" i="3"/>
  <c r="G31" i="3"/>
  <c r="G29" i="3"/>
  <c r="G27" i="3"/>
  <c r="G25" i="3"/>
  <c r="G23" i="3"/>
  <c r="G21" i="3"/>
  <c r="G19" i="3"/>
  <c r="G17" i="3"/>
  <c r="G15" i="3"/>
  <c r="G13" i="3"/>
  <c r="AC12" i="43"/>
  <c r="AC13" i="43" s="1"/>
  <c r="AC10" i="43"/>
  <c r="AG12" i="43"/>
  <c r="AG10" i="43"/>
  <c r="Y11" i="71"/>
  <c r="Z11" i="71" s="1"/>
  <c r="Y12" i="71"/>
  <c r="Z12" i="71" s="1"/>
  <c r="C13" i="71"/>
  <c r="AB12" i="71"/>
  <c r="AB13" i="71"/>
  <c r="G52" i="3"/>
  <c r="G50" i="3"/>
  <c r="G48" i="3"/>
  <c r="G46" i="3"/>
  <c r="AB10" i="71"/>
  <c r="AA10" i="71"/>
  <c r="X7" i="71"/>
  <c r="AA7" i="71"/>
  <c r="AB7" i="71"/>
  <c r="AA5" i="71"/>
  <c r="AB5" i="71"/>
  <c r="C37" i="34"/>
  <c r="Y7" i="1"/>
  <c r="C54" i="31"/>
  <c r="C52" i="31"/>
  <c r="C50" i="31"/>
  <c r="C48" i="31"/>
  <c r="C46" i="31"/>
  <c r="C44" i="31"/>
  <c r="C42" i="31"/>
  <c r="C40" i="31"/>
  <c r="C38" i="31"/>
  <c r="C36" i="31"/>
  <c r="C34" i="31"/>
  <c r="C32" i="31"/>
  <c r="C30" i="31"/>
  <c r="C28" i="31"/>
  <c r="C26" i="31"/>
  <c r="B22" i="31"/>
  <c r="B15" i="74" s="1"/>
  <c r="BA13" i="3"/>
  <c r="AZ13" i="3" s="1"/>
  <c r="K38" i="77"/>
  <c r="BC44" i="3"/>
  <c r="BC5" i="3" s="1"/>
  <c r="E12" i="6" s="1"/>
  <c r="H44" i="3"/>
  <c r="F20" i="6"/>
  <c r="BA42" i="3"/>
  <c r="BA40" i="3"/>
  <c r="AZ40" i="3" s="1"/>
  <c r="BA38" i="3"/>
  <c r="BA36" i="3"/>
  <c r="AZ36" i="3" s="1"/>
  <c r="BA34" i="3"/>
  <c r="BA32" i="3"/>
  <c r="AZ32" i="3" s="1"/>
  <c r="BA30" i="3"/>
  <c r="BA28" i="3"/>
  <c r="AZ28" i="3" s="1"/>
  <c r="BA26" i="3"/>
  <c r="BA24" i="3"/>
  <c r="AZ24" i="3" s="1"/>
  <c r="BA22" i="3"/>
  <c r="BA20" i="3"/>
  <c r="AZ20" i="3" s="1"/>
  <c r="BA18" i="3"/>
  <c r="BA16" i="3"/>
  <c r="AZ16" i="3" s="1"/>
  <c r="BA14" i="3"/>
  <c r="A3" i="3"/>
  <c r="C53" i="31"/>
  <c r="C51" i="31"/>
  <c r="C49" i="31"/>
  <c r="C47" i="31"/>
  <c r="C45" i="31"/>
  <c r="C43" i="31"/>
  <c r="C41" i="31"/>
  <c r="C39" i="31"/>
  <c r="C37" i="31"/>
  <c r="C35" i="31"/>
  <c r="C33" i="31"/>
  <c r="C31" i="31"/>
  <c r="C29" i="31"/>
  <c r="C27" i="31"/>
  <c r="C25" i="31"/>
  <c r="G89" i="21"/>
  <c r="H89" i="21" s="1"/>
  <c r="I89" i="21" s="1"/>
  <c r="AB42" i="21"/>
  <c r="U42" i="21"/>
  <c r="F42" i="21"/>
  <c r="C15" i="12"/>
  <c r="C12" i="12"/>
  <c r="E8" i="6"/>
  <c r="E11" i="6"/>
  <c r="F22" i="43"/>
  <c r="F101" i="43"/>
  <c r="E22" i="43"/>
  <c r="H22" i="43"/>
  <c r="AZ17" i="3"/>
  <c r="AZ42" i="3"/>
  <c r="AZ38" i="3"/>
  <c r="AZ34" i="3"/>
  <c r="AZ30" i="3"/>
  <c r="AZ26" i="3"/>
  <c r="AZ22" i="3"/>
  <c r="AZ18" i="3"/>
  <c r="D117" i="43"/>
  <c r="E117" i="43" s="1"/>
  <c r="F117" i="43" s="1"/>
  <c r="G117" i="43" s="1"/>
  <c r="H117" i="43" s="1"/>
  <c r="J101" i="43"/>
  <c r="G101" i="43"/>
  <c r="K101" i="43"/>
  <c r="E15" i="6"/>
  <c r="F28" i="6"/>
  <c r="D29" i="43"/>
  <c r="D1" i="43" s="1"/>
  <c r="AZ14" i="3"/>
  <c r="D107" i="43"/>
  <c r="I103" i="43"/>
  <c r="I106" i="43"/>
  <c r="I102" i="43"/>
  <c r="M105" i="43"/>
  <c r="M107" i="43"/>
  <c r="M104" i="43"/>
  <c r="AC17" i="34"/>
  <c r="AB17" i="34"/>
  <c r="AB23" i="34"/>
  <c r="B10" i="49"/>
  <c r="E6" i="49"/>
  <c r="B13" i="49"/>
  <c r="E4" i="4" s="1"/>
  <c r="B5" i="62" s="1"/>
  <c r="B73" i="72" s="1"/>
  <c r="S9" i="34"/>
  <c r="E22" i="49"/>
  <c r="E21" i="49"/>
  <c r="E4" i="49"/>
  <c r="E10" i="49"/>
  <c r="E7" i="49"/>
  <c r="N56" i="78"/>
  <c r="J56" i="78"/>
  <c r="J57" i="78" s="1"/>
  <c r="J59" i="78" s="1"/>
  <c r="J61" i="78" s="1"/>
  <c r="M56" i="78"/>
  <c r="M56" i="9"/>
  <c r="B6" i="49"/>
  <c r="B4" i="49"/>
  <c r="E11" i="49"/>
  <c r="E8" i="49"/>
  <c r="B11" i="49"/>
  <c r="E9" i="49"/>
  <c r="B14" i="49"/>
  <c r="B8" i="49"/>
  <c r="E14" i="49"/>
  <c r="B9" i="49"/>
  <c r="C4" i="4" s="1"/>
  <c r="B4" i="62" s="1"/>
  <c r="B71" i="72" s="1"/>
  <c r="J56" i="9"/>
  <c r="J57" i="9" s="1"/>
  <c r="J59" i="9" s="1"/>
  <c r="J61" i="9" s="1"/>
  <c r="K56" i="9"/>
  <c r="N56" i="9"/>
  <c r="B10" i="70"/>
  <c r="B11" i="70"/>
  <c r="B9" i="70"/>
  <c r="M59" i="67"/>
  <c r="N59" i="67"/>
  <c r="L58" i="67"/>
  <c r="L59" i="67"/>
  <c r="B8" i="70"/>
  <c r="B13" i="70"/>
  <c r="B12" i="70"/>
  <c r="Q71" i="67"/>
  <c r="F68" i="67"/>
  <c r="C27" i="67"/>
  <c r="F51" i="67"/>
  <c r="J53" i="67"/>
  <c r="J57" i="67"/>
  <c r="J55" i="67" s="1"/>
  <c r="J58" i="67" s="1"/>
  <c r="Q50" i="67" s="1"/>
  <c r="L56" i="67"/>
  <c r="J59" i="67"/>
  <c r="J60" i="67"/>
  <c r="Q48" i="67" s="1"/>
  <c r="L60" i="67"/>
  <c r="F70" i="67"/>
  <c r="F66" i="67"/>
  <c r="F65" i="67"/>
  <c r="F64" i="67"/>
  <c r="F7" i="67"/>
  <c r="F43" i="67"/>
  <c r="M29" i="67"/>
  <c r="E105" i="43" l="1"/>
  <c r="F71" i="67"/>
  <c r="M7" i="67"/>
  <c r="J6" i="67" s="1"/>
  <c r="C6" i="67"/>
  <c r="C33" i="67" s="1"/>
  <c r="F50" i="67"/>
  <c r="C49" i="67" s="1"/>
  <c r="F30" i="6"/>
  <c r="D22" i="43"/>
  <c r="C21" i="43" s="1"/>
  <c r="I4" i="6"/>
  <c r="B55" i="71"/>
  <c r="N56" i="71"/>
  <c r="B12" i="71"/>
  <c r="B11" i="71" s="1"/>
  <c r="B10" i="71" s="1"/>
  <c r="B9" i="71" s="1"/>
  <c r="S13" i="71"/>
  <c r="E12" i="71"/>
  <c r="E11" i="71" s="1"/>
  <c r="E10" i="71" s="1"/>
  <c r="E9" i="71" s="1"/>
  <c r="V13" i="71"/>
  <c r="AA37" i="21"/>
  <c r="S37" i="21"/>
  <c r="E16" i="71"/>
  <c r="E15" i="71" s="1"/>
  <c r="V17" i="71"/>
  <c r="AB41" i="34"/>
  <c r="U41" i="34"/>
  <c r="AB44" i="34"/>
  <c r="U44" i="34"/>
  <c r="AB35" i="34"/>
  <c r="U35" i="34"/>
  <c r="AA15" i="34"/>
  <c r="S15" i="34"/>
  <c r="AC9" i="35"/>
  <c r="W9" i="35"/>
  <c r="W27" i="33"/>
  <c r="AC27" i="33"/>
  <c r="U12" i="33"/>
  <c r="AB12" i="33"/>
  <c r="U44" i="21"/>
  <c r="AB44" i="21"/>
  <c r="W29" i="21"/>
  <c r="AC29" i="21"/>
  <c r="AB46" i="33"/>
  <c r="U46" i="33"/>
  <c r="AC47" i="34"/>
  <c r="W47" i="34"/>
  <c r="U28" i="37"/>
  <c r="AB28" i="37"/>
  <c r="M78" i="43"/>
  <c r="N78" i="43" s="1"/>
  <c r="K78" i="43"/>
  <c r="M73" i="43"/>
  <c r="N73" i="43" s="1"/>
  <c r="K73" i="43"/>
  <c r="E104" i="43"/>
  <c r="E106" i="43"/>
  <c r="E102" i="43"/>
  <c r="E103" i="43"/>
  <c r="U7" i="33"/>
  <c r="AB7" i="33"/>
  <c r="T48" i="33" s="1"/>
  <c r="G48" i="33" s="1"/>
  <c r="G29" i="6"/>
  <c r="E29" i="6" s="1"/>
  <c r="U24" i="36"/>
  <c r="AB24" i="36"/>
  <c r="AA12" i="36"/>
  <c r="S12" i="36"/>
  <c r="AC12" i="36"/>
  <c r="W12" i="36"/>
  <c r="AA47" i="34"/>
  <c r="S47" i="34"/>
  <c r="W45" i="34"/>
  <c r="AC45" i="34"/>
  <c r="AA31" i="34"/>
  <c r="S31" i="34"/>
  <c r="W31" i="34"/>
  <c r="AC31" i="34"/>
  <c r="D109" i="43"/>
  <c r="D106" i="43"/>
  <c r="D105" i="43"/>
  <c r="D102" i="43"/>
  <c r="J76" i="43"/>
  <c r="D76" i="43"/>
  <c r="AZ542" i="3"/>
  <c r="AA35" i="39"/>
  <c r="S35" i="39"/>
  <c r="AB29" i="34"/>
  <c r="U29" i="34"/>
  <c r="AA30" i="33"/>
  <c r="S30" i="33"/>
  <c r="AA12" i="33"/>
  <c r="S12" i="33"/>
  <c r="AC27" i="34"/>
  <c r="W27" i="34"/>
  <c r="AC25" i="34"/>
  <c r="W25" i="34"/>
  <c r="AA11" i="21"/>
  <c r="S11" i="21"/>
  <c r="AA13" i="21"/>
  <c r="S13" i="21"/>
  <c r="U7" i="37"/>
  <c r="AB7" i="37"/>
  <c r="T42" i="37" s="1"/>
  <c r="G42" i="37" s="1"/>
  <c r="AB7" i="36"/>
  <c r="T36" i="36" s="1"/>
  <c r="G36" i="36" s="1"/>
  <c r="U7" i="36"/>
  <c r="F68" i="39"/>
  <c r="E70" i="39"/>
  <c r="AC7" i="35"/>
  <c r="V38" i="35" s="1"/>
  <c r="I38" i="35" s="1"/>
  <c r="W7" i="35"/>
  <c r="H65" i="40"/>
  <c r="I63" i="40"/>
  <c r="E20" i="6"/>
  <c r="C34" i="34"/>
  <c r="B16" i="74"/>
  <c r="B1" i="74" s="1"/>
  <c r="AB27" i="21"/>
  <c r="U27" i="21"/>
  <c r="T25" i="71"/>
  <c r="D25" i="71"/>
  <c r="G30" i="6"/>
  <c r="G31" i="6" s="1"/>
  <c r="AA44" i="34"/>
  <c r="S44" i="34"/>
  <c r="AC40" i="34"/>
  <c r="W40" i="34"/>
  <c r="AC15" i="34"/>
  <c r="W15" i="34"/>
  <c r="AB43" i="21"/>
  <c r="U43" i="21"/>
  <c r="AA37" i="39"/>
  <c r="S37" i="39"/>
  <c r="AC44" i="39"/>
  <c r="W44" i="39"/>
  <c r="AB35" i="39"/>
  <c r="U35" i="39"/>
  <c r="W13" i="39"/>
  <c r="AC13" i="39"/>
  <c r="W25" i="37"/>
  <c r="AC25" i="37"/>
  <c r="AB23" i="35"/>
  <c r="U23" i="35"/>
  <c r="AA26" i="33"/>
  <c r="S26" i="33"/>
  <c r="S10" i="21"/>
  <c r="AA10" i="21"/>
  <c r="AA29" i="21"/>
  <c r="S29" i="21"/>
  <c r="AB7" i="21"/>
  <c r="U7" i="21"/>
  <c r="J72" i="43"/>
  <c r="D72" i="43"/>
  <c r="AC7" i="33"/>
  <c r="V48" i="33" s="1"/>
  <c r="I48" i="33" s="1"/>
  <c r="W7" i="33"/>
  <c r="AB7" i="35"/>
  <c r="T38" i="35" s="1"/>
  <c r="G38" i="35" s="1"/>
  <c r="U7" i="35"/>
  <c r="C104" i="43"/>
  <c r="C106" i="43"/>
  <c r="C107" i="43"/>
  <c r="C103" i="43"/>
  <c r="C105" i="43"/>
  <c r="C102" i="43"/>
  <c r="C109" i="43"/>
  <c r="AA33" i="34"/>
  <c r="S33" i="34"/>
  <c r="AA27" i="34"/>
  <c r="S27" i="34"/>
  <c r="AB25" i="34"/>
  <c r="U25" i="34"/>
  <c r="W11" i="21"/>
  <c r="AC11" i="21"/>
  <c r="W46" i="21"/>
  <c r="AC46" i="21"/>
  <c r="U13" i="21"/>
  <c r="AB13" i="21"/>
  <c r="B38" i="72"/>
  <c r="D20" i="53"/>
  <c r="B40" i="72" s="1"/>
  <c r="S7" i="37"/>
  <c r="AA7" i="37"/>
  <c r="R42" i="37" s="1"/>
  <c r="E107" i="43"/>
  <c r="D104" i="43"/>
  <c r="E28" i="6"/>
  <c r="K14" i="1" s="1"/>
  <c r="E14" i="6"/>
  <c r="H26" i="21"/>
  <c r="G44" i="3"/>
  <c r="H5" i="3"/>
  <c r="BA44" i="3"/>
  <c r="F37" i="34"/>
  <c r="J37" i="34"/>
  <c r="H37" i="34"/>
  <c r="C12" i="71"/>
  <c r="T13" i="71"/>
  <c r="D13" i="71"/>
  <c r="U13" i="71" s="1"/>
  <c r="L1" i="73"/>
  <c r="J1" i="73"/>
  <c r="U29" i="71"/>
  <c r="M19" i="43"/>
  <c r="AP6" i="1"/>
  <c r="C36" i="69" s="1"/>
  <c r="M6" i="1"/>
  <c r="I37" i="21"/>
  <c r="J37" i="21" s="1"/>
  <c r="H37" i="21"/>
  <c r="AC27" i="21"/>
  <c r="W27" i="21"/>
  <c r="AA27" i="21"/>
  <c r="S27" i="21"/>
  <c r="T49" i="71"/>
  <c r="D49" i="71"/>
  <c r="BL5" i="3"/>
  <c r="AZ15" i="3"/>
  <c r="AC41" i="34"/>
  <c r="W41" i="34"/>
  <c r="AA41" i="34"/>
  <c r="S41" i="34"/>
  <c r="AC44" i="34"/>
  <c r="W44" i="34"/>
  <c r="AA40" i="34"/>
  <c r="S40" i="34"/>
  <c r="AB40" i="34"/>
  <c r="U40" i="34"/>
  <c r="AA35" i="34"/>
  <c r="S35" i="34"/>
  <c r="AB15" i="34"/>
  <c r="U15" i="34"/>
  <c r="AC43" i="21"/>
  <c r="W43" i="21"/>
  <c r="AA43" i="21"/>
  <c r="S43" i="21"/>
  <c r="U37" i="39"/>
  <c r="AB37" i="39"/>
  <c r="AC37" i="39"/>
  <c r="W37" i="39"/>
  <c r="U44" i="39"/>
  <c r="AB44" i="39"/>
  <c r="AB13" i="39"/>
  <c r="U13" i="39"/>
  <c r="S25" i="37"/>
  <c r="AA25" i="37"/>
  <c r="U25" i="37"/>
  <c r="AB25" i="37"/>
  <c r="AC23" i="35"/>
  <c r="W23" i="35"/>
  <c r="AA9" i="35"/>
  <c r="S9" i="35"/>
  <c r="AC26" i="33"/>
  <c r="W26" i="33"/>
  <c r="AA27" i="33"/>
  <c r="S27" i="33"/>
  <c r="W10" i="21"/>
  <c r="AC10" i="21"/>
  <c r="W15" i="21"/>
  <c r="AC15" i="21"/>
  <c r="S44" i="21"/>
  <c r="AA44" i="21"/>
  <c r="W44" i="21"/>
  <c r="AC44" i="21"/>
  <c r="AB29" i="21"/>
  <c r="U29" i="21"/>
  <c r="AA24" i="36"/>
  <c r="S24" i="36"/>
  <c r="AC44" i="33"/>
  <c r="W44" i="33"/>
  <c r="AC29" i="34"/>
  <c r="W29" i="34"/>
  <c r="AB25" i="35"/>
  <c r="U25" i="35"/>
  <c r="G7" i="34"/>
  <c r="F7" i="34"/>
  <c r="E13" i="6"/>
  <c r="E10" i="6"/>
  <c r="E5" i="6"/>
  <c r="M75" i="43"/>
  <c r="N75" i="43" s="1"/>
  <c r="K75" i="43"/>
  <c r="J75" i="43" s="1"/>
  <c r="D75" i="43" s="1"/>
  <c r="U33" i="34"/>
  <c r="AB33" i="34"/>
  <c r="N102" i="43"/>
  <c r="N105" i="43"/>
  <c r="N107" i="43"/>
  <c r="N109" i="43"/>
  <c r="N106" i="43"/>
  <c r="N104" i="43"/>
  <c r="N103" i="43"/>
  <c r="H107" i="43"/>
  <c r="H106" i="43"/>
  <c r="H105" i="43"/>
  <c r="H103" i="43"/>
  <c r="H109" i="43"/>
  <c r="H102" i="43"/>
  <c r="H104" i="43"/>
  <c r="AH13" i="43"/>
  <c r="AG13" i="43"/>
  <c r="D71" i="43"/>
  <c r="J71" i="43"/>
  <c r="AC7" i="21"/>
  <c r="W7" i="21"/>
  <c r="AA7" i="21"/>
  <c r="S7" i="21"/>
  <c r="S7" i="33"/>
  <c r="AA7" i="33"/>
  <c r="R48" i="33" s="1"/>
  <c r="D77" i="43"/>
  <c r="J77" i="43"/>
  <c r="J70" i="43"/>
  <c r="D70" i="43"/>
  <c r="J74" i="43"/>
  <c r="D74" i="43"/>
  <c r="AC7" i="37"/>
  <c r="V42" i="37" s="1"/>
  <c r="I42" i="37" s="1"/>
  <c r="W7" i="37"/>
  <c r="F7" i="36"/>
  <c r="AZ554" i="3"/>
  <c r="AZ556" i="3"/>
  <c r="AC24" i="36"/>
  <c r="W24" i="36"/>
  <c r="U12" i="36"/>
  <c r="AB12" i="36"/>
  <c r="U47" i="34"/>
  <c r="AB47" i="34"/>
  <c r="S45" i="34"/>
  <c r="AA45" i="34"/>
  <c r="AB45" i="34"/>
  <c r="U45" i="34"/>
  <c r="AB31" i="34"/>
  <c r="U31" i="34"/>
  <c r="AF13" i="43"/>
  <c r="I109" i="43"/>
  <c r="I104" i="43"/>
  <c r="I105" i="43"/>
  <c r="I107" i="43"/>
  <c r="L109" i="43"/>
  <c r="L102" i="43"/>
  <c r="L105" i="43"/>
  <c r="L104" i="43"/>
  <c r="L106" i="43"/>
  <c r="L103" i="43"/>
  <c r="L107" i="43"/>
  <c r="B115" i="43"/>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B116" i="43"/>
  <c r="C116" i="43" s="1"/>
  <c r="I116" i="43"/>
  <c r="J116" i="43" s="1"/>
  <c r="K116" i="43" s="1"/>
  <c r="L116" i="43" s="1"/>
  <c r="M116" i="43" s="1"/>
  <c r="D118" i="43"/>
  <c r="E118" i="43" s="1"/>
  <c r="F118" i="43" s="1"/>
  <c r="I117" i="43"/>
  <c r="J117" i="43" s="1"/>
  <c r="K117" i="43" s="1"/>
  <c r="L117" i="43" s="1"/>
  <c r="M117" i="43" s="1"/>
  <c r="AC35" i="39"/>
  <c r="W35" i="39"/>
  <c r="AA29" i="34"/>
  <c r="S29" i="34"/>
  <c r="U30" i="33"/>
  <c r="AB30" i="33"/>
  <c r="W12" i="33"/>
  <c r="AC12" i="33"/>
  <c r="AB27" i="34"/>
  <c r="U27" i="34"/>
  <c r="AA25" i="34"/>
  <c r="S25" i="34"/>
  <c r="AB11" i="34"/>
  <c r="U11" i="34"/>
  <c r="AA11" i="34"/>
  <c r="S11" i="34"/>
  <c r="AB11" i="21"/>
  <c r="U11" i="21"/>
  <c r="AA46" i="21"/>
  <c r="S46" i="21"/>
  <c r="U46" i="21"/>
  <c r="AB46" i="21"/>
  <c r="AC13" i="21"/>
  <c r="W13" i="21"/>
  <c r="J7" i="36"/>
  <c r="AA7" i="35"/>
  <c r="R38" i="35" s="1"/>
  <c r="S7" i="35"/>
  <c r="F26" i="21"/>
  <c r="J26" i="21"/>
  <c r="J89" i="21"/>
  <c r="K89" i="21" s="1"/>
  <c r="L89" i="21" s="1"/>
  <c r="M89" i="21" s="1"/>
  <c r="AB26" i="21"/>
  <c r="U26" i="21"/>
  <c r="AA42" i="21"/>
  <c r="S42" i="21"/>
  <c r="E60" i="40"/>
  <c r="E65" i="39"/>
  <c r="G105" i="43"/>
  <c r="G102" i="43"/>
  <c r="G107" i="43"/>
  <c r="G104" i="43"/>
  <c r="G106" i="43"/>
  <c r="G103" i="43"/>
  <c r="G109" i="43"/>
  <c r="F104" i="43"/>
  <c r="F102" i="43"/>
  <c r="F105" i="43"/>
  <c r="F109" i="43"/>
  <c r="F107" i="43"/>
  <c r="F106" i="43"/>
  <c r="F103" i="43"/>
  <c r="E64" i="39"/>
  <c r="E59" i="40"/>
  <c r="E57" i="40"/>
  <c r="E62" i="39"/>
  <c r="K103" i="43"/>
  <c r="K102" i="43"/>
  <c r="K105" i="43"/>
  <c r="K109" i="43"/>
  <c r="K107" i="43"/>
  <c r="K104" i="43"/>
  <c r="K106" i="43"/>
  <c r="J104" i="43"/>
  <c r="J105" i="43"/>
  <c r="J107" i="43"/>
  <c r="J102" i="43"/>
  <c r="J109" i="43"/>
  <c r="J103" i="43"/>
  <c r="J106" i="43"/>
  <c r="E61" i="39"/>
  <c r="E56" i="40"/>
  <c r="F27" i="6"/>
  <c r="F31" i="6" s="1"/>
  <c r="E56" i="39"/>
  <c r="E51" i="40"/>
  <c r="E16" i="6"/>
  <c r="C7" i="74"/>
  <c r="C8" i="74"/>
  <c r="K4" i="4"/>
  <c r="B46" i="48" s="1"/>
  <c r="B4" i="72" s="1"/>
  <c r="Q66" i="67"/>
  <c r="Q57" i="67"/>
  <c r="F1" i="67"/>
  <c r="Q52" i="67"/>
  <c r="Q73" i="67"/>
  <c r="Q60" i="67"/>
  <c r="J18" i="67"/>
  <c r="Q74" i="67"/>
  <c r="Q61" i="67"/>
  <c r="C16" i="67"/>
  <c r="M28" i="15"/>
  <c r="M9" i="15"/>
  <c r="M23" i="15"/>
  <c r="F16" i="15"/>
  <c r="F40" i="15"/>
  <c r="F13" i="15"/>
  <c r="C76" i="15"/>
  <c r="M22" i="15"/>
  <c r="F9" i="15"/>
  <c r="M8" i="15"/>
  <c r="F37" i="15"/>
  <c r="AE6" i="1"/>
  <c r="M6" i="15"/>
  <c r="F26" i="15"/>
  <c r="F38" i="15"/>
  <c r="J15" i="15"/>
  <c r="M24" i="15"/>
  <c r="F42" i="15"/>
  <c r="M27" i="15"/>
  <c r="F6" i="15"/>
  <c r="M26" i="15"/>
  <c r="F36" i="15"/>
  <c r="F8" i="15"/>
  <c r="L48" i="15"/>
  <c r="L47" i="15"/>
  <c r="C32" i="67" l="1"/>
  <c r="L59" i="15"/>
  <c r="N59" i="15"/>
  <c r="L58" i="15"/>
  <c r="M59" i="15"/>
  <c r="J60" i="15"/>
  <c r="Q48" i="15" s="1"/>
  <c r="L57" i="15"/>
  <c r="J59" i="15"/>
  <c r="I54" i="15"/>
  <c r="J53" i="15"/>
  <c r="J57" i="15"/>
  <c r="J55" i="15" s="1"/>
  <c r="J58" i="15" s="1"/>
  <c r="Q50" i="15" s="1"/>
  <c r="L60" i="15"/>
  <c r="L56" i="15"/>
  <c r="L46" i="15"/>
  <c r="F51" i="15"/>
  <c r="F64" i="15"/>
  <c r="F66" i="15"/>
  <c r="C27" i="15"/>
  <c r="F65" i="15"/>
  <c r="Q71" i="15"/>
  <c r="F68" i="15"/>
  <c r="E30" i="6"/>
  <c r="K15" i="1"/>
  <c r="L19" i="6"/>
  <c r="L27" i="6" s="1"/>
  <c r="E38" i="35"/>
  <c r="R39" i="35"/>
  <c r="AA7" i="36"/>
  <c r="R36" i="36" s="1"/>
  <c r="S7" i="36"/>
  <c r="I46" i="37"/>
  <c r="J46" i="37" s="1"/>
  <c r="AA7" i="34"/>
  <c r="S7" i="34"/>
  <c r="AB37" i="21"/>
  <c r="U37" i="21"/>
  <c r="AB37" i="34"/>
  <c r="U37" i="34"/>
  <c r="AA37" i="34"/>
  <c r="S37" i="34"/>
  <c r="M14" i="1"/>
  <c r="R43" i="37"/>
  <c r="E42" i="37"/>
  <c r="G42" i="35"/>
  <c r="H42" i="35" s="1"/>
  <c r="G43" i="35"/>
  <c r="H43" i="35" s="1"/>
  <c r="I52" i="33"/>
  <c r="J52" i="33" s="1"/>
  <c r="H34" i="34"/>
  <c r="J34" i="34"/>
  <c r="F34" i="34"/>
  <c r="I65" i="40"/>
  <c r="J63" i="40"/>
  <c r="G47" i="37"/>
  <c r="H47" i="37" s="1"/>
  <c r="G46" i="37"/>
  <c r="H46" i="37" s="1"/>
  <c r="E8" i="71"/>
  <c r="E7" i="71" s="1"/>
  <c r="E6" i="71" s="1"/>
  <c r="E5" i="71" s="1"/>
  <c r="V9" i="71"/>
  <c r="B8" i="71"/>
  <c r="B7" i="71" s="1"/>
  <c r="B6" i="71" s="1"/>
  <c r="B5" i="71" s="1"/>
  <c r="S9" i="71"/>
  <c r="N54" i="71"/>
  <c r="N55" i="71"/>
  <c r="T48" i="21"/>
  <c r="G48" i="21" s="1"/>
  <c r="W7" i="36"/>
  <c r="AC7" i="36"/>
  <c r="V36" i="36" s="1"/>
  <c r="I36" i="36" s="1"/>
  <c r="C115" i="43"/>
  <c r="D113" i="43" s="1"/>
  <c r="R49" i="33"/>
  <c r="E48" i="33"/>
  <c r="D9" i="11"/>
  <c r="C9" i="11" s="1"/>
  <c r="D9" i="69"/>
  <c r="C9" i="69" s="1"/>
  <c r="D9" i="68"/>
  <c r="C9" i="68" s="1"/>
  <c r="D19" i="12"/>
  <c r="C19" i="12" s="1"/>
  <c r="E58" i="40"/>
  <c r="E63" i="39"/>
  <c r="I7" i="34"/>
  <c r="J7" i="34" s="1"/>
  <c r="H7" i="34"/>
  <c r="AC37" i="21"/>
  <c r="W37" i="21"/>
  <c r="C36" i="11"/>
  <c r="C36" i="68"/>
  <c r="C11" i="71"/>
  <c r="D12" i="71"/>
  <c r="AC37" i="34"/>
  <c r="W37" i="34"/>
  <c r="AZ44" i="3"/>
  <c r="AZ5" i="3" s="1"/>
  <c r="BA5" i="3"/>
  <c r="E27" i="6" s="1"/>
  <c r="D3" i="34"/>
  <c r="M18" i="78"/>
  <c r="B118" i="78" s="1"/>
  <c r="K7" i="1"/>
  <c r="C34" i="69" s="1"/>
  <c r="I42" i="35"/>
  <c r="J42" i="35" s="1"/>
  <c r="I43" i="35"/>
  <c r="J43" i="35" s="1"/>
  <c r="F70" i="39"/>
  <c r="G68" i="39"/>
  <c r="G40" i="36"/>
  <c r="H40" i="36" s="1"/>
  <c r="G41" i="36"/>
  <c r="H41" i="36" s="1"/>
  <c r="G53" i="33"/>
  <c r="H53" i="33" s="1"/>
  <c r="G52" i="33"/>
  <c r="H52" i="33" s="1"/>
  <c r="D73" i="43"/>
  <c r="E70" i="43" s="1"/>
  <c r="B68" i="43" s="1"/>
  <c r="C24" i="43" s="1"/>
  <c r="J73" i="43"/>
  <c r="J78" i="43"/>
  <c r="D78" i="43"/>
  <c r="G5" i="3"/>
  <c r="B3" i="3" s="1"/>
  <c r="E44" i="3" s="1"/>
  <c r="G52" i="21"/>
  <c r="H52" i="21" s="1"/>
  <c r="S26" i="21"/>
  <c r="AA26" i="21"/>
  <c r="R48" i="21" s="1"/>
  <c r="AC26" i="21"/>
  <c r="V48" i="21" s="1"/>
  <c r="I48" i="21" s="1"/>
  <c r="I52" i="21" s="1"/>
  <c r="J52" i="21" s="1"/>
  <c r="W26" i="21"/>
  <c r="E66" i="39"/>
  <c r="F6" i="73"/>
  <c r="F5" i="73"/>
  <c r="F3" i="73"/>
  <c r="D6" i="73"/>
  <c r="D4" i="73"/>
  <c r="F7" i="15"/>
  <c r="M29" i="15"/>
  <c r="F43" i="15"/>
  <c r="F41" i="67"/>
  <c r="F4" i="73"/>
  <c r="F7" i="73"/>
  <c r="D7" i="73"/>
  <c r="D3" i="73"/>
  <c r="D5" i="73"/>
  <c r="G1" i="73" s="1"/>
  <c r="B40" i="1" l="1"/>
  <c r="I1" i="73"/>
  <c r="B39" i="1" s="1"/>
  <c r="F71" i="15"/>
  <c r="M7" i="15"/>
  <c r="J6" i="15" s="1"/>
  <c r="J18" i="15" s="1"/>
  <c r="F50" i="15"/>
  <c r="C49" i="15" s="1"/>
  <c r="C6" i="15"/>
  <c r="E20" i="43"/>
  <c r="C35" i="69"/>
  <c r="C38" i="69"/>
  <c r="E3" i="6"/>
  <c r="AY6" i="3"/>
  <c r="H68" i="39"/>
  <c r="G70" i="39"/>
  <c r="K21" i="6"/>
  <c r="M21" i="6" s="1"/>
  <c r="I21" i="6" s="1"/>
  <c r="S21" i="6" s="1"/>
  <c r="K25" i="6"/>
  <c r="M25" i="6" s="1"/>
  <c r="I25" i="6" s="1"/>
  <c r="S25" i="6" s="1"/>
  <c r="K24" i="6"/>
  <c r="M24" i="6" s="1"/>
  <c r="I24" i="6" s="1"/>
  <c r="S24" i="6" s="1"/>
  <c r="K20" i="6"/>
  <c r="K22" i="6"/>
  <c r="M22" i="6" s="1"/>
  <c r="I22" i="6" s="1"/>
  <c r="S22" i="6" s="1"/>
  <c r="K23" i="6"/>
  <c r="M23" i="6" s="1"/>
  <c r="I23" i="6" s="1"/>
  <c r="S23" i="6" s="1"/>
  <c r="K26" i="6"/>
  <c r="M26" i="6" s="1"/>
  <c r="I26" i="6" s="1"/>
  <c r="S26" i="6" s="1"/>
  <c r="K19" i="6"/>
  <c r="W7" i="34"/>
  <c r="AC7" i="34"/>
  <c r="C48" i="33"/>
  <c r="C49" i="33"/>
  <c r="I40" i="36"/>
  <c r="J40" i="36" s="1"/>
  <c r="K63" i="40"/>
  <c r="J65" i="40"/>
  <c r="AA34" i="34"/>
  <c r="S34" i="34"/>
  <c r="AB34" i="34"/>
  <c r="U34" i="34"/>
  <c r="C43" i="37"/>
  <c r="C42" i="37"/>
  <c r="C38" i="35"/>
  <c r="C39" i="35"/>
  <c r="B2" i="35" s="1"/>
  <c r="B3" i="35" s="1"/>
  <c r="K16" i="1"/>
  <c r="I3" i="6"/>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261" i="3"/>
  <c r="E528" i="3"/>
  <c r="E183" i="3"/>
  <c r="E361" i="3"/>
  <c r="E503" i="3"/>
  <c r="E329" i="3"/>
  <c r="E545" i="3"/>
  <c r="E510" i="3"/>
  <c r="E352" i="3"/>
  <c r="E205" i="3"/>
  <c r="E128" i="3"/>
  <c r="E358" i="3"/>
  <c r="E559" i="3"/>
  <c r="E551" i="3"/>
  <c r="V6" i="3"/>
  <c r="E407" i="3"/>
  <c r="E320" i="3"/>
  <c r="E294" i="3"/>
  <c r="E230" i="3"/>
  <c r="E130" i="3"/>
  <c r="E254" i="3"/>
  <c r="E221"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278" i="3"/>
  <c r="E563" i="3"/>
  <c r="E172" i="3"/>
  <c r="E445" i="3"/>
  <c r="E535" i="3"/>
  <c r="E583" i="3"/>
  <c r="X6" i="3"/>
  <c r="E336" i="3"/>
  <c r="E246" i="3"/>
  <c r="E293" i="3"/>
  <c r="E390" i="3"/>
  <c r="S6" i="3"/>
  <c r="E523" i="3"/>
  <c r="E506" i="3"/>
  <c r="E418" i="3"/>
  <c r="E338" i="3"/>
  <c r="E321" i="3"/>
  <c r="E298" i="3"/>
  <c r="E169" i="3"/>
  <c r="E61" i="3"/>
  <c r="E290" i="3"/>
  <c r="E117" i="3"/>
  <c r="E77" i="3"/>
  <c r="E253" i="3"/>
  <c r="E199" i="3"/>
  <c r="E286" i="3"/>
  <c r="E575" i="3"/>
  <c r="E499" i="3"/>
  <c r="R6" i="3"/>
  <c r="E502" i="3"/>
  <c r="E442" i="3"/>
  <c r="E466" i="3"/>
  <c r="E541" i="3"/>
  <c r="E430" i="3"/>
  <c r="E449" i="3"/>
  <c r="E255" i="3"/>
  <c r="E566" i="3"/>
  <c r="E500" i="3"/>
  <c r="E582" i="3"/>
  <c r="E413" i="3"/>
  <c r="E460" i="3"/>
  <c r="E520" i="3"/>
  <c r="E436" i="3"/>
  <c r="E39" i="3"/>
  <c r="E90" i="3"/>
  <c r="E57" i="3"/>
  <c r="E131" i="3"/>
  <c r="E187" i="3"/>
  <c r="E155" i="3"/>
  <c r="E240" i="3"/>
  <c r="E297" i="3"/>
  <c r="E259" i="3"/>
  <c r="E348" i="3"/>
  <c r="E378" i="3"/>
  <c r="E375" i="3"/>
  <c r="E544" i="3"/>
  <c r="E109" i="3"/>
  <c r="E29" i="3"/>
  <c r="E480" i="3"/>
  <c r="E441" i="3"/>
  <c r="E484" i="3"/>
  <c r="E446" i="3"/>
  <c r="E64" i="3"/>
  <c r="E103" i="3"/>
  <c r="E142" i="3"/>
  <c r="E267" i="3"/>
  <c r="E266" i="3"/>
  <c r="E386" i="3"/>
  <c r="E584" i="3"/>
  <c r="E84" i="3"/>
  <c r="E33" i="3"/>
  <c r="E184" i="3"/>
  <c r="E355" i="3"/>
  <c r="E68" i="3"/>
  <c r="E81" i="3"/>
  <c r="E179" i="3"/>
  <c r="E323" i="3"/>
  <c r="E82" i="3"/>
  <c r="E425" i="3"/>
  <c r="E98" i="3"/>
  <c r="E138" i="3"/>
  <c r="E163" i="3"/>
  <c r="E249" i="3"/>
  <c r="E371" i="3"/>
  <c r="E492" i="3"/>
  <c r="E24" i="3"/>
  <c r="E87" i="3"/>
  <c r="E250" i="3"/>
  <c r="E341" i="3"/>
  <c r="E51" i="3"/>
  <c r="E118" i="3"/>
  <c r="E283" i="3"/>
  <c r="E513"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237" i="3"/>
  <c r="E304" i="3"/>
  <c r="E565" i="3"/>
  <c r="E213" i="3"/>
  <c r="E17" i="3"/>
  <c r="E302" i="3"/>
  <c r="E539" i="3"/>
  <c r="E567" i="3"/>
  <c r="E461" i="3"/>
  <c r="E227" i="3"/>
  <c r="E165" i="3"/>
  <c r="E311" i="3"/>
  <c r="E514" i="3"/>
  <c r="E570" i="3"/>
  <c r="M6" i="3"/>
  <c r="AB6" i="3"/>
  <c r="E387" i="3"/>
  <c r="E335" i="3"/>
  <c r="E215" i="3"/>
  <c r="E189" i="3"/>
  <c r="E134" i="3"/>
  <c r="E91" i="3"/>
  <c r="E180"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4" i="3"/>
  <c r="E415" i="3"/>
  <c r="E395" i="3"/>
  <c r="E260" i="3"/>
  <c r="E550" i="3"/>
  <c r="E347" i="3"/>
  <c r="AA6" i="3"/>
  <c r="E399" i="3"/>
  <c r="E280" i="3"/>
  <c r="E124" i="3"/>
  <c r="E270" i="3"/>
  <c r="E533" i="3"/>
  <c r="AR6" i="3"/>
  <c r="E561" i="3"/>
  <c r="E538" i="3"/>
  <c r="E439" i="3"/>
  <c r="E380" i="3"/>
  <c r="E231" i="3"/>
  <c r="E216" i="3"/>
  <c r="E185" i="3"/>
  <c r="E135" i="3"/>
  <c r="E161" i="3"/>
  <c r="E149" i="3"/>
  <c r="E212" i="3"/>
  <c r="E167" i="3"/>
  <c r="E141" i="3"/>
  <c r="E312" i="3"/>
  <c r="AD6" i="3"/>
  <c r="E542" i="3"/>
  <c r="E552" i="3"/>
  <c r="E421" i="3"/>
  <c r="E464" i="3"/>
  <c r="E487" i="3"/>
  <c r="E398" i="3"/>
  <c r="E416" i="3"/>
  <c r="E459" i="3"/>
  <c r="E374" i="3"/>
  <c r="AP6" i="3"/>
  <c r="E554" i="3"/>
  <c r="E517" i="3"/>
  <c r="E435" i="3"/>
  <c r="E491" i="3"/>
  <c r="E417" i="3"/>
  <c r="E479" i="3"/>
  <c r="E56" i="3"/>
  <c r="E37" i="3"/>
  <c r="E95" i="3"/>
  <c r="E152" i="3"/>
  <c r="E132" i="3"/>
  <c r="E192" i="3"/>
  <c r="E258" i="3"/>
  <c r="E241" i="3"/>
  <c r="E292" i="3"/>
  <c r="E363" i="3"/>
  <c r="E349" i="3"/>
  <c r="E389" i="3"/>
  <c r="E58" i="3"/>
  <c r="E76" i="3"/>
  <c r="E110" i="3"/>
  <c r="E59" i="3"/>
  <c r="E540" i="3"/>
  <c r="E462" i="3"/>
  <c r="E521" i="3"/>
  <c r="E467" i="3"/>
  <c r="E46" i="3"/>
  <c r="E160" i="3"/>
  <c r="E200" i="3"/>
  <c r="E209" i="3"/>
  <c r="E307" i="3"/>
  <c r="E354" i="3"/>
  <c r="E23" i="3"/>
  <c r="E67" i="3"/>
  <c r="E144" i="3"/>
  <c r="E233" i="3"/>
  <c r="E381" i="3"/>
  <c r="E63" i="3"/>
  <c r="E154" i="3"/>
  <c r="E222" i="3"/>
  <c r="E373" i="3"/>
  <c r="E504" i="3"/>
  <c r="E47" i="3"/>
  <c r="E65" i="3"/>
  <c r="E195" i="3"/>
  <c r="E248" i="3"/>
  <c r="E300" i="3"/>
  <c r="E310" i="3"/>
  <c r="E66" i="3"/>
  <c r="E48" i="3"/>
  <c r="E127" i="3"/>
  <c r="E284" i="3"/>
  <c r="Y6" i="3"/>
  <c r="E19" i="3"/>
  <c r="E264" i="3"/>
  <c r="E309" i="3"/>
  <c r="E21" i="3"/>
  <c r="M7" i="1"/>
  <c r="Q16" i="1"/>
  <c r="G16" i="1"/>
  <c r="H16" i="1"/>
  <c r="D11" i="71"/>
  <c r="C10" i="71"/>
  <c r="U7" i="34"/>
  <c r="AB7" i="34"/>
  <c r="T49" i="34" s="1"/>
  <c r="G49" i="34" s="1"/>
  <c r="E53" i="33"/>
  <c r="F53" i="33" s="1"/>
  <c r="E52" i="33"/>
  <c r="F52" i="33" s="1"/>
  <c r="AC34" i="34"/>
  <c r="W34" i="34"/>
  <c r="I53" i="33"/>
  <c r="J53" i="33" s="1"/>
  <c r="E47" i="37"/>
  <c r="F47" i="37" s="1"/>
  <c r="E46" i="37"/>
  <c r="F46" i="37" s="1"/>
  <c r="R49" i="34"/>
  <c r="I47" i="37"/>
  <c r="J47" i="37" s="1"/>
  <c r="R37" i="36"/>
  <c r="E36" i="36"/>
  <c r="E43" i="35"/>
  <c r="F43" i="35" s="1"/>
  <c r="E42" i="35"/>
  <c r="F42" i="35" s="1"/>
  <c r="E31" i="6"/>
  <c r="Q57" i="15"/>
  <c r="Q66" i="15"/>
  <c r="F1" i="15"/>
  <c r="Q52" i="15"/>
  <c r="Q60" i="15"/>
  <c r="Q73" i="15"/>
  <c r="Q61" i="15"/>
  <c r="Q74" i="15"/>
  <c r="F69" i="67"/>
  <c r="G53" i="21"/>
  <c r="H53" i="21" s="1"/>
  <c r="R49" i="21"/>
  <c r="C48" i="21" s="1"/>
  <c r="E48" i="21"/>
  <c r="E52" i="21" s="1"/>
  <c r="F52" i="21" s="1"/>
  <c r="C16" i="15"/>
  <c r="AE7" i="1"/>
  <c r="F41" i="15" s="1"/>
  <c r="F69" i="15" l="1"/>
  <c r="C37" i="36"/>
  <c r="B2" i="36" s="1"/>
  <c r="B3" i="36" s="1"/>
  <c r="C36" i="36"/>
  <c r="E49" i="34"/>
  <c r="E40" i="36"/>
  <c r="F40" i="36" s="1"/>
  <c r="E41" i="36"/>
  <c r="F41" i="36" s="1"/>
  <c r="G53" i="34"/>
  <c r="H53" i="34" s="1"/>
  <c r="D10" i="71"/>
  <c r="C9" i="71"/>
  <c r="F28" i="12"/>
  <c r="C29" i="12" s="1"/>
  <c r="D28" i="12" s="1"/>
  <c r="F27" i="68"/>
  <c r="F27" i="69"/>
  <c r="F27" i="11"/>
  <c r="H6" i="3"/>
  <c r="L63" i="40"/>
  <c r="K65" i="40"/>
  <c r="V49" i="34"/>
  <c r="I49" i="34" s="1"/>
  <c r="M19" i="6"/>
  <c r="K27" i="6"/>
  <c r="S6" i="1"/>
  <c r="S7" i="1"/>
  <c r="M20" i="6"/>
  <c r="I20" i="6" s="1"/>
  <c r="AY103" i="3"/>
  <c r="AY67" i="3"/>
  <c r="AY50" i="3"/>
  <c r="AY196" i="3"/>
  <c r="AY160" i="3"/>
  <c r="AY139" i="3"/>
  <c r="AY289" i="3"/>
  <c r="AY74" i="3"/>
  <c r="AY183" i="3"/>
  <c r="AY123" i="3"/>
  <c r="AY261" i="3"/>
  <c r="AY204" i="3"/>
  <c r="AY284" i="3"/>
  <c r="AY252" i="3"/>
  <c r="AY51" i="3"/>
  <c r="AY207" i="3"/>
  <c r="AY124" i="3"/>
  <c r="AY42" i="3"/>
  <c r="AY281" i="3"/>
  <c r="AY168"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83" i="3"/>
  <c r="AY23" i="3"/>
  <c r="AY155" i="3"/>
  <c r="AY59" i="3"/>
  <c r="AY131" i="3"/>
  <c r="AY58" i="3"/>
  <c r="AY268"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146"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19" i="3"/>
  <c r="AY151" i="3"/>
  <c r="AY265" i="3"/>
  <c r="AY394" i="3"/>
  <c r="AY315" i="3"/>
  <c r="AY451" i="3"/>
  <c r="AY500" i="3"/>
  <c r="AY560" i="3"/>
  <c r="BL6" i="3"/>
  <c r="AY91" i="3"/>
  <c r="AY55" i="3"/>
  <c r="AY38" i="3"/>
  <c r="AY184" i="3"/>
  <c r="AY148" i="3"/>
  <c r="AY128" i="3"/>
  <c r="AY277" i="3"/>
  <c r="AY241" i="3"/>
  <c r="AY224" i="3"/>
  <c r="AY391" i="3"/>
  <c r="AY354" i="3"/>
  <c r="AY338" i="3"/>
  <c r="AY490" i="3"/>
  <c r="AY448" i="3"/>
  <c r="AY429" i="3"/>
  <c r="BD6" i="3"/>
  <c r="AY511" i="3"/>
  <c r="AY586" i="3"/>
  <c r="AY47" i="3"/>
  <c r="AY203" i="3"/>
  <c r="AY120" i="3"/>
  <c r="AY233" i="3"/>
  <c r="AY383" i="3"/>
  <c r="AY330" i="3"/>
  <c r="AY440" i="3"/>
  <c r="AY13" i="3"/>
  <c r="AY528" i="3"/>
  <c r="AY576" i="3"/>
  <c r="AY102" i="3"/>
  <c r="AY39" i="3"/>
  <c r="AY22" i="3"/>
  <c r="AY195" i="3"/>
  <c r="AY175" i="3"/>
  <c r="AY136" i="3"/>
  <c r="AY288" i="3"/>
  <c r="AY272" i="3"/>
  <c r="AY208" i="3"/>
  <c r="AY375" i="3"/>
  <c r="AY339" i="3"/>
  <c r="AY322" i="3"/>
  <c r="AY474" i="3"/>
  <c r="AY432" i="3"/>
  <c r="AY413" i="3"/>
  <c r="AY15" i="3"/>
  <c r="AY583" i="3"/>
  <c r="AY567" i="3"/>
  <c r="D3" i="6"/>
  <c r="AY98" i="3"/>
  <c r="AY82" i="3"/>
  <c r="AY18" i="3"/>
  <c r="AY191" i="3"/>
  <c r="AY171" i="3"/>
  <c r="AY132" i="3"/>
  <c r="AY90" i="3"/>
  <c r="AY31" i="3"/>
  <c r="AY163" i="3"/>
  <c r="AY292" i="3"/>
  <c r="AY75" i="3"/>
  <c r="AY147" i="3"/>
  <c r="AY237" i="3"/>
  <c r="AY87" i="3"/>
  <c r="AY34" i="3"/>
  <c r="AY144" i="3"/>
  <c r="AY95" i="3"/>
  <c r="AY152" i="3"/>
  <c r="AY111" i="3"/>
  <c r="AY253"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66" i="3"/>
  <c r="AY176" i="3"/>
  <c r="AY115" i="3"/>
  <c r="AY188" i="3"/>
  <c r="AY276" i="3"/>
  <c r="AY29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62" i="3"/>
  <c r="AY172" i="3"/>
  <c r="AY301" i="3"/>
  <c r="AY248" i="3"/>
  <c r="AY359" i="3"/>
  <c r="AY485" i="3"/>
  <c r="AY408" i="3"/>
  <c r="AY517" i="3"/>
  <c r="AY512" i="3"/>
  <c r="AY587" i="3"/>
  <c r="AY86" i="3"/>
  <c r="AY70" i="3"/>
  <c r="AY27" i="3"/>
  <c r="AY179" i="3"/>
  <c r="AY159" i="3"/>
  <c r="AY119" i="3"/>
  <c r="AY273" i="3"/>
  <c r="AY256" i="3"/>
  <c r="AY213" i="3"/>
  <c r="AY367" i="3"/>
  <c r="AY323" i="3"/>
  <c r="AY306" i="3"/>
  <c r="AY459" i="3"/>
  <c r="AY416" i="3"/>
  <c r="AY550" i="3"/>
  <c r="BC6" i="3"/>
  <c r="AY504" i="3"/>
  <c r="AY498" i="3"/>
  <c r="AY30" i="3"/>
  <c r="AY140" i="3"/>
  <c r="AY296" i="3"/>
  <c r="AY216" i="3"/>
  <c r="AY347" i="3"/>
  <c r="AY482" i="3"/>
  <c r="AY421" i="3"/>
  <c r="AY547" i="3"/>
  <c r="AY568" i="3"/>
  <c r="AY107" i="3"/>
  <c r="AY71" i="3"/>
  <c r="AY54" i="3"/>
  <c r="AY200" i="3"/>
  <c r="AY164" i="3"/>
  <c r="AY143" i="3"/>
  <c r="AY293" i="3"/>
  <c r="AY257" i="3"/>
  <c r="AY240" i="3"/>
  <c r="AY386" i="3"/>
  <c r="AY351" i="3"/>
  <c r="AY307" i="3"/>
  <c r="AY477" i="3"/>
  <c r="AY443" i="3"/>
  <c r="AY400" i="3"/>
  <c r="AY521" i="3"/>
  <c r="AY566" i="3"/>
  <c r="BT6" i="3"/>
  <c r="O28" i="43"/>
  <c r="G20" i="43" s="1"/>
  <c r="N28" i="43"/>
  <c r="M28" i="43"/>
  <c r="P28" i="43"/>
  <c r="M11" i="67"/>
  <c r="J10" i="67" s="1"/>
  <c r="J5" i="67" s="1"/>
  <c r="M11" i="15"/>
  <c r="J10" i="15" s="1"/>
  <c r="J5" i="15" s="1"/>
  <c r="F11" i="67"/>
  <c r="F11" i="15"/>
  <c r="C53" i="15" s="1"/>
  <c r="C48" i="15" s="1"/>
  <c r="J10" i="40"/>
  <c r="F10" i="40"/>
  <c r="F10" i="39"/>
  <c r="H10" i="40"/>
  <c r="H10" i="39"/>
  <c r="J10" i="39"/>
  <c r="M16" i="1"/>
  <c r="AC6" i="3"/>
  <c r="I41" i="36"/>
  <c r="J41" i="36" s="1"/>
  <c r="I68" i="39"/>
  <c r="H70" i="39"/>
  <c r="D37" i="11"/>
  <c r="C37" i="11" s="1"/>
  <c r="C17" i="4"/>
  <c r="B4" i="52" s="1"/>
  <c r="B43" i="72" s="1"/>
  <c r="D19" i="11"/>
  <c r="C19" i="11" s="1"/>
  <c r="E6" i="6"/>
  <c r="D3" i="33"/>
  <c r="B2" i="33" s="1"/>
  <c r="B3" i="33" s="1"/>
  <c r="D14" i="12"/>
  <c r="D3" i="37"/>
  <c r="B2" i="37" s="1"/>
  <c r="B3" i="37" s="1"/>
  <c r="C32" i="15"/>
  <c r="C10" i="15"/>
  <c r="C5" i="15" s="1"/>
  <c r="C38" i="15" s="1"/>
  <c r="C33" i="15"/>
  <c r="F24" i="67"/>
  <c r="C24" i="67" s="1"/>
  <c r="F22" i="11"/>
  <c r="F22" i="69"/>
  <c r="F24" i="15"/>
  <c r="C24" i="15" s="1"/>
  <c r="F25" i="12"/>
  <c r="C26" i="12" s="1"/>
  <c r="D25" i="12" s="1"/>
  <c r="F22" i="68"/>
  <c r="I53" i="21"/>
  <c r="J53" i="21" s="1"/>
  <c r="E53" i="21"/>
  <c r="F53" i="21" s="1"/>
  <c r="C49" i="21"/>
  <c r="B3" i="21" s="1"/>
  <c r="B2" i="21"/>
  <c r="C17" i="15"/>
  <c r="D19" i="9"/>
  <c r="C14" i="67"/>
  <c r="C17" i="67"/>
  <c r="D20" i="9"/>
  <c r="C18" i="67" l="1"/>
  <c r="C15" i="67"/>
  <c r="C60" i="15"/>
  <c r="C66" i="15"/>
  <c r="C26" i="69"/>
  <c r="D22" i="69" s="1"/>
  <c r="C44" i="69"/>
  <c r="D41" i="69" s="1"/>
  <c r="W10" i="39"/>
  <c r="AC10" i="39"/>
  <c r="U10" i="40"/>
  <c r="AB10" i="40"/>
  <c r="AA10" i="40"/>
  <c r="S10" i="40"/>
  <c r="J24" i="15"/>
  <c r="J26" i="15"/>
  <c r="J29" i="15" s="1"/>
  <c r="S20" i="6"/>
  <c r="L18" i="78"/>
  <c r="AR6" i="1"/>
  <c r="T6" i="1"/>
  <c r="S16" i="1"/>
  <c r="E6" i="70"/>
  <c r="AQ6" i="1"/>
  <c r="M27" i="6"/>
  <c r="I19" i="6"/>
  <c r="E6" i="3"/>
  <c r="C47" i="69"/>
  <c r="D45" i="69" s="1"/>
  <c r="C29" i="69"/>
  <c r="D27" i="69" s="1"/>
  <c r="E54" i="34"/>
  <c r="F54" i="34" s="1"/>
  <c r="E53" i="34"/>
  <c r="F53" i="34" s="1"/>
  <c r="C24" i="11"/>
  <c r="C20" i="11"/>
  <c r="C25" i="11" s="1"/>
  <c r="J68" i="39"/>
  <c r="I70" i="39"/>
  <c r="C26" i="68"/>
  <c r="D22" i="68" s="1"/>
  <c r="C44" i="68"/>
  <c r="D41" i="68" s="1"/>
  <c r="C23" i="68"/>
  <c r="C26" i="11"/>
  <c r="D22" i="11" s="1"/>
  <c r="C44" i="11"/>
  <c r="D41" i="11" s="1"/>
  <c r="C23" i="11"/>
  <c r="C14" i="12"/>
  <c r="C16" i="12" s="1"/>
  <c r="D17" i="12"/>
  <c r="C17" i="12" s="1"/>
  <c r="D20" i="12"/>
  <c r="C20" i="12" s="1"/>
  <c r="C18" i="12" s="1"/>
  <c r="D10" i="69"/>
  <c r="D10" i="11"/>
  <c r="C10" i="11" s="1"/>
  <c r="D10" i="68"/>
  <c r="N16" i="1"/>
  <c r="C34" i="68"/>
  <c r="C34" i="11"/>
  <c r="L16" i="1"/>
  <c r="AB10" i="39"/>
  <c r="U10" i="39"/>
  <c r="S10" i="39"/>
  <c r="AA10" i="39"/>
  <c r="W10" i="40"/>
  <c r="AC10" i="40"/>
  <c r="C53" i="67"/>
  <c r="C48" i="67" s="1"/>
  <c r="C10" i="67"/>
  <c r="C5" i="67" s="1"/>
  <c r="C38" i="67" s="1"/>
  <c r="J24" i="67"/>
  <c r="J26" i="67"/>
  <c r="J29" i="67" s="1"/>
  <c r="C20" i="43"/>
  <c r="E41" i="43"/>
  <c r="C41" i="43" s="1"/>
  <c r="H23" i="6"/>
  <c r="C18" i="4"/>
  <c r="D6" i="6"/>
  <c r="H25" i="6"/>
  <c r="D25" i="6"/>
  <c r="D5" i="6"/>
  <c r="E61" i="40"/>
  <c r="D20" i="6"/>
  <c r="H26" i="6"/>
  <c r="D8" i="6"/>
  <c r="D9" i="6"/>
  <c r="H22" i="6"/>
  <c r="D15" i="6"/>
  <c r="D12" i="6"/>
  <c r="D24" i="6"/>
  <c r="H20" i="6"/>
  <c r="D23" i="6"/>
  <c r="R23" i="6" s="1"/>
  <c r="D10" i="6"/>
  <c r="H21" i="6"/>
  <c r="D22" i="6"/>
  <c r="R22" i="6" s="1"/>
  <c r="D11" i="6"/>
  <c r="D19" i="6"/>
  <c r="D28" i="6"/>
  <c r="D26" i="6"/>
  <c r="D14" i="6"/>
  <c r="D29" i="6"/>
  <c r="H24" i="6"/>
  <c r="D21" i="6"/>
  <c r="D13" i="6"/>
  <c r="E7" i="70"/>
  <c r="AR7" i="1"/>
  <c r="T7" i="1"/>
  <c r="AQ7" i="1"/>
  <c r="I53" i="34"/>
  <c r="J53" i="34" s="1"/>
  <c r="I54" i="34"/>
  <c r="J54" i="34" s="1"/>
  <c r="M63" i="40"/>
  <c r="L65" i="40"/>
  <c r="C47" i="11"/>
  <c r="D45" i="11" s="1"/>
  <c r="C29" i="11"/>
  <c r="D27" i="11" s="1"/>
  <c r="C29" i="68"/>
  <c r="D27" i="68" s="1"/>
  <c r="C47" i="68"/>
  <c r="D45" i="68" s="1"/>
  <c r="C8" i="71"/>
  <c r="T9" i="71"/>
  <c r="D9" i="71"/>
  <c r="U9" i="71" s="1"/>
  <c r="G54" i="34"/>
  <c r="H54" i="34" s="1"/>
  <c r="R50" i="34"/>
  <c r="D103" i="9"/>
  <c r="D102" i="9"/>
  <c r="C14" i="15"/>
  <c r="C19" i="67" l="1"/>
  <c r="C20" i="67" s="1"/>
  <c r="C26" i="67" s="1"/>
  <c r="D30" i="6"/>
  <c r="R25" i="6"/>
  <c r="C22" i="11"/>
  <c r="C18" i="15"/>
  <c r="C15" i="15"/>
  <c r="R24" i="6"/>
  <c r="T5" i="43"/>
  <c r="V5" i="43" s="1"/>
  <c r="T14" i="43"/>
  <c r="V14" i="43" s="1"/>
  <c r="T6" i="43"/>
  <c r="V6" i="43" s="1"/>
  <c r="C36" i="43"/>
  <c r="C35" i="43"/>
  <c r="C37" i="43"/>
  <c r="T15" i="43"/>
  <c r="V15" i="43" s="1"/>
  <c r="T9" i="43"/>
  <c r="V9" i="43" s="1"/>
  <c r="T12" i="43"/>
  <c r="V12" i="43" s="1"/>
  <c r="T11" i="43"/>
  <c r="V11" i="43" s="1"/>
  <c r="T4" i="43"/>
  <c r="V4" i="43" s="1"/>
  <c r="C29" i="43"/>
  <c r="T3" i="43"/>
  <c r="V3" i="43" s="1"/>
  <c r="T2" i="43"/>
  <c r="V2" i="43" s="1"/>
  <c r="T8" i="43"/>
  <c r="V8" i="43" s="1"/>
  <c r="T13" i="43"/>
  <c r="V13" i="43" s="1"/>
  <c r="T16" i="43"/>
  <c r="V16" i="43" s="1"/>
  <c r="C33" i="43"/>
  <c r="T7" i="43"/>
  <c r="V7" i="43" s="1"/>
  <c r="T10" i="43"/>
  <c r="V10" i="43" s="1"/>
  <c r="C34" i="43"/>
  <c r="C60" i="67"/>
  <c r="C66" i="67"/>
  <c r="C49" i="34"/>
  <c r="C50" i="34"/>
  <c r="C7" i="71"/>
  <c r="D8" i="71"/>
  <c r="N63" i="40"/>
  <c r="M65" i="40"/>
  <c r="R21" i="6"/>
  <c r="R26" i="6"/>
  <c r="M19" i="9"/>
  <c r="C118" i="9" s="1"/>
  <c r="C14" i="74" s="1"/>
  <c r="B2" i="74" s="1"/>
  <c r="D27" i="6"/>
  <c r="D16" i="6"/>
  <c r="R20" i="6"/>
  <c r="R7" i="1" s="1"/>
  <c r="M19" i="78"/>
  <c r="C118" i="78" s="1"/>
  <c r="L19" i="78"/>
  <c r="C4" i="52"/>
  <c r="B45" i="72" s="1"/>
  <c r="A10" i="51"/>
  <c r="B9" i="72" s="1"/>
  <c r="A7" i="51"/>
  <c r="B7" i="72" s="1"/>
  <c r="C39" i="43"/>
  <c r="C38" i="43"/>
  <c r="C35" i="68"/>
  <c r="C38" i="68"/>
  <c r="C10" i="68"/>
  <c r="D19" i="68"/>
  <c r="D19" i="69"/>
  <c r="C10" i="69"/>
  <c r="C8" i="69" s="1"/>
  <c r="C5" i="69" s="1"/>
  <c r="C23" i="69" s="1"/>
  <c r="C28" i="11"/>
  <c r="C27" i="11" s="1"/>
  <c r="K68" i="39"/>
  <c r="J70" i="39"/>
  <c r="L18" i="9"/>
  <c r="I27" i="6"/>
  <c r="H19" i="6"/>
  <c r="S19" i="6"/>
  <c r="S27" i="6" s="1"/>
  <c r="C35" i="11"/>
  <c r="C38" i="11"/>
  <c r="C33" i="11" s="1"/>
  <c r="F50" i="11"/>
  <c r="F50" i="69"/>
  <c r="F50" i="68"/>
  <c r="C21" i="12"/>
  <c r="C22" i="12" s="1"/>
  <c r="C30" i="12" s="1"/>
  <c r="C28" i="12" s="1"/>
  <c r="E2" i="70"/>
  <c r="T16" i="1"/>
  <c r="F35" i="15"/>
  <c r="M21" i="15"/>
  <c r="C27" i="12" l="1"/>
  <c r="C25" i="12" s="1"/>
  <c r="C32" i="12" s="1"/>
  <c r="B2" i="12" s="1"/>
  <c r="B3" i="12" s="1"/>
  <c r="C19" i="15"/>
  <c r="C20" i="15" s="1"/>
  <c r="C23" i="15" s="1"/>
  <c r="C31" i="11"/>
  <c r="D31" i="6"/>
  <c r="C23" i="67"/>
  <c r="C29" i="67" s="1"/>
  <c r="C26" i="15"/>
  <c r="C29" i="15" s="1"/>
  <c r="C13" i="15" s="1"/>
  <c r="Q49" i="67"/>
  <c r="J20" i="15"/>
  <c r="C34" i="15"/>
  <c r="C31" i="15" s="1"/>
  <c r="F63" i="15"/>
  <c r="C62" i="15" s="1"/>
  <c r="C42" i="11"/>
  <c r="C39" i="11"/>
  <c r="C43" i="11" s="1"/>
  <c r="C46" i="11"/>
  <c r="C45" i="11" s="1"/>
  <c r="L68" i="39"/>
  <c r="K70" i="39"/>
  <c r="D37" i="68"/>
  <c r="C37" i="68" s="1"/>
  <c r="C33" i="68" s="1"/>
  <c r="C19" i="68"/>
  <c r="G38" i="43"/>
  <c r="I38" i="43" s="1"/>
  <c r="E38" i="43"/>
  <c r="D7" i="74"/>
  <c r="D8" i="74"/>
  <c r="N65" i="40"/>
  <c r="H7" i="40" s="1"/>
  <c r="O63" i="40"/>
  <c r="O65" i="40" s="1"/>
  <c r="F7" i="40" s="1"/>
  <c r="C6" i="71"/>
  <c r="D7" i="71"/>
  <c r="E33" i="43"/>
  <c r="G33" i="43"/>
  <c r="I33" i="43" s="1"/>
  <c r="E29" i="43"/>
  <c r="C30" i="43"/>
  <c r="E30" i="43" s="1"/>
  <c r="E37" i="43"/>
  <c r="G37" i="43"/>
  <c r="I37" i="43" s="1"/>
  <c r="E36" i="43"/>
  <c r="G36" i="43"/>
  <c r="I36" i="43" s="1"/>
  <c r="H27" i="6"/>
  <c r="L19" i="9"/>
  <c r="D21" i="9" s="1"/>
  <c r="R19" i="6"/>
  <c r="D37" i="69"/>
  <c r="C37" i="69" s="1"/>
  <c r="C33" i="69" s="1"/>
  <c r="C19" i="69"/>
  <c r="E39" i="43"/>
  <c r="G39" i="43"/>
  <c r="I39" i="43" s="1"/>
  <c r="B2" i="34"/>
  <c r="B3" i="34"/>
  <c r="E34" i="43"/>
  <c r="G34" i="43"/>
  <c r="I34" i="43" s="1"/>
  <c r="E35" i="43"/>
  <c r="G35" i="43"/>
  <c r="I35" i="43" s="1"/>
  <c r="D19" i="78"/>
  <c r="D20" i="78"/>
  <c r="C36" i="15" l="1"/>
  <c r="J14" i="15"/>
  <c r="J22" i="15" s="1"/>
  <c r="C57" i="15"/>
  <c r="C61" i="15" s="1"/>
  <c r="C59" i="15" s="1"/>
  <c r="Q49" i="15"/>
  <c r="J19" i="15"/>
  <c r="C13" i="67"/>
  <c r="C36" i="67"/>
  <c r="J19" i="67"/>
  <c r="C57" i="67"/>
  <c r="J14" i="67"/>
  <c r="I5" i="6"/>
  <c r="I6" i="6"/>
  <c r="J17" i="15"/>
  <c r="D103" i="78"/>
  <c r="D102" i="78"/>
  <c r="D21" i="78"/>
  <c r="C39" i="69"/>
  <c r="C42" i="69"/>
  <c r="C27" i="43"/>
  <c r="S7" i="40"/>
  <c r="AA7" i="40"/>
  <c r="R42" i="40" s="1"/>
  <c r="C20" i="68"/>
  <c r="C24" i="68"/>
  <c r="J7" i="40"/>
  <c r="C41" i="11"/>
  <c r="C49" i="11" s="1"/>
  <c r="C51" i="11" s="1"/>
  <c r="C52" i="11" s="1"/>
  <c r="B2" i="11" s="1"/>
  <c r="B3" i="11" s="1"/>
  <c r="C24" i="69"/>
  <c r="C20" i="69"/>
  <c r="R6" i="1"/>
  <c r="R27" i="6"/>
  <c r="C26" i="43"/>
  <c r="C5" i="71"/>
  <c r="D6" i="71"/>
  <c r="AB7" i="40"/>
  <c r="T42" i="40" s="1"/>
  <c r="G42" i="40" s="1"/>
  <c r="U7" i="40"/>
  <c r="C39" i="68"/>
  <c r="C42" i="68"/>
  <c r="M68" i="39"/>
  <c r="L70" i="39"/>
  <c r="C37" i="15"/>
  <c r="C30" i="15" s="1"/>
  <c r="C39" i="15" s="1"/>
  <c r="Q70" i="15"/>
  <c r="C75" i="15"/>
  <c r="C56" i="15"/>
  <c r="C65" i="15" s="1"/>
  <c r="F35" i="67"/>
  <c r="M21" i="67"/>
  <c r="E6" i="76"/>
  <c r="L51" i="15"/>
  <c r="J13" i="15" l="1"/>
  <c r="J23" i="15" s="1"/>
  <c r="J16" i="15" s="1"/>
  <c r="J25" i="15" s="1"/>
  <c r="C64" i="15"/>
  <c r="C56" i="11"/>
  <c r="C57" i="11" s="1"/>
  <c r="J13" i="67"/>
  <c r="J23" i="67" s="1"/>
  <c r="J22" i="67"/>
  <c r="C37" i="67"/>
  <c r="C75" i="67"/>
  <c r="C56" i="67"/>
  <c r="C65" i="67" s="1"/>
  <c r="Q70" i="67"/>
  <c r="C61" i="67"/>
  <c r="C64" i="67"/>
  <c r="E2" i="76"/>
  <c r="J20" i="67"/>
  <c r="J17" i="67" s="1"/>
  <c r="C34" i="67"/>
  <c r="C31" i="67" s="1"/>
  <c r="C30" i="67" s="1"/>
  <c r="C39" i="67" s="1"/>
  <c r="F63" i="67"/>
  <c r="C62" i="67" s="1"/>
  <c r="B2" i="43"/>
  <c r="R16" i="1"/>
  <c r="N68" i="39"/>
  <c r="M70" i="39"/>
  <c r="C43" i="68"/>
  <c r="C41" i="68" s="1"/>
  <c r="C46" i="68"/>
  <c r="C45" i="68" s="1"/>
  <c r="G46" i="40"/>
  <c r="H46" i="40" s="1"/>
  <c r="D5" i="71"/>
  <c r="M20" i="43"/>
  <c r="C25" i="69"/>
  <c r="C22" i="69" s="1"/>
  <c r="C28" i="69"/>
  <c r="C27" i="69" s="1"/>
  <c r="E42" i="40"/>
  <c r="R43" i="40"/>
  <c r="C43" i="69"/>
  <c r="C46" i="69"/>
  <c r="C45" i="69" s="1"/>
  <c r="W7" i="40"/>
  <c r="AC7" i="40"/>
  <c r="V42" i="40" s="1"/>
  <c r="I42" i="40" s="1"/>
  <c r="C25" i="68"/>
  <c r="C22" i="68" s="1"/>
  <c r="C28" i="68"/>
  <c r="C27" i="68" s="1"/>
  <c r="C41" i="69"/>
  <c r="C80" i="15"/>
  <c r="C79" i="15" s="1"/>
  <c r="Q67" i="15"/>
  <c r="Q69" i="15"/>
  <c r="Q68" i="15" s="1"/>
  <c r="C40" i="15"/>
  <c r="C58" i="15"/>
  <c r="C67" i="15" s="1"/>
  <c r="C68" i="15" s="1"/>
  <c r="B6" i="76"/>
  <c r="C49" i="69" l="1"/>
  <c r="C51" i="69" s="1"/>
  <c r="C59" i="67"/>
  <c r="C58" i="67" s="1"/>
  <c r="C67" i="67" s="1"/>
  <c r="C68" i="67" s="1"/>
  <c r="C71" i="67" s="1"/>
  <c r="J16" i="67"/>
  <c r="J25" i="67" s="1"/>
  <c r="C31" i="69"/>
  <c r="C49" i="68"/>
  <c r="C51" i="68" s="1"/>
  <c r="B2" i="76"/>
  <c r="B3" i="76" s="1"/>
  <c r="I46" i="40"/>
  <c r="J46" i="40" s="1"/>
  <c r="I47" i="40"/>
  <c r="J47" i="40" s="1"/>
  <c r="C42" i="40"/>
  <c r="C43" i="40"/>
  <c r="C31" i="68"/>
  <c r="C52" i="68" s="1"/>
  <c r="E46" i="40"/>
  <c r="F46" i="40" s="1"/>
  <c r="E47" i="40"/>
  <c r="F47" i="40" s="1"/>
  <c r="O68" i="39"/>
  <c r="O70" i="39" s="1"/>
  <c r="N70" i="39"/>
  <c r="B3" i="43"/>
  <c r="G47" i="40"/>
  <c r="H47" i="40" s="1"/>
  <c r="Q69" i="67"/>
  <c r="Q68" i="67" s="1"/>
  <c r="C80" i="67"/>
  <c r="C79" i="67" s="1"/>
  <c r="C40" i="67"/>
  <c r="C46" i="15"/>
  <c r="C71" i="15"/>
  <c r="B2" i="15"/>
  <c r="Q47" i="15"/>
  <c r="Q53" i="15" s="1"/>
  <c r="Q65" i="15"/>
  <c r="Q75" i="15" s="1"/>
  <c r="C83" i="15"/>
  <c r="C82" i="15" s="1"/>
  <c r="Q56" i="15"/>
  <c r="Q62" i="15" s="1"/>
  <c r="C43" i="15"/>
  <c r="L51" i="67"/>
  <c r="AO7" i="1"/>
  <c r="C19" i="78"/>
  <c r="C52" i="69" l="1"/>
  <c r="B2" i="69" s="1"/>
  <c r="B3" i="69" s="1"/>
  <c r="Q67" i="67"/>
  <c r="L57" i="67"/>
  <c r="J7" i="39"/>
  <c r="H7" i="39"/>
  <c r="F7" i="39"/>
  <c r="B57" i="40"/>
  <c r="F57" i="40" s="1"/>
  <c r="B55" i="40"/>
  <c r="F55" i="40" s="1"/>
  <c r="B58" i="40"/>
  <c r="F58" i="40" s="1"/>
  <c r="B54" i="40"/>
  <c r="F54" i="40" s="1"/>
  <c r="B56" i="40"/>
  <c r="F56" i="40" s="1"/>
  <c r="B60" i="40"/>
  <c r="F60" i="40" s="1"/>
  <c r="B52" i="40"/>
  <c r="F52" i="40" s="1"/>
  <c r="B51" i="40"/>
  <c r="F51" i="40" s="1"/>
  <c r="B59" i="40"/>
  <c r="F59" i="40" s="1"/>
  <c r="B53" i="40"/>
  <c r="F53" i="40" s="1"/>
  <c r="F61" i="40"/>
  <c r="B2" i="40" s="1"/>
  <c r="B3" i="40" s="1"/>
  <c r="Q47" i="67"/>
  <c r="Q53" i="67" s="1"/>
  <c r="Q56" i="67"/>
  <c r="Q62" i="67" s="1"/>
  <c r="C83" i="67"/>
  <c r="C82" i="67" s="1"/>
  <c r="D2" i="67"/>
  <c r="C43" i="67"/>
  <c r="Q65" i="67"/>
  <c r="Q75" i="67" s="1"/>
  <c r="C45" i="67"/>
  <c r="C46" i="67" s="1"/>
  <c r="C57" i="68"/>
  <c r="C56" i="68" s="1"/>
  <c r="B2" i="68"/>
  <c r="B3" i="68" s="1"/>
  <c r="B7" i="70"/>
  <c r="C102" i="78"/>
  <c r="C21" i="78"/>
  <c r="G19" i="78"/>
  <c r="D22" i="78"/>
  <c r="B3" i="15"/>
  <c r="C20" i="78"/>
  <c r="C57" i="69" l="1"/>
  <c r="C56" i="69" s="1"/>
  <c r="B2" i="67"/>
  <c r="B3" i="67"/>
  <c r="AB7" i="39"/>
  <c r="T47" i="39" s="1"/>
  <c r="G47" i="39" s="1"/>
  <c r="U7" i="39"/>
  <c r="S7" i="39"/>
  <c r="AA7" i="39"/>
  <c r="R47" i="39" s="1"/>
  <c r="AC7" i="39"/>
  <c r="V47" i="39" s="1"/>
  <c r="I47" i="39" s="1"/>
  <c r="W7" i="39"/>
  <c r="C103" i="78"/>
  <c r="G20" i="78"/>
  <c r="C32" i="78"/>
  <c r="D16" i="74"/>
  <c r="G21" i="78"/>
  <c r="C19" i="9"/>
  <c r="AO6" i="1"/>
  <c r="C20" i="9"/>
  <c r="G20" i="9" l="1"/>
  <c r="R24" i="31" s="1"/>
  <c r="C103" i="9"/>
  <c r="B6" i="70"/>
  <c r="B2" i="70" s="1"/>
  <c r="B3" i="70" s="1"/>
  <c r="C102" i="9"/>
  <c r="C21" i="9"/>
  <c r="G19" i="9"/>
  <c r="D22" i="9"/>
  <c r="R48" i="39"/>
  <c r="E47" i="39"/>
  <c r="I51" i="39"/>
  <c r="J51" i="39" s="1"/>
  <c r="I52" i="39"/>
  <c r="J52" i="39" s="1"/>
  <c r="G52" i="39"/>
  <c r="H52" i="39" s="1"/>
  <c r="G51" i="39"/>
  <c r="H51" i="39" s="1"/>
  <c r="E16" i="74"/>
  <c r="G16" i="74"/>
  <c r="F16" i="74"/>
  <c r="H118" i="78"/>
  <c r="C35" i="78"/>
  <c r="F118" i="78" s="1"/>
  <c r="E51" i="39" l="1"/>
  <c r="F51" i="39" s="1"/>
  <c r="E52" i="39"/>
  <c r="F52" i="39" s="1"/>
  <c r="C48" i="39"/>
  <c r="C47" i="39"/>
  <c r="C32" i="9"/>
  <c r="G21" i="9"/>
  <c r="R27" i="31"/>
  <c r="S27" i="31" s="1"/>
  <c r="R37" i="31"/>
  <c r="S37" i="31" s="1"/>
  <c r="R47" i="31"/>
  <c r="S47" i="31" s="1"/>
  <c r="S24" i="31"/>
  <c r="R28" i="31"/>
  <c r="S28" i="31" s="1"/>
  <c r="R32" i="31"/>
  <c r="S32" i="31" s="1"/>
  <c r="R36" i="31"/>
  <c r="S36" i="31" s="1"/>
  <c r="R40" i="31"/>
  <c r="S40" i="31" s="1"/>
  <c r="R48" i="31"/>
  <c r="S48" i="31" s="1"/>
  <c r="R25" i="31"/>
  <c r="S25" i="31" s="1"/>
  <c r="R45" i="31"/>
  <c r="S45" i="31" s="1"/>
  <c r="R33" i="31"/>
  <c r="S33" i="31" s="1"/>
  <c r="R41" i="31"/>
  <c r="S41" i="31" s="1"/>
  <c r="R51" i="31"/>
  <c r="S51" i="31" s="1"/>
  <c r="R26" i="31"/>
  <c r="S26" i="31" s="1"/>
  <c r="R30" i="31"/>
  <c r="S30" i="31" s="1"/>
  <c r="R34" i="31"/>
  <c r="S34" i="31" s="1"/>
  <c r="R38" i="31"/>
  <c r="S38" i="31" s="1"/>
  <c r="R42" i="31"/>
  <c r="S42" i="31" s="1"/>
  <c r="R46" i="31"/>
  <c r="S46" i="31" s="1"/>
  <c r="R50" i="31"/>
  <c r="S50" i="31" s="1"/>
  <c r="R54" i="31"/>
  <c r="S54" i="31" s="1"/>
  <c r="R29" i="31"/>
  <c r="S29" i="31" s="1"/>
  <c r="R35" i="31"/>
  <c r="S35" i="31" s="1"/>
  <c r="R43" i="31"/>
  <c r="S43" i="31" s="1"/>
  <c r="R49" i="31"/>
  <c r="S49" i="31" s="1"/>
  <c r="R44" i="31"/>
  <c r="S44" i="31" s="1"/>
  <c r="R52" i="31"/>
  <c r="S52" i="31" s="1"/>
  <c r="R31" i="31"/>
  <c r="S31" i="31" s="1"/>
  <c r="R39" i="31"/>
  <c r="S39" i="31" s="1"/>
  <c r="R53" i="31"/>
  <c r="S53" i="31" s="1"/>
  <c r="C34" i="78"/>
  <c r="D118" i="78" s="1"/>
  <c r="D119" i="78" s="1"/>
  <c r="C104" i="78"/>
  <c r="H119" i="78"/>
  <c r="H101" i="78"/>
  <c r="I118" i="78"/>
  <c r="G118" i="78"/>
  <c r="F119" i="78"/>
  <c r="S22" i="31" l="1"/>
  <c r="H118" i="9"/>
  <c r="C35" i="9"/>
  <c r="B57" i="39"/>
  <c r="F57" i="39" s="1"/>
  <c r="B58" i="39"/>
  <c r="F58" i="39" s="1"/>
  <c r="B63" i="39"/>
  <c r="F63" i="39" s="1"/>
  <c r="B62" i="39"/>
  <c r="F62" i="39" s="1"/>
  <c r="B64" i="39"/>
  <c r="F64" i="39" s="1"/>
  <c r="B60" i="39"/>
  <c r="F60" i="39" s="1"/>
  <c r="B65" i="39"/>
  <c r="F65" i="39" s="1"/>
  <c r="B61" i="39"/>
  <c r="F61" i="39" s="1"/>
  <c r="B59" i="39"/>
  <c r="F59" i="39" s="1"/>
  <c r="B56" i="39"/>
  <c r="F56" i="39" s="1"/>
  <c r="F66" i="39" s="1"/>
  <c r="B2" i="39" s="1"/>
  <c r="B3" i="39" s="1"/>
  <c r="C105" i="78"/>
  <c r="H102" i="78"/>
  <c r="E118" i="78"/>
  <c r="H107" i="78"/>
  <c r="D45" i="78"/>
  <c r="M48" i="78"/>
  <c r="F118" i="9" l="1"/>
  <c r="C34" i="9"/>
  <c r="D118" i="9" s="1"/>
  <c r="H4" i="52"/>
  <c r="H119" i="9"/>
  <c r="H5" i="52" s="1"/>
  <c r="I118" i="9"/>
  <c r="H101" i="9"/>
  <c r="D14" i="74"/>
  <c r="C104" i="9"/>
  <c r="B20" i="31"/>
  <c r="D15" i="74"/>
  <c r="R22" i="31"/>
  <c r="B21" i="31" s="1"/>
  <c r="C93" i="78"/>
  <c r="C86" i="78" s="1"/>
  <c r="C85" i="78"/>
  <c r="C78" i="78"/>
  <c r="C73" i="78" s="1"/>
  <c r="D53" i="78"/>
  <c r="D55" i="78"/>
  <c r="M53" i="78" s="1"/>
  <c r="C72" i="78"/>
  <c r="C64" i="78"/>
  <c r="C63" i="78" s="1"/>
  <c r="C67" i="78" s="1"/>
  <c r="C68" i="78" s="1"/>
  <c r="D54" i="78" s="1"/>
  <c r="D52" i="78"/>
  <c r="H108" i="78"/>
  <c r="D122" i="78"/>
  <c r="D123" i="78" s="1"/>
  <c r="M49" i="78"/>
  <c r="D119" i="9" l="1"/>
  <c r="D5" i="52" s="1"/>
  <c r="B49" i="72" s="1"/>
  <c r="D4" i="52"/>
  <c r="B47" i="72" s="1"/>
  <c r="G15" i="74"/>
  <c r="E15" i="74"/>
  <c r="F15" i="74"/>
  <c r="M48" i="9"/>
  <c r="D45" i="9"/>
  <c r="D5" i="53"/>
  <c r="H107" i="9"/>
  <c r="B5" i="74"/>
  <c r="F14" i="74"/>
  <c r="E14" i="74"/>
  <c r="I4" i="52"/>
  <c r="C105" i="9"/>
  <c r="H102" i="9"/>
  <c r="D7" i="53" s="1"/>
  <c r="B21" i="72" s="1"/>
  <c r="F119" i="9"/>
  <c r="F5" i="52" s="1"/>
  <c r="B53" i="72" s="1"/>
  <c r="G118" i="9"/>
  <c r="F4" i="52"/>
  <c r="B51" i="72" s="1"/>
  <c r="L65" i="78"/>
  <c r="M65" i="78" s="1"/>
  <c r="L64" i="78"/>
  <c r="M64" i="78" s="1"/>
  <c r="L66" i="78"/>
  <c r="M66" i="78" s="1"/>
  <c r="L68" i="78"/>
  <c r="M68" i="78" s="1"/>
  <c r="L63" i="78"/>
  <c r="M63" i="78" s="1"/>
  <c r="L67" i="78"/>
  <c r="M67" i="78" s="1"/>
  <c r="C79" i="78"/>
  <c r="C95" i="78"/>
  <c r="C5" i="74" l="1"/>
  <c r="D5" i="74"/>
  <c r="D6" i="53"/>
  <c r="B22" i="72" s="1"/>
  <c r="B20" i="72"/>
  <c r="G4" i="52"/>
  <c r="B52" i="72" s="1"/>
  <c r="E118" i="9"/>
  <c r="E4" i="52" s="1"/>
  <c r="B48" i="72" s="1"/>
  <c r="D13" i="53"/>
  <c r="M49" i="9"/>
  <c r="H108" i="9"/>
  <c r="D15" i="53" s="1"/>
  <c r="B31" i="72" s="1"/>
  <c r="D122" i="9"/>
  <c r="D53" i="9"/>
  <c r="D52" i="9"/>
  <c r="C85" i="9"/>
  <c r="C93" i="9"/>
  <c r="C86" i="9" s="1"/>
  <c r="C78" i="9"/>
  <c r="C73" i="9" s="1"/>
  <c r="C72" i="9"/>
  <c r="D55" i="9"/>
  <c r="M53" i="9" s="1"/>
  <c r="C64" i="9"/>
  <c r="C63" i="9" s="1"/>
  <c r="C67" i="9" s="1"/>
  <c r="C68" i="9" s="1"/>
  <c r="D54" i="9" s="1"/>
  <c r="C80" i="78"/>
  <c r="E80" i="78" s="1"/>
  <c r="E81" i="78" s="1"/>
  <c r="M69" i="78"/>
  <c r="N69" i="78" s="1"/>
  <c r="C96" i="78"/>
  <c r="E96" i="78" s="1"/>
  <c r="E97" i="78" s="1"/>
  <c r="C95" i="9" l="1"/>
  <c r="C96" i="9" s="1"/>
  <c r="E96" i="9" s="1"/>
  <c r="E97" i="9" s="1"/>
  <c r="C79" i="9"/>
  <c r="C80" i="9" s="1"/>
  <c r="E80" i="9" s="1"/>
  <c r="E81" i="9" s="1"/>
  <c r="G14" i="74"/>
  <c r="B6" i="74" s="1"/>
  <c r="D123" i="9"/>
  <c r="D9" i="52" s="1"/>
  <c r="D8" i="52"/>
  <c r="L68" i="9"/>
  <c r="M68" i="9" s="1"/>
  <c r="L63" i="9"/>
  <c r="M63" i="9" s="1"/>
  <c r="L67" i="9"/>
  <c r="M67" i="9" s="1"/>
  <c r="L66" i="9"/>
  <c r="M66" i="9" s="1"/>
  <c r="L65" i="9"/>
  <c r="M65" i="9" s="1"/>
  <c r="L64" i="9"/>
  <c r="M64" i="9" s="1"/>
  <c r="B30" i="72"/>
  <c r="D14" i="53"/>
  <c r="B32" i="72" s="1"/>
  <c r="C81" i="9"/>
  <c r="C97" i="78"/>
  <c r="D58" i="78" s="1"/>
  <c r="D56" i="78" s="1"/>
  <c r="M54" i="78" s="1"/>
  <c r="N57" i="78" s="1"/>
  <c r="C81" i="78"/>
  <c r="C97" i="9" l="1"/>
  <c r="D58" i="9" s="1"/>
  <c r="D56" i="9" s="1"/>
  <c r="M54" i="9" s="1"/>
  <c r="N57" i="9" s="1"/>
  <c r="M69" i="9"/>
  <c r="N69" i="9" s="1"/>
  <c r="D6" i="74"/>
  <c r="C6" i="74"/>
  <c r="N58" i="78"/>
  <c r="P57" i="78"/>
  <c r="N59" i="78"/>
  <c r="N58" i="9" l="1"/>
  <c r="N59" i="9"/>
  <c r="P57" i="9"/>
  <c r="N61" i="78"/>
  <c r="N60" i="78"/>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<sst xmlns="http://schemas.openxmlformats.org/spreadsheetml/2006/main" count="8300" uniqueCount="3395">
  <si>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</si>
  <si>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</si>
  <si>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</si>
  <si>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</si>
  <si>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</si>
  <si>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</si>
  <si>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</si>
  <si>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</si>
  <si>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</si>
  <si>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</si>
  <si>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</si>
  <si>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</si>
  <si>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</si>
  <si>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</si>
  <si>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</si>
  <si>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</si>
  <si>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</si>
  <si>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</si>
  <si>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</si>
  <si>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</si>
  <si>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</si>
  <si>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</si>
  <si>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</si>
  <si>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</si>
  <si>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</si>
  <si>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</si>
  <si>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</si>
  <si>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</si>
  <si>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</si>
  <si>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</si>
  <si>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</si>
  <si>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</si>
  <si>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</si>
  <si>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</si>
  <si>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</si>
  <si>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</si>
  <si>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</si>
  <si>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</si>
  <si>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</si>
  <si>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</si>
  <si>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</si>
  <si>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</si>
  <si>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</si>
  <si>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</si>
  <si>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</si>
  <si>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</si>
  <si>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</si>
  <si>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</si>
  <si>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</si>
  <si>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</si>
  <si>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</si>
  <si>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</si>
  <si>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</si>
  <si>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</si>
  <si>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</si>
  <si>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</si>
  <si>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</si>
  <si>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</si>
  <si>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</si>
  <si>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</si>
  <si>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</si>
  <si>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</si>
  <si>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</si>
  <si>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</si>
  <si>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</si>
  <si>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</si>
  <si>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</si>
  <si>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</si>
  <si>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</si>
  <si>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</si>
  <si>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</si>
  <si>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</si>
  <si>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</si>
  <si>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</si>
  <si>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</si>
  <si>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</si>
  <si>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</si>
  <si>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</si>
  <si>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</si>
  <si>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</si>
  <si>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</si>
  <si>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</si>
  <si>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</si>
  <si>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</si>
  <si>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</si>
  <si>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</si>
  <si>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</si>
  <si>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</si>
  <si>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</si>
  <si>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</si>
  <si>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</si>
  <si>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</si>
  <si>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</si>
  <si>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</si>
  <si>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</si>
  <si>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</si>
  <si>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</si>
  <si>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</si>
  <si>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</si>
  <si>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</si>
  <si>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</si>
  <si>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</si>
  <si>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</si>
  <si>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</si>
  <si>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</si>
  <si>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</si>
  <si>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</si>
  <si>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</si>
  <si>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</si>
  <si>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</si>
  <si>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</si>
  <si>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</si>
  <si>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</si>
  <si>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</si>
  <si>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</si>
  <si>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</si>
  <si>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</si>
  <si>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</si>
  <si>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</si>
  <si>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</si>
  <si>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</si>
  <si>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</si>
  <si>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</si>
  <si>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</si>
  <si>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</si>
  <si>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</si>
  <si>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</si>
  <si>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</si>
  <si>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</si>
  <si>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</si>
  <si>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</si>
  <si>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</si>
  <si>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</si>
  <si>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</si>
  <si>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</si>
  <si>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</si>
  <si>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</si>
  <si>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</si>
  <si>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</si>
  <si>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</si>
  <si>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</si>
  <si>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</si>
  <si>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</si>
  <si>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</si>
  <si>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</si>
  <si>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</si>
  <si>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</si>
  <si>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</si>
  <si>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</si>
  <si>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</si>
  <si>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</si>
  <si>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</si>
  <si>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</si>
  <si>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</si>
  <si>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</si>
  <si>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</si>
  <si>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</si>
  <si>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</si>
  <si>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</si>
  <si>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</si>
  <si>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</si>
  <si>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</si>
  <si>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</si>
  <si>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</si>
  <si>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</si>
  <si>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</si>
  <si>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</si>
  <si>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</si>
  <si>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</si>
  <si>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</si>
  <si>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</si>
  <si>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</si>
  <si>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</si>
  <si>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</si>
  <si>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</si>
  <si>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</si>
  <si>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</si>
  <si>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</si>
  <si>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</si>
  <si>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</si>
  <si>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</si>
  <si>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</si>
  <si>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</si>
  <si>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</si>
  <si>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</si>
  <si>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</si>
  <si>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</si>
  <si>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</si>
  <si>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</si>
  <si>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</si>
  <si>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</si>
  <si>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</si>
  <si>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</si>
  <si>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</si>
  <si>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</si>
  <si>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</si>
  <si>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</si>
  <si>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</si>
  <si>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</si>
  <si>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</si>
  <si>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</si>
  <si>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</si>
  <si>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</si>
  <si>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</si>
  <si>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</si>
  <si>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</si>
  <si>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</si>
  <si>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</si>
  <si>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</si>
  <si>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</si>
  <si>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</si>
  <si>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</si>
  <si>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</si>
  <si>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</si>
  <si>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</si>
  <si>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</si>
  <si>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</si>
  <si>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</si>
  <si>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</si>
  <si>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</si>
  <si>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</si>
  <si>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</si>
  <si>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</si>
  <si>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</si>
  <si>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</si>
  <si>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</si>
  <si>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</si>
  <si>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</si>
  <si>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</si>
  <si>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</si>
  <si>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</si>
  <si>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</si>
  <si>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</si>
  <si>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</si>
  <si>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</si>
  <si>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</si>
  <si>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</si>
  <si>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</si>
  <si>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</si>
  <si>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</si>
  <si>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</si>
  <si>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</si>
  <si>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</si>
  <si>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</si>
  <si>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</si>
  <si>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</si>
  <si>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</si>
  <si>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</si>
  <si>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</si>
  <si>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</si>
  <si>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</si>
  <si>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</si>
  <si>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</si>
  <si>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</si>
  <si>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</si>
  <si>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</si>
  <si>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</si>
  <si>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</si>
  <si>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</si>
  <si>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</si>
  <si>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</si>
  <si>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</si>
  <si>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</si>
  <si>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</si>
  <si>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</si>
  <si>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</si>
  <si>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</si>
  <si>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</si>
  <si>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</si>
  <si>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</si>
  <si>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</si>
  <si>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</si>
  <si>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</si>
  <si>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</si>
  <si>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</si>
  <si>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</si>
  <si>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</si>
  <si>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</si>
  <si>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</si>
  <si>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</si>
  <si>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</si>
  <si>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</si>
  <si>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</si>
  <si>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</si>
  <si>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</si>
  <si>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</si>
  <si>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</si>
  <si>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</si>
  <si>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</si>
  <si>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</si>
  <si>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</si>
  <si>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</si>
  <si>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</si>
  <si>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</si>
  <si>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</si>
  <si>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</si>
  <si>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</si>
  <si>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</si>
  <si>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</si>
  <si>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</si>
  <si>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</si>
  <si>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</si>
  <si>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</si>
  <si>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</si>
  <si>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</si>
  <si>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</si>
  <si>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</si>
  <si>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</si>
  <si>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</si>
  <si>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</si>
  <si>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</si>
  <si>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</si>
  <si>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</si>
  <si>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</si>
  <si>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</si>
  <si>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</si>
  <si>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</si>
  <si>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</si>
  <si>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</si>
  <si>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</si>
  <si>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</si>
  <si>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</si>
  <si>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</si>
  <si>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</si>
  <si>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</si>
  <si>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</si>
  <si>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</si>
  <si>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</si>
  <si>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</si>
  <si>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</si>
  <si>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</si>
  <si>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</si>
  <si>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</si>
  <si>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</si>
  <si>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</si>
  <si>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</si>
  <si>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</si>
  <si>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</si>
  <si>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</si>
  <si>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</si>
  <si>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</si>
  <si>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</si>
  <si>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</si>
  <si>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</si>
  <si>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</si>
  <si>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</si>
  <si>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</si>
  <si>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</si>
  <si>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</si>
  <si>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</si>
  <si>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</si>
  <si>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</si>
  <si>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</si>
  <si>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</si>
  <si>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</si>
  <si>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</si>
  <si>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</si>
  <si>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</si>
  <si>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</si>
  <si>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</si>
  <si>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</si>
  <si>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</si>
  <si>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</si>
  <si>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</si>
  <si>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</si>
  <si>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</si>
  <si>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</si>
  <si>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</si>
  <si>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</si>
  <si>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</si>
  <si>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</si>
  <si>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</si>
  <si>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</si>
  <si>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</si>
  <si>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</si>
  <si>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</si>
  <si>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</si>
  <si>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</si>
  <si>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</si>
  <si>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</si>
  <si>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</si>
  <si>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</si>
  <si>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</si>
  <si>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</si>
  <si>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</si>
  <si>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</si>
  <si>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</si>
  <si>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</si>
  <si>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</si>
  <si>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</si>
  <si>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</si>
  <si>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</si>
  <si>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</si>
  <si>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</si>
  <si>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</si>
  <si>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</si>
  <si>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</si>
  <si>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</si>
  <si>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</si>
  <si>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</si>
  <si>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</si>
  <si>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</si>
  <si>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</si>
  <si>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</si>
  <si>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</si>
  <si>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</si>
  <si>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</si>
  <si>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</si>
  <si>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</si>
  <si>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</si>
  <si>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</si>
  <si>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</si>
  <si>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</si>
  <si>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</si>
  <si>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</si>
  <si>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</si>
  <si>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</si>
  <si>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</si>
  <si>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</si>
  <si>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</si>
  <si>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</si>
  <si>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</si>
  <si>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</si>
  <si>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</si>
  <si>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</si>
  <si>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</si>
  <si>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</si>
  <si>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</si>
  <si>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</si>
  <si>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</si>
  <si>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</si>
  <si>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</si>
  <si>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</si>
  <si>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</si>
  <si>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</si>
  <si>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</si>
  <si>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</si>
  <si>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</si>
  <si>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</si>
  <si>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</si>
  <si>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</si>
  <si>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</si>
  <si>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</si>
  <si>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</si>
  <si>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</si>
  <si>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</si>
  <si>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</si>
  <si>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</si>
  <si>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</si>
  <si>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</si>
  <si>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</si>
  <si>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</si>
  <si>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</si>
  <si>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</si>
  <si>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</si>
  <si>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</si>
  <si>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</si>
  <si>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</si>
  <si>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</si>
  <si>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</si>
  <si>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</si>
  <si>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</si>
  <si>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</si>
  <si>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</si>
  <si>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</si>
  <si>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</si>
  <si>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</si>
  <si>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</si>
  <si>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</si>
  <si>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</si>
  <si>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</si>
  <si>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</si>
  <si>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</si>
  <si>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</si>
  <si>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</si>
  <si>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</si>
  <si>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</si>
  <si>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</si>
  <si>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</si>
  <si>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</si>
  <si>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</si>
  <si>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</si>
  <si>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</si>
  <si>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</si>
  <si>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</si>
  <si>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</si>
  <si>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</si>
  <si>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</si>
  <si>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</si>
  <si>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</si>
  <si>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</si>
  <si>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</si>
  <si>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</si>
  <si>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</si>
  <si>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</si>
  <si>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</si>
  <si>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</si>
  <si>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</si>
  <si>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</si>
  <si>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</si>
  <si>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</si>
  <si>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</si>
  <si>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</si>
  <si>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</si>
  <si>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</si>
  <si>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</si>
  <si>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</si>
  <si>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</si>
  <si>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</si>
  <si>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</si>
  <si>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</si>
  <si>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</si>
  <si>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</si>
  <si>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</si>
  <si>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</si>
  <si>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</si>
  <si>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</si>
  <si>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</si>
  <si>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</si>
  <si>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</si>
  <si>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</si>
  <si>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</si>
  <si>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</si>
  <si>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</si>
  <si>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</si>
  <si>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</si>
  <si>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</si>
  <si>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</si>
  <si>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</si>
  <si>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</si>
  <si>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</si>
  <si>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</si>
  <si>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</si>
  <si>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</si>
  <si>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</si>
  <si>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</si>
  <si>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</si>
  <si>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</si>
  <si>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</si>
  <si>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</si>
  <si>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</si>
  <si>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</si>
  <si>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</si>
  <si>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</si>
  <si>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</si>
  <si>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</si>
  <si>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</si>
  <si>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</si>
  <si>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</si>
  <si>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</si>
  <si>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</si>
  <si>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</si>
  <si>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</si>
  <si>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</si>
  <si>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</si>
  <si>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</si>
  <si>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</si>
  <si>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</si>
  <si>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</si>
  <si>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</si>
  <si>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</si>
  <si>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</si>
  <si>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</si>
  <si>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</si>
  <si>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</si>
  <si>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</si>
  <si>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</si>
  <si>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</si>
  <si>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</si>
  <si>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</si>
  <si>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</si>
  <si>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</si>
  <si>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</si>
  <si>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</si>
  <si>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</si>
  <si>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</si>
  <si>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</si>
  <si>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</si>
  <si>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</si>
  <si>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</si>
  <si>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</si>
  <si>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</si>
  <si>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</si>
  <si>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</si>
  <si>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</si>
  <si>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</si>
  <si>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</si>
  <si>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</si>
  <si>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</si>
  <si>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</si>
  <si>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</si>
  <si>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</si>
  <si>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</si>
  <si>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</si>
  <si>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</si>
  <si>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</si>
  <si>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</si>
  <si>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</si>
  <si>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</si>
  <si>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</si>
  <si>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</si>
  <si>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</si>
  <si>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</si>
  <si>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</si>
  <si>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</si>
  <si>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</si>
  <si>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</si>
  <si>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</si>
  <si>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</si>
  <si>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</si>
  <si>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</si>
  <si>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</si>
  <si>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</si>
  <si>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</si>
  <si>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</si>
  <si>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</si>
  <si>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</si>
  <si>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</si>
  <si>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</si>
  <si>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</si>
  <si>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</si>
  <si>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</si>
  <si>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</si>
  <si>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</si>
  <si>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</si>
  <si>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</si>
  <si>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</si>
  <si>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</si>
  <si>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</si>
  <si>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</si>
  <si>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</si>
  <si>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</si>
  <si>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</si>
  <si>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</si>
  <si>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</si>
  <si>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</si>
  <si>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</si>
  <si>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</si>
  <si>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</si>
  <si>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</si>
  <si>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</si>
  <si>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</si>
  <si>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</si>
  <si>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</si>
  <si>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</si>
  <si>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</si>
  <si>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</si>
  <si>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</si>
  <si>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</si>
  <si>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</si>
  <si>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</si>
  <si>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</si>
  <si>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</si>
  <si>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</si>
  <si>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</si>
  <si>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</si>
  <si>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</si>
  <si>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</si>
  <si>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</si>
  <si>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</si>
  <si>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</si>
  <si>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</si>
  <si>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</si>
  <si>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</si>
  <si>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</si>
  <si>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</si>
  <si>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</si>
  <si>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</si>
  <si>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</si>
  <si>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</si>
  <si>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</si>
  <si>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</si>
  <si>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</si>
  <si>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</si>
  <si>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</si>
  <si>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</si>
  <si>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</si>
  <si>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</si>
  <si>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</si>
  <si>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</si>
  <si>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</si>
  <si>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</si>
  <si>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</si>
  <si>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</si>
  <si>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</si>
  <si>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</si>
  <si>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</si>
  <si>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</si>
  <si>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</si>
  <si>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</si>
  <si>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</si>
  <si>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</si>
  <si>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</si>
  <si>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</si>
  <si>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</si>
  <si>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</si>
  <si>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</si>
  <si>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</si>
  <si>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</si>
  <si>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</si>
  <si>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</si>
  <si>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</si>
  <si>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</si>
  <si>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</si>
  <si>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</si>
  <si>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</si>
  <si>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</si>
  <si>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</si>
  <si>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</si>
  <si>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</si>
  <si>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</si>
  <si>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</si>
  <si>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</si>
  <si>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</si>
  <si>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</si>
  <si>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</si>
  <si>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</si>
  <si>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</si>
  <si>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</si>
  <si>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</si>
  <si>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</si>
  <si>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</si>
  <si>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</si>
  <si>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</si>
  <si>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</si>
  <si>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</si>
  <si>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</si>
  <si>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</si>
  <si>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</si>
  <si>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</si>
  <si>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</si>
  <si>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</si>
  <si>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</si>
  <si>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</si>
  <si>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</si>
  <si>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</si>
  <si>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</si>
  <si>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</si>
  <si>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</si>
  <si>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</si>
  <si>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</si>
  <si>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</si>
  <si>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</si>
  <si>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</si>
  <si>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</si>
  <si>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</si>
  <si>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</si>
  <si>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</si>
  <si>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</si>
  <si>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</si>
  <si>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</si>
  <si>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</si>
  <si>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</si>
  <si>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</si>
  <si>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</si>
  <si>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</si>
  <si>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</si>
  <si>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</si>
  <si>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</si>
  <si>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</si>
  <si>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</si>
  <si>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</si>
  <si>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</si>
  <si>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</si>
  <si>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</si>
  <si>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</si>
  <si>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</si>
  <si>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</si>
  <si>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</si>
  <si>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</si>
  <si>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</si>
  <si>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</si>
  <si>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</si>
  <si>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</si>
  <si>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</si>
  <si>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</si>
  <si>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</si>
  <si>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</si>
  <si>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</si>
  <si>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</si>
  <si>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</si>
  <si>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</si>
  <si>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</si>
  <si>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</si>
  <si>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</si>
  <si>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</si>
  <si>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</si>
  <si>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</si>
  <si>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</si>
  <si>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</si>
  <si>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</si>
  <si>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</si>
  <si>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</si>
  <si>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</si>
  <si>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</si>
  <si>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</si>
  <si>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</si>
  <si>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</si>
  <si>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</si>
  <si>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</si>
  <si>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</si>
  <si>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</si>
  <si>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</si>
  <si>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</si>
  <si>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</si>
  <si>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</si>
  <si>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</si>
  <si>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</si>
  <si>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</si>
  <si>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</si>
  <si>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</si>
  <si>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</si>
  <si>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</si>
  <si>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</si>
  <si>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</si>
  <si>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</si>
  <si>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</si>
  <si>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</si>
  <si>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</si>
  <si>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</si>
  <si>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</si>
  <si>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</si>
  <si>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</si>
  <si>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</si>
  <si>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</si>
  <si>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</si>
  <si>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</si>
  <si>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</si>
  <si>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</si>
  <si>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</si>
  <si>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</si>
  <si>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</si>
  <si>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</si>
  <si>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</si>
  <si>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</si>
  <si>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</si>
  <si>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</si>
  <si>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</si>
  <si>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</si>
  <si>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</si>
  <si>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</si>
  <si>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</si>
  <si>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</si>
  <si>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</si>
  <si>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</si>
  <si>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</si>
  <si>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</si>
  <si>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</si>
  <si>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</si>
  <si>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</si>
  <si>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</si>
  <si>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</si>
  <si>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</si>
  <si>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</si>
  <si>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</si>
  <si>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</si>
  <si>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</si>
  <si>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</si>
  <si>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</si>
  <si>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</si>
  <si>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</si>
  <si>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</si>
  <si>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</si>
  <si>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</si>
  <si>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</si>
  <si>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</si>
  <si>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</si>
  <si>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</si>
  <si>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</si>
  <si>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</si>
  <si>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</si>
  <si>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</si>
  <si>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</si>
  <si>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</si>
  <si>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</si>
  <si>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</si>
  <si>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</si>
  <si>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</si>
  <si>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</si>
  <si>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</si>
  <si>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</si>
  <si>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</si>
  <si>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</si>
  <si>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</si>
  <si>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</si>
  <si>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</si>
  <si>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</si>
  <si>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</si>
  <si>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</si>
  <si>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</si>
  <si>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</si>
  <si>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</si>
  <si>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</si>
  <si>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</si>
  <si>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</si>
  <si>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</si>
  <si>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</si>
  <si>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</si>
  <si>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</si>
  <si>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</si>
  <si>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</si>
  <si>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</si>
  <si>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</si>
  <si>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</si>
  <si>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</si>
  <si>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</si>
  <si>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</si>
  <si>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</si>
  <si>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</si>
  <si>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</si>
  <si>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</si>
  <si>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</si>
  <si>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</si>
  <si>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</si>
  <si>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</si>
  <si>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</si>
  <si>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</si>
  <si>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</si>
  <si>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</si>
  <si>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</si>
  <si>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</si>
  <si>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</si>
  <si>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</si>
  <si>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</si>
  <si>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</si>
  <si>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</si>
  <si>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</si>
  <si>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</si>
  <si>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</si>
  <si>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</si>
  <si>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</si>
  <si>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</si>
  <si>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</si>
  <si>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</si>
  <si>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</si>
  <si>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</si>
  <si>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</si>
  <si>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</si>
  <si>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</si>
  <si>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</si>
  <si>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</si>
  <si>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</si>
  <si>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</si>
  <si>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</si>
  <si>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</si>
  <si>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</si>
  <si>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</si>
  <si>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</si>
  <si>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</si>
  <si>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</si>
  <si>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</si>
  <si>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</si>
  <si>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</si>
  <si>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</si>
  <si>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</si>
  <si>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</si>
  <si>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</si>
  <si>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</si>
  <si>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</si>
  <si>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</si>
  <si>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</si>
  <si>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</si>
  <si>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</si>
  <si>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</si>
  <si>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</si>
  <si>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</si>
  <si>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</si>
  <si>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</si>
  <si>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</si>
  <si>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</si>
  <si>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</si>
  <si>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</si>
  <si>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</si>
  <si>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</si>
  <si>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</si>
  <si>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</si>
  <si>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</si>
  <si>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</si>
  <si>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</si>
  <si>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</si>
  <si>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</si>
  <si>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</si>
  <si>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</si>
  <si>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</si>
  <si>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</si>
  <si>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</si>
  <si>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</si>
  <si>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</si>
  <si>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</si>
  <si>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</si>
  <si>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</si>
  <si>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</si>
  <si>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</si>
  <si>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</si>
  <si>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</si>
  <si>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</si>
  <si>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</si>
  <si>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</si>
  <si>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</si>
  <si>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</si>
  <si>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</si>
  <si>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</si>
  <si>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</si>
  <si>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</si>
  <si>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</si>
  <si>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</si>
  <si>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</si>
  <si>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</si>
  <si>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</si>
  <si>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</si>
  <si>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</si>
  <si>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</si>
  <si>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</si>
  <si>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</si>
  <si>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</si>
  <si>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</si>
  <si>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</si>
  <si>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</si>
  <si>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</si>
  <si>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</si>
  <si>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</si>
  <si>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</si>
  <si>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</si>
  <si>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</si>
  <si>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</si>
  <si>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</si>
  <si>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</si>
  <si>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</si>
  <si>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</si>
  <si>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</si>
  <si>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</si>
  <si>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</si>
  <si>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</si>
  <si>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</si>
  <si>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</si>
  <si>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</si>
  <si>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</si>
  <si>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</si>
  <si>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</si>
  <si>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</si>
  <si>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</si>
  <si>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</si>
  <si>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</si>
  <si>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</si>
  <si>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</si>
  <si>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</si>
  <si>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</si>
  <si>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</si>
  <si>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</si>
  <si>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</si>
  <si>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</si>
  <si>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</si>
  <si>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</si>
  <si>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</si>
  <si>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</si>
  <si>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</si>
  <si>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</si>
  <si>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</si>
  <si>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</si>
  <si>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</si>
  <si>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</si>
  <si>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</si>
  <si>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</si>
  <si>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</si>
  <si>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</si>
  <si>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</si>
  <si>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</si>
  <si>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</si>
  <si>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</si>
  <si>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</si>
  <si>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</si>
  <si>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</si>
  <si>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</si>
  <si>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</si>
  <si>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</si>
  <si>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</si>
  <si>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</si>
  <si>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</si>
  <si>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</si>
  <si>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</si>
  <si>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</si>
  <si>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</si>
  <si>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</si>
  <si>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</si>
  <si>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</si>
  <si>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</si>
  <si>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</si>
  <si>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</si>
  <si>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</si>
  <si>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</si>
  <si>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</si>
  <si>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</si>
  <si>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</si>
  <si>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</si>
  <si>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</si>
  <si>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</si>
  <si>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</si>
  <si>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</si>
  <si>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</si>
  <si>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</si>
  <si>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</si>
  <si>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</si>
  <si>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</si>
  <si>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</si>
  <si>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</si>
  <si>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</si>
  <si>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</si>
  <si>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</si>
  <si>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</si>
  <si>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</si>
  <si>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</si>
  <si>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</si>
  <si>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</si>
  <si>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</si>
  <si>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</si>
  <si>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</si>
  <si>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</si>
  <si>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</si>
  <si>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</si>
  <si>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</si>
  <si>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</si>
  <si>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</si>
  <si>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</si>
  <si>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</si>
  <si>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</si>
  <si>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</si>
  <si>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</si>
  <si>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</si>
  <si>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</si>
  <si>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</si>
  <si>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</si>
  <si>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</si>
  <si>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</si>
  <si>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</si>
  <si>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</si>
  <si>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</si>
  <si>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</si>
  <si>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</si>
  <si>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</si>
  <si>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</si>
  <si>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</si>
  <si>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</si>
  <si>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</si>
  <si>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</si>
  <si>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</si>
  <si>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</si>
  <si>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</si>
  <si>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</si>
  <si>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</si>
  <si>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</si>
  <si>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</si>
  <si>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</si>
  <si>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</si>
  <si>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</si>
  <si>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</si>
  <si>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</si>
  <si>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</si>
  <si>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</si>
  <si>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</si>
  <si>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</si>
  <si>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</si>
  <si>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</si>
  <si>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</si>
  <si>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</si>
  <si>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</si>
  <si>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</si>
  <si>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</si>
  <si>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</si>
  <si>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</si>
  <si>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</si>
  <si>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</si>
  <si>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</si>
  <si>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</si>
  <si>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</si>
  <si>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</si>
  <si>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</si>
  <si>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</si>
  <si>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</si>
  <si>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</si>
  <si>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</si>
  <si>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</si>
  <si>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</si>
  <si>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</si>
  <si>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</si>
  <si>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</si>
  <si>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</si>
  <si>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</si>
  <si>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</si>
  <si>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</si>
  <si>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</si>
  <si>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</si>
  <si>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</si>
  <si>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</si>
  <si>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</si>
  <si>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</si>
  <si>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</si>
  <si>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</si>
  <si>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</si>
  <si>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</si>
  <si>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</si>
  <si>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</si>
  <si>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</si>
  <si>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</si>
  <si>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</si>
  <si>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</si>
  <si>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</si>
  <si>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</si>
  <si>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</si>
  <si>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</si>
  <si>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</si>
  <si>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</si>
  <si>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</si>
  <si>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</si>
  <si>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</si>
  <si>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</si>
  <si>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</si>
  <si>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</si>
  <si>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</si>
  <si>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</si>
  <si>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</si>
  <si>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</si>
  <si>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</si>
  <si>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</si>
  <si>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</si>
  <si>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</si>
  <si>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</si>
  <si>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</si>
  <si>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</si>
  <si>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</si>
  <si>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</si>
  <si>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</si>
  <si>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</si>
  <si>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</si>
  <si>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</si>
  <si>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</si>
  <si>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</si>
  <si>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</si>
  <si>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</si>
  <si>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</si>
  <si>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</si>
  <si>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</si>
  <si>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</si>
  <si>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</si>
  <si>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</si>
  <si>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</si>
  <si>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</si>
  <si>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</si>
  <si>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</si>
  <si>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</si>
  <si>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</si>
  <si>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</si>
  <si>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</si>
  <si>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</si>
  <si>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</si>
  <si>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</si>
  <si>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</si>
  <si>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</si>
  <si>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</si>
  <si>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</si>
  <si>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</si>
  <si>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</si>
  <si>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</si>
  <si>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</si>
  <si>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</si>
  <si>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</si>
  <si>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</si>
  <si>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</si>
  <si>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</si>
  <si>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</si>
  <si>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</si>
  <si>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</si>
  <si>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</si>
  <si>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</si>
  <si>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</si>
  <si>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</si>
  <si>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</si>
  <si>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</si>
  <si>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</si>
  <si>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</si>
  <si>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</si>
  <si>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</si>
  <si>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</si>
  <si>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</si>
  <si>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</si>
  <si>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</si>
  <si>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</si>
  <si>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</si>
  <si>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</si>
  <si>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</si>
  <si>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</si>
  <si>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</si>
  <si>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</si>
  <si>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</si>
  <si>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</si>
  <si>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</si>
  <si>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</si>
  <si>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</si>
  <si>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</si>
  <si>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</si>
  <si>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</si>
  <si>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</si>
  <si>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</si>
  <si>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</si>
  <si>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</si>
  <si>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</si>
  <si>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</si>
  <si>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</si>
  <si>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</si>
  <si>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</si>
  <si>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</si>
  <si>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</si>
  <si>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</si>
  <si>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</si>
  <si>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</si>
  <si>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</si>
  <si>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</si>
  <si>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</si>
  <si>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</si>
  <si>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</si>
  <si>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</si>
  <si>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</si>
  <si>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</si>
  <si>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</si>
  <si>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</si>
  <si>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</si>
  <si>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</si>
  <si>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</si>
  <si>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</si>
  <si>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</si>
  <si>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</si>
  <si>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</si>
  <si>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</si>
  <si>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</si>
  <si>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</si>
  <si>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</si>
  <si>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</si>
  <si>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</si>
  <si>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</si>
  <si>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</si>
  <si>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</si>
  <si>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</si>
  <si>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</si>
  <si>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</si>
  <si>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</si>
  <si>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</si>
  <si>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</si>
  <si>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</si>
  <si>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</si>
  <si>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</si>
  <si>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</si>
  <si>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</si>
  <si>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</si>
  <si>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</si>
  <si>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</si>
  <si>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</si>
  <si>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</si>
  <si>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</si>
  <si>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</si>
  <si>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</si>
  <si>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</si>
  <si>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</si>
  <si>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</si>
  <si>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</si>
  <si>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</si>
  <si>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</si>
  <si>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</si>
  <si>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</si>
  <si>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</si>
  <si>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</si>
  <si>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</si>
  <si>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</si>
  <si>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</si>
  <si>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</si>
  <si>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</si>
  <si>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</si>
  <si>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</si>
  <si>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</si>
  <si>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</si>
  <si>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</si>
  <si>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</si>
  <si>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</si>
  <si>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</si>
  <si>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</si>
  <si>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</si>
  <si>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</si>
  <si>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</si>
  <si>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</si>
  <si>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</si>
  <si>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</si>
  <si>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</si>
  <si>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</si>
  <si>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</si>
  <si>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</si>
  <si>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</si>
  <si>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</si>
  <si>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</si>
  <si>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</si>
  <si>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</si>
  <si>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</si>
  <si>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</si>
  <si>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</si>
  <si>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</si>
  <si>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</si>
  <si>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</si>
  <si>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</si>
  <si>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</si>
  <si>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</si>
  <si>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</si>
  <si>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</si>
  <si>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</si>
  <si>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</si>
  <si>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</si>
  <si>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</si>
  <si>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</si>
  <si>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</si>
  <si>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</si>
  <si>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</si>
  <si>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</si>
  <si>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</si>
  <si>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</si>
  <si>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</si>
  <si>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</si>
  <si>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</si>
  <si>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</si>
  <si>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</si>
  <si>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</si>
  <si>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</si>
  <si>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</si>
  <si>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</si>
  <si>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</si>
  <si>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</si>
  <si>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</si>
  <si>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</si>
  <si>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</si>
  <si>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</si>
  <si>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</si>
  <si>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</si>
  <si>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</si>
  <si>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</si>
  <si>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</si>
  <si>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</si>
  <si>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</si>
  <si>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</si>
  <si>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</si>
  <si>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</si>
  <si>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</si>
  <si>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</si>
  <si>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</si>
  <si>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</si>
  <si>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</si>
  <si>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</si>
  <si>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</si>
  <si>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</si>
  <si>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</si>
  <si>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</si>
  <si>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</si>
  <si>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</si>
  <si>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</si>
  <si>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</si>
  <si>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</si>
  <si>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</si>
  <si>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</si>
  <si>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</si>
  <si>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</si>
  <si>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</si>
  <si>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</si>
  <si>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</si>
  <si>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</si>
  <si>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</si>
  <si>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</si>
  <si>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</si>
  <si>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</si>
  <si>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</si>
  <si>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</si>
  <si>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</si>
  <si>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</si>
  <si>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</si>
  <si>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</si>
  <si>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</si>
  <si>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</si>
  <si>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</si>
  <si>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</si>
  <si>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</si>
  <si>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</si>
  <si>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</si>
  <si>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</si>
  <si>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</si>
  <si>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</si>
  <si>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</si>
  <si>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</si>
  <si>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</si>
  <si>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</si>
  <si>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</si>
  <si>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</si>
  <si>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</si>
  <si>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</si>
  <si>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</si>
  <si>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</si>
  <si>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</si>
  <si>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</si>
  <si>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</si>
  <si>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</si>
  <si>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</si>
  <si>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</si>
  <si>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</si>
  <si>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</si>
  <si>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</si>
  <si>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</si>
  <si>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</si>
  <si>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</si>
  <si>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</si>
  <si>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</si>
  <si>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</si>
  <si>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</si>
  <si>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</si>
  <si>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</si>
  <si>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</si>
  <si>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</si>
  <si>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</si>
  <si>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</si>
  <si>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</si>
  <si>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</si>
  <si>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</si>
  <si>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</si>
  <si>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</si>
  <si>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</si>
  <si>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</si>
  <si>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</si>
  <si>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</si>
  <si>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</si>
  <si>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</si>
  <si>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</si>
  <si>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</si>
  <si>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</si>
  <si>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</si>
  <si>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</si>
  <si>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</si>
  <si>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</si>
  <si>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</si>
  <si>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</si>
  <si>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</si>
  <si>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</si>
  <si>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</si>
  <si>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</si>
  <si>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</si>
  <si>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</si>
  <si>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</si>
  <si>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</si>
  <si>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</si>
  <si>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</si>
  <si>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</si>
  <si>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</si>
  <si>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</si>
  <si>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</si>
  <si>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</si>
  <si>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</si>
  <si>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</si>
  <si>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</si>
  <si>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</si>
  <si>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</si>
  <si>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</si>
  <si>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</si>
  <si>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</si>
  <si>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</si>
  <si>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</si>
  <si>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</si>
  <si>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</si>
  <si>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</si>
  <si>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</si>
  <si>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</si>
  <si>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</si>
  <si>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</si>
  <si>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</si>
  <si>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</si>
  <si>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</si>
  <si>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</si>
  <si>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</si>
  <si>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</si>
  <si>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</si>
  <si>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</si>
  <si>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</si>
  <si>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</si>
  <si>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</si>
  <si>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</si>
  <si>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</si>
  <si>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</si>
  <si>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</si>
  <si>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</si>
  <si>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</si>
  <si>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</si>
  <si>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</si>
  <si>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</si>
  <si>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</si>
  <si>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</si>
  <si>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</si>
  <si>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</si>
  <si>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</si>
  <si>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</si>
  <si>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</si>
  <si>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</si>
  <si>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</si>
  <si>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</si>
  <si>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</si>
  <si>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</si>
  <si>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</si>
  <si>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</si>
  <si>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</si>
  <si>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</si>
  <si>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</si>
  <si>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</si>
  <si>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</si>
  <si>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</si>
  <si>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</si>
  <si>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</si>
  <si>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</si>
  <si>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</si>
  <si>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</si>
  <si>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</si>
  <si>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</si>
  <si>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</si>
  <si>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</si>
  <si>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</si>
  <si>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</si>
  <si>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</si>
  <si>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</si>
  <si>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</si>
  <si>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</si>
  <si>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</si>
  <si>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</si>
  <si>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</si>
  <si>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</si>
  <si>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</si>
  <si>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</si>
  <si>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</si>
  <si>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</si>
  <si>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</si>
  <si>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</si>
  <si>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</si>
  <si>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</si>
  <si>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</si>
  <si>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</si>
  <si>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</si>
  <si>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</si>
  <si>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</si>
  <si>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</si>
  <si>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</si>
  <si>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</si>
  <si>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</si>
  <si>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</si>
  <si>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</si>
  <si>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</si>
  <si>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</si>
  <si>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</si>
  <si>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</si>
  <si>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</si>
  <si>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</si>
  <si>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</si>
  <si>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</si>
  <si>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</si>
  <si>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</si>
  <si>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</si>
  <si>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</si>
  <si>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</si>
  <si>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</si>
  <si>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</si>
  <si>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</si>
  <si>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</si>
  <si>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</si>
  <si>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</si>
  <si>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</si>
  <si>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</si>
  <si>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</si>
  <si>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</si>
  <si>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</si>
  <si>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</si>
  <si>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</si>
  <si>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</si>
  <si>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</si>
  <si>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</si>
  <si>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</si>
  <si>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</si>
  <si>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</si>
  <si>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</si>
  <si>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</si>
  <si>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</si>
  <si>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</si>
  <si>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</si>
  <si>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</si>
  <si>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</si>
  <si>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</si>
  <si>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</si>
  <si>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</si>
  <si>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</si>
  <si>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</si>
  <si>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</si>
  <si>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</si>
  <si>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</si>
  <si>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</si>
  <si>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</si>
  <si>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</si>
  <si>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</si>
  <si>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</si>
  <si>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</si>
  <si>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</si>
  <si>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</si>
  <si>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</si>
  <si>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</si>
  <si>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</si>
  <si>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</si>
  <si>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</si>
  <si>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</si>
  <si>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</si>
  <si>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</si>
  <si>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</si>
  <si>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</si>
  <si>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</si>
  <si>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</si>
  <si>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</si>
  <si>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</si>
  <si>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</si>
  <si>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</si>
  <si>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</si>
  <si>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</si>
  <si>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</si>
  <si>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</si>
  <si>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</si>
  <si>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</si>
  <si>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</si>
  <si>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</si>
  <si>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</si>
  <si>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</si>
  <si>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</si>
  <si>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</si>
  <si>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</si>
  <si>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</si>
  <si>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</si>
  <si>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</si>
  <si>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</si>
  <si>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</si>
  <si>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</si>
  <si>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</si>
  <si>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</si>
  <si>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</si>
  <si>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</si>
  <si>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</si>
  <si>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</si>
  <si>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</si>
  <si>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</si>
  <si>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</si>
  <si>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</si>
  <si>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</si>
  <si>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</si>
  <si>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</si>
  <si>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</si>
  <si>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</si>
  <si>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</si>
  <si>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</si>
  <si>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</si>
  <si>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</si>
  <si>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</si>
  <si>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</si>
  <si>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</si>
  <si>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</si>
  <si>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</si>
  <si>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</si>
  <si>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</si>
  <si>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</si>
  <si>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</si>
  <si>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</si>
  <si>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</si>
  <si>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</si>
  <si>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</si>
  <si>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</si>
  <si>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</si>
  <si>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</si>
  <si>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</si>
  <si>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</si>
  <si>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</si>
  <si>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</si>
  <si>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</si>
  <si>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</si>
  <si>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</si>
  <si>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</si>
  <si>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</si>
  <si>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</si>
  <si>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</si>
  <si>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</si>
  <si>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</si>
  <si>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</si>
  <si>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</si>
  <si>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</si>
  <si>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</si>
  <si>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</si>
  <si>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</si>
  <si>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</si>
  <si>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</si>
  <si>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</si>
  <si>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</si>
  <si>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</si>
  <si>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</si>
  <si>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</si>
  <si>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</si>
  <si>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</si>
  <si>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</si>
  <si>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</si>
  <si>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</si>
  <si>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</si>
  <si>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</si>
  <si>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</si>
  <si>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</si>
  <si>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</si>
  <si>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</si>
  <si>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</si>
  <si>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</si>
  <si>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</si>
  <si>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</si>
  <si>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</si>
  <si>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</si>
  <si>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</si>
  <si>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</si>
  <si>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</si>
  <si>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</si>
  <si>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</si>
  <si>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</si>
  <si>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</si>
  <si>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</si>
  <si>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</si>
  <si>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</si>
  <si>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</si>
  <si>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</si>
  <si>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</si>
  <si>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</si>
  <si>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</si>
  <si>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</si>
  <si>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</si>
  <si>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</si>
  <si>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</si>
  <si>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</si>
  <si>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</si>
  <si>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</si>
  <si>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</si>
  <si>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</si>
  <si>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</si>
  <si>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</si>
  <si>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</si>
  <si>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</si>
  <si>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</si>
  <si>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</si>
  <si>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</si>
  <si>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</si>
  <si>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</si>
  <si>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</si>
  <si>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</si>
  <si>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</si>
  <si>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</si>
  <si>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</si>
  <si>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</si>
  <si>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</si>
  <si>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</si>
  <si>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</si>
  <si>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</si>
  <si>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</si>
  <si>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</si>
  <si>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</si>
  <si>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</si>
  <si>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</si>
  <si>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</si>
  <si>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</si>
  <si>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</si>
  <si>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</si>
  <si>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</si>
  <si>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</si>
  <si>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</si>
  <si>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</si>
  <si>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</si>
  <si>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</si>
  <si>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</si>
  <si>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</si>
  <si>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</si>
  <si>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</si>
  <si>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</si>
  <si>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</si>
  <si>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</si>
  <si>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</si>
  <si>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</si>
  <si>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</si>
  <si>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</si>
  <si>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</si>
  <si>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</si>
  <si>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</si>
  <si>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</si>
  <si>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</si>
  <si>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</si>
  <si>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</si>
  <si>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</si>
  <si>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</si>
  <si>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</si>
  <si>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</si>
  <si>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</si>
  <si>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</si>
  <si>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</si>
  <si>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</si>
  <si>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</si>
  <si>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</si>
  <si>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</si>
  <si>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</si>
  <si>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</si>
  <si>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</si>
  <si>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</si>
  <si>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</si>
  <si>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</si>
  <si>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</si>
  <si>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</si>
  <si>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</si>
  <si>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</si>
  <si>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</si>
  <si>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</si>
  <si>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</si>
  <si>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</si>
  <si>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</si>
  <si>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</si>
  <si>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</si>
  <si>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</si>
  <si>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</si>
  <si>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</si>
  <si>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</si>
  <si>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</si>
  <si>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</si>
  <si>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</si>
  <si>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</si>
  <si>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</si>
  <si>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</si>
  <si>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</si>
  <si>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</si>
  <si>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</si>
  <si>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</si>
  <si>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</si>
  <si>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</si>
  <si>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</si>
  <si>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</si>
  <si>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</si>
  <si>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</si>
  <si>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</si>
  <si>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</si>
  <si>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</si>
  <si>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</si>
  <si>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</si>
  <si>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</si>
  <si>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</si>
  <si>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</si>
  <si>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</si>
  <si>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</si>
  <si>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</si>
  <si>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</si>
  <si>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</si>
  <si>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</si>
  <si>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</si>
  <si>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</si>
  <si>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</si>
  <si>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</si>
  <si>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</si>
  <si>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</si>
  <si>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</si>
  <si>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</si>
  <si>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</si>
  <si>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</si>
  <si>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</si>
  <si>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</si>
  <si>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</si>
  <si>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</si>
  <si>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</si>
  <si>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</si>
  <si>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</si>
  <si>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</si>
  <si>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</si>
  <si>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</si>
  <si>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</si>
  <si>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</si>
  <si>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</si>
  <si>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</si>
  <si>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</si>
  <si>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</si>
  <si>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</si>
  <si>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</si>
  <si>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</si>
  <si>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</si>
  <si>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</si>
  <si>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</si>
  <si>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</si>
  <si>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</si>
  <si>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</si>
  <si>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</si>
  <si>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</si>
  <si>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</si>
  <si>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</si>
  <si>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</si>
  <si>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</si>
  <si>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</si>
  <si>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</si>
  <si>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</si>
  <si>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</si>
  <si>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</si>
  <si>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</si>
  <si>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</si>
  <si>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</si>
  <si>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</si>
  <si>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</si>
  <si>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</si>
  <si>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</si>
  <si>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</si>
  <si>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</si>
  <si>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</si>
  <si>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</si>
  <si>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</si>
  <si>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</si>
  <si>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</si>
  <si>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</si>
  <si>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</si>
  <si>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</si>
  <si>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</si>
  <si>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</si>
  <si>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</si>
  <si>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</si>
  <si>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</si>
  <si>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</si>
  <si>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</si>
  <si>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</si>
  <si>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</si>
  <si>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</si>
  <si>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</si>
  <si>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</si>
  <si>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</si>
  <si>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</si>
  <si>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</si>
  <si>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</si>
  <si>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</si>
  <si>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</si>
  <si>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</si>
  <si>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</si>
  <si>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</si>
  <si>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</si>
  <si>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</si>
  <si>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</si>
  <si>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</si>
  <si>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</si>
  <si>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</si>
  <si>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</si>
  <si>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</si>
  <si>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</si>
  <si>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</si>
  <si>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</si>
  <si>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</si>
  <si>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</si>
  <si>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</si>
  <si>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</si>
  <si>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</si>
  <si>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</si>
  <si>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</si>
  <si>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</si>
  <si>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</si>
  <si>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</si>
  <si>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</si>
  <si>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</si>
  <si>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</si>
  <si>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</si>
  <si>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</si>
  <si>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</si>
  <si>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</si>
  <si>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</si>
  <si>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</si>
  <si>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</si>
  <si>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</si>
  <si>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</si>
  <si>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</si>
  <si>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</si>
  <si>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</si>
  <si>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</si>
  <si>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</si>
  <si>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</si>
  <si>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</si>
  <si>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</si>
  <si>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</si>
  <si>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</si>
  <si>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</si>
  <si>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</si>
  <si>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</si>
  <si>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</si>
  <si>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</si>
  <si>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</si>
  <si>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</si>
  <si>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</si>
  <si>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</si>
  <si>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</si>
  <si>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</si>
  <si>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</si>
  <si>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</si>
  <si>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</si>
  <si>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</si>
  <si>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</si>
  <si>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</si>
  <si>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</si>
  <si>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</si>
  <si>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</si>
  <si>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</si>
  <si>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</si>
  <si>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</si>
  <si>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</si>
  <si>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</si>
  <si>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</si>
  <si>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</si>
  <si>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</si>
  <si>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</si>
  <si>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</si>
  <si>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</si>
  <si>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</si>
  <si>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</si>
  <si>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</si>
  <si>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</si>
  <si>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</si>
  <si>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</si>
  <si>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</si>
  <si>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</si>
  <si>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</si>
  <si>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</si>
  <si>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</si>
  <si>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</si>
  <si>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</si>
  <si>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</si>
  <si>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</si>
  <si>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</si>
  <si>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</si>
  <si>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</si>
  <si>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</si>
  <si>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</si>
  <si>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</si>
  <si>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</si>
  <si>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</si>
  <si>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</si>
  <si>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</si>
  <si>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</si>
  <si>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</si>
  <si>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</si>
  <si>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</si>
  <si>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</si>
  <si>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</si>
  <si>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</si>
  <si>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</si>
  <si>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</si>
  <si>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</si>
  <si>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</si>
  <si>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</si>
  <si>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</si>
  <si>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</si>
  <si>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</si>
  <si>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</si>
  <si>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</si>
  <si>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</si>
  <si>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</si>
  <si>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</si>
  <si>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</si>
  <si>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</si>
  <si>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</si>
  <si>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</si>
  <si>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</si>
  <si>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</si>
  <si>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</si>
  <si>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</si>
  <si>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</si>
  <si>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</si>
  <si>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</si>
  <si>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</si>
  <si>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</si>
  <si>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</si>
  <si>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</si>
  <si>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</si>
  <si>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</si>
  <si>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</si>
  <si>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</si>
  <si>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</si>
  <si>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</si>
  <si>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</si>
  <si>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</si>
  <si>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</si>
  <si>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</si>
  <si>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</si>
  <si>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</si>
  <si>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</si>
  <si>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</si>
  <si>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</si>
  <si>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</si>
  <si>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</si>
  <si>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</si>
  <si>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</si>
  <si>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</si>
  <si>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</si>
  <si>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</si>
  <si>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</si>
  <si>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</si>
  <si>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</si>
  <si>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</si>
  <si>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</si>
  <si>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</si>
  <si>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</si>
  <si>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</si>
  <si>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</si>
  <si>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</si>
  <si>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</si>
  <si>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</si>
  <si>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</si>
  <si>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</si>
  <si>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</si>
  <si>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</si>
  <si>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</si>
  <si>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</si>
  <si>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</si>
  <si>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</si>
  <si>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</si>
  <si>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</si>
  <si>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</si>
  <si>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</si>
  <si>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</si>
  <si>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</si>
  <si>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</si>
  <si>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</si>
  <si>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</si>
  <si>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</si>
  <si>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</si>
  <si>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</si>
  <si>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</si>
  <si>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</si>
  <si>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</si>
  <si>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</si>
  <si>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</si>
  <si>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</si>
  <si>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</si>
  <si>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</si>
  <si>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</si>
  <si>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</si>
  <si>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</si>
  <si>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</si>
  <si>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</si>
  <si>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</si>
  <si>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</si>
  <si>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</si>
  <si>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</si>
  <si>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</si>
  <si>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</si>
  <si>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</si>
  <si>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</si>
  <si>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</si>
  <si>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</si>
  <si>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</si>
  <si>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</si>
  <si>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</si>
  <si>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</si>
  <si>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</si>
  <si>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</si>
  <si>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</si>
  <si>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</si>
  <si>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</si>
  <si>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</si>
  <si>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</si>
  <si>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</si>
  <si>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</si>
  <si>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</si>
  <si>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</si>
  <si>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</si>
  <si>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</si>
  <si>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</si>
  <si>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</si>
  <si>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</si>
  <si>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</si>
  <si>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</si>
  <si>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</si>
  <si>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</si>
  <si>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</si>
  <si>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</si>
  <si>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</si>
  <si>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</si>
  <si>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</si>
  <si>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</si>
  <si>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</si>
  <si>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</si>
  <si>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</si>
  <si>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</si>
  <si>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</si>
  <si>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</si>
  <si>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</si>
  <si>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</si>
  <si>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</si>
  <si>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</si>
  <si>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</si>
  <si>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</si>
  <si>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</si>
  <si>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</si>
  <si>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</si>
  <si>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</si>
  <si>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</si>
  <si>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</si>
  <si>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</si>
  <si>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</si>
  <si>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</si>
  <si>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</si>
  <si>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</si>
  <si>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</si>
  <si>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</si>
  <si>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</si>
  <si>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</si>
  <si>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</si>
  <si>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</si>
  <si>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</si>
  <si>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</si>
  <si>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</si>
  <si>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</si>
  <si>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</si>
  <si>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</si>
  <si>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</si>
  <si>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</si>
  <si>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</si>
  <si>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</si>
  <si>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</si>
  <si>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</si>
  <si>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</si>
  <si>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</si>
  <si>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</si>
  <si>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</si>
  <si>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</si>
  <si>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</si>
  <si>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</si>
  <si>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</si>
  <si>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</si>
  <si>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</si>
  <si>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</si>
  <si>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</si>
  <si>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</si>
  <si>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</si>
  <si>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</si>
  <si>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</si>
  <si>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</si>
  <si>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</si>
  <si>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</si>
  <si>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</si>
  <si>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</si>
  <si>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</si>
  <si>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</si>
  <si>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</si>
  <si>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</si>
  <si>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</si>
  <si>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</si>
  <si>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</si>
  <si>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</si>
  <si>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</si>
  <si>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</si>
  <si>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</si>
  <si>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</si>
  <si>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</si>
  <si>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</si>
  <si>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</si>
  <si>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</si>
  <si>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</si>
  <si>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</si>
  <si>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</si>
  <si>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</si>
  <si>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</si>
  <si>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</si>
  <si>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</si>
  <si>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</si>
  <si>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</si>
  <si>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</si>
  <si>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</si>
  <si>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</si>
  <si>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</si>
  <si>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</si>
  <si>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</si>
  <si>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</si>
  <si>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</si>
  <si>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</si>
  <si>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</si>
  <si>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</si>
  <si>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</si>
  <si>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</si>
  <si>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</si>
  <si>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</si>
  <si>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</si>
  <si>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</si>
  <si>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</si>
  <si>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</si>
  <si>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</si>
  <si>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</si>
  <si>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</si>
  <si>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</si>
  <si>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</si>
  <si>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</si>
  <si>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</si>
  <si>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</si>
  <si>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</si>
  <si>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</si>
  <si>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</si>
  <si>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</si>
  <si>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</si>
  <si>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</si>
  <si>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</si>
  <si>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</si>
  <si>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</si>
  <si>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</si>
  <si>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</si>
  <si>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</si>
  <si>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</si>
  <si>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</si>
  <si>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</si>
  <si>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</si>
  <si>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</si>
  <si>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</si>
  <si>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</si>
  <si>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</si>
  <si>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</si>
  <si>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</si>
  <si>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</si>
  <si>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</si>
  <si>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</si>
  <si>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</si>
  <si>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</si>
  <si>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</si>
  <si>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</si>
  <si>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</si>
  <si>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</si>
  <si>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</si>
  <si>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</si>
  <si>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</si>
  <si>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</si>
  <si>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</si>
  <si>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</si>
  <si>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</si>
  <si>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</si>
  <si>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</si>
  <si>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</si>
  <si>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</si>
  <si>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</si>
  <si>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</si>
  <si>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</si>
  <si>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</si>
  <si>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</si>
  <si>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</si>
  <si>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</si>
  <si>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</si>
  <si>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</si>
  <si>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</si>
  <si>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</si>
  <si>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</si>
  <si>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</si>
  <si>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</si>
  <si>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</si>
  <si>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</si>
  <si>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</si>
  <si>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</si>
  <si>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</si>
  <si>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</si>
  <si>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</si>
  <si>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</si>
  <si>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</si>
  <si>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</si>
  <si>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</si>
  <si>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</si>
  <si>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</si>
  <si>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</si>
  <si>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</si>
  <si>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</si>
  <si>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</si>
  <si>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</si>
  <si>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</si>
  <si>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</si>
  <si>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</si>
  <si>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</si>
  <si>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</si>
  <si>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</si>
  <si>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</si>
  <si>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</si>
  <si>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</si>
  <si>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</si>
  <si>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</si>
  <si>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</si>
  <si>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</si>
  <si>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</si>
  <si>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</si>
  <si>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</si>
  <si>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</si>
  <si>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</si>
  <si>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</si>
  <si>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</si>
  <si>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</si>
  <si>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</si>
  <si>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</si>
  <si>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</si>
  <si>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</si>
  <si>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</si>
  <si>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</si>
  <si>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</si>
  <si>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</si>
  <si>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</si>
  <si>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</si>
  <si>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</si>
  <si>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</si>
  <si>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</si>
  <si>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</si>
  <si>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</si>
  <si>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</si>
  <si>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</si>
  <si>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</si>
  <si>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</si>
  <si>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</si>
  <si>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</si>
  <si>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</si>
  <si>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</si>
  <si>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</si>
  <si>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</si>
  <si>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</si>
  <si>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</si>
  <si>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</si>
  <si>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</si>
  <si>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</si>
  <si>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</si>
  <si>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</si>
  <si>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</si>
  <si>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</si>
  <si>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</si>
  <si>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</si>
  <si>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</si>
  <si>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</si>
  <si>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</si>
  <si>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</si>
  <si>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</si>
  <si>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</si>
  <si>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</si>
  <si>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</si>
  <si>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</si>
  <si>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</si>
  <si>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</si>
  <si>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</si>
  <si>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</si>
  <si>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</si>
  <si>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</si>
  <si>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</si>
  <si>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</si>
  <si>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</si>
  <si>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</si>
  <si>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</si>
  <si>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</si>
  <si>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</si>
  <si>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</si>
  <si>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</si>
  <si>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</si>
  <si>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</si>
  <si>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</si>
  <si>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</si>
  <si>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</si>
  <si>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</si>
  <si>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</si>
  <si>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</si>
  <si>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</si>
  <si>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</si>
  <si>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</si>
  <si>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</si>
  <si>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</si>
  <si>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</si>
  <si>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</si>
  <si>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</si>
  <si>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</si>
  <si>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</si>
  <si>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</si>
  <si>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</si>
  <si>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</si>
  <si>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</si>
  <si>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</si>
  <si>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</si>
  <si>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</si>
  <si>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</si>
  <si>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</si>
  <si>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</si>
  <si>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</si>
  <si>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</si>
  <si>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</si>
  <si>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</si>
  <si>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</si>
  <si>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</si>
  <si>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</si>
  <si>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</si>
  <si>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</si>
  <si>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</si>
  <si>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</si>
  <si>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</si>
  <si>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</si>
  <si>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</si>
  <si>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</si>
  <si>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</si>
  <si>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</si>
  <si>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</si>
  <si>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</si>
  <si>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</si>
  <si>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</si>
  <si>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</si>
  <si>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</si>
  <si>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</si>
  <si>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</si>
  <si>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</si>
  <si>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</si>
  <si>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</si>
  <si>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</si>
  <si>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</si>
  <si>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</si>
  <si>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</si>
  <si>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</si>
  <si>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</si>
  <si>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</si>
  <si>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</si>
  <si>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</si>
  <si>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</si>
  <si>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</si>
  <si>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</si>
  <si>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</si>
  <si>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</si>
  <si>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</si>
  <si>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</si>
  <si>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</si>
  <si>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</si>
  <si>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</si>
  <si>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</si>
  <si>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</si>
  <si>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</si>
  <si>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</si>
  <si>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</si>
  <si>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</si>
  <si>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</si>
  <si>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</si>
  <si>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</si>
  <si>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</si>
  <si>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</si>
  <si>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</si>
  <si>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</si>
  <si>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</si>
  <si>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</si>
  <si>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</si>
  <si>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</si>
  <si>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</si>
  <si>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</si>
  <si>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</si>
  <si>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</si>
  <si>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</si>
  <si>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</si>
  <si>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</si>
  <si>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</si>
  <si>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</si>
  <si>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</si>
  <si>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</si>
  <si>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</si>
  <si>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</si>
  <si>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</si>
  <si>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</si>
  <si>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</si>
  <si>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</si>
  <si>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</si>
  <si>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</si>
  <si>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</si>
  <si>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</si>
  <si>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</si>
  <si>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</si>
  <si>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</si>
  <si>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</si>
  <si>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</si>
  <si>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</si>
  <si>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</si>
  <si>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</si>
  <si>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</si>
  <si>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</si>
  <si>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</si>
  <si>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</si>
  <si>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</si>
  <si>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</si>
  <si>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</si>
  <si>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</si>
  <si>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</si>
  <si>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</si>
  <si>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</si>
  <si>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</si>
  <si>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</si>
  <si>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</si>
  <si>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</si>
  <si>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</si>
  <si>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</si>
  <si>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</si>
  <si>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</si>
  <si>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</si>
  <si>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</si>
  <si>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</si>
  <si>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</si>
  <si>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</si>
  <si>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</si>
  <si>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</si>
  <si>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</si>
  <si>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</si>
  <si>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</si>
  <si>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</si>
  <si>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</si>
  <si>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</si>
  <si>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</si>
  <si>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</si>
  <si>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</si>
  <si>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</si>
  <si>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</si>
  <si>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</si>
  <si>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</si>
  <si>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</si>
  <si>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</si>
  <si>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</si>
  <si>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</si>
  <si>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</si>
  <si>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</si>
  <si>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</si>
  <si>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</si>
  <si>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</si>
  <si>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</si>
  <si>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</si>
  <si>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</si>
  <si>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</si>
  <si>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</si>
  <si>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</si>
  <si>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</si>
  <si>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</si>
  <si>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</si>
  <si>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</si>
  <si>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</si>
  <si>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</si>
  <si>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</si>
  <si>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</si>
  <si>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</si>
  <si>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</si>
  <si>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</si>
  <si>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</si>
  <si>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</si>
  <si>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</si>
  <si>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</si>
  <si>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</si>
  <si>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</si>
  <si>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</si>
  <si>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</si>
  <si>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</si>
  <si>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</si>
  <si>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</si>
  <si>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</si>
  <si>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</si>
  <si>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</si>
  <si>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</si>
  <si>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</si>
  <si>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</si>
  <si>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</si>
  <si>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</si>
  <si>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</si>
  <si>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</si>
  <si>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</si>
  <si>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</si>
  <si>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</si>
  <si>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</si>
  <si>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</si>
  <si>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</si>
  <si>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</si>
  <si>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</si>
  <si>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</si>
  <si>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</si>
  <si>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</si>
  <si>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</si>
  <si>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</si>
  <si>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</si>
  <si>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</si>
  <si>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</si>
  <si>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</si>
  <si>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</si>
  <si>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</si>
  <si>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</si>
  <si>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</si>
  <si>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</si>
  <si>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</si>
  <si>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</si>
  <si>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</si>
  <si>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</si>
  <si>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</si>
  <si>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</si>
  <si>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</si>
  <si>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</si>
  <si>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</si>
  <si>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</si>
  <si>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</si>
  <si>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</si>
  <si>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</si>
  <si>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</si>
  <si>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</si>
  <si>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</si>
  <si>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</si>
  <si>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</si>
  <si>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</si>
  <si>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</si>
  <si>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</si>
  <si>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</si>
  <si>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</si>
  <si>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</si>
  <si>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</si>
  <si>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</si>
  <si>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</si>
  <si>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</si>
  <si>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</si>
  <si>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</si>
  <si>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</si>
  <si>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</si>
  <si>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</si>
  <si>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</si>
  <si>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</si>
  <si>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</si>
  <si>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</si>
  <si>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</si>
  <si>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</si>
  <si>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</si>
  <si>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</si>
  <si>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</si>
  <si>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</si>
  <si>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</si>
  <si>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</si>
  <si>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</si>
  <si>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</si>
  <si>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</si>
  <si>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</si>
  <si>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</si>
  <si>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</si>
  <si>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</si>
  <si>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</si>
  <si>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</si>
  <si>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</si>
  <si>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</si>
  <si>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</si>
  <si>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</si>
  <si>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</si>
  <si>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</si>
  <si>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</si>
  <si>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</si>
  <si>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</si>
  <si>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</si>
  <si>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</si>
  <si>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</si>
  <si>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</si>
  <si>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</si>
  <si>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</si>
  <si>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</si>
  <si>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</si>
  <si>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</si>
  <si>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</si>
  <si>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</si>
  <si>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</si>
  <si>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</si>
  <si>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</si>
  <si>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</si>
  <si>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</si>
  <si>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</si>
  <si>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</si>
  <si>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</si>
  <si>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</si>
  <si>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</si>
  <si>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</si>
  <si>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</si>
  <si>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</si>
  <si>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</si>
  <si>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</si>
  <si>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</si>
  <si>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</si>
  <si>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</si>
  <si>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</si>
  <si>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</si>
  <si>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</si>
  <si>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</si>
  <si>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</si>
  <si>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</si>
  <si>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</si>
  <si>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</si>
  <si>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</si>
  <si>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</si>
  <si>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</si>
  <si>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</si>
  <si>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</si>
  <si>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</si>
  <si>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</si>
  <si>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</si>
  <si>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</si>
  <si>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</si>
  <si>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</si>
  <si>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</si>
  <si>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</si>
  <si>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</si>
  <si>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</si>
  <si>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</si>
  <si>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</si>
  <si>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</si>
  <si>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</si>
  <si>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</si>
  <si>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</si>
  <si>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</si>
  <si>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</si>
  <si>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</si>
  <si>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</si>
  <si>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</si>
  <si>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</si>
  <si>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</si>
  <si>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</si>
  <si>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</si>
  <si>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</si>
  <si>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</si>
  <si>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</si>
  <si>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</si>
  <si>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</si>
  <si>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</si>
  <si>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</si>
  <si>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</si>
  <si>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</si>
  <si>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</si>
  <si>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</si>
  <si>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</si>
  <si>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</si>
  <si>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</si>
  <si>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</si>
  <si>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</si>
  <si>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</si>
  <si>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</si>
  <si>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</si>
  <si>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</si>
  <si>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</si>
  <si>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</si>
  <si>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</si>
  <si>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</si>
  <si>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</si>
  <si>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</si>
  <si>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</si>
  <si>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</si>
  <si>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</si>
  <si>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</si>
  <si>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</si>
  <si>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</si>
  <si>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</si>
  <si>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</si>
  <si>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</si>
  <si>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</si>
  <si>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</si>
  <si>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</si>
  <si>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</si>
  <si>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</si>
  <si>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</si>
  <si>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</si>
  <si>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</si>
  <si>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</si>
  <si>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</si>
  <si>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</si>
  <si>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</si>
  <si>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</si>
  <si>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</si>
  <si>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</si>
  <si>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</si>
  <si>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</si>
  <si>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</si>
  <si>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</si>
  <si>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</si>
  <si>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</si>
  <si>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</si>
  <si>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</si>
  <si>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</si>
  <si>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</si>
  <si>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</si>
  <si>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</si>
  <si>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</si>
  <si>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</si>
  <si>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</si>
  <si>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</si>
  <si>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</si>
  <si>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</si>
  <si>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</si>
  <si>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</si>
  <si>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</si>
  <si>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</si>
  <si>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</si>
  <si>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</si>
  <si>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</si>
  <si>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</si>
  <si>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</si>
  <si>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</si>
  <si>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</si>
  <si>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</si>
  <si>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</si>
  <si>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</si>
  <si>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</si>
  <si>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</si>
  <si>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</si>
  <si>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</si>
  <si>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</si>
  <si>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</si>
  <si>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</si>
  <si>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</si>
  <si>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</si>
  <si>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</si>
  <si>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</si>
  <si>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</si>
  <si>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</si>
  <si>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</si>
  <si>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</si>
  <si>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</si>
  <si>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</si>
  <si>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</si>
  <si>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</si>
  <si>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</si>
  <si>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</si>
  <si>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</si>
  <si>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</si>
  <si>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</si>
  <si>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</si>
  <si>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</si>
  <si>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</si>
  <si>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</si>
  <si>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</si>
  <si>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</si>
  <si>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</si>
  <si>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</si>
  <si>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</si>
  <si>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</si>
  <si>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</si>
  <si>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</si>
  <si>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</si>
  <si>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</si>
  <si>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</si>
  <si>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</si>
  <si>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</si>
  <si>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</si>
  <si>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</si>
  <si>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</si>
  <si>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</si>
  <si>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</si>
  <si>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</si>
  <si>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</si>
  <si>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</si>
  <si>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</si>
  <si>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</si>
  <si>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</si>
  <si>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</si>
  <si>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</si>
  <si>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</si>
  <si>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</si>
  <si>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</si>
  <si>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</si>
  <si>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力行中天投资有限公司</t>
    <phoneticPr fontId="6" type="noConversion"/>
  </si>
  <si>
    <t>抵押</t>
  </si>
  <si>
    <t>房地产抵押价值</t>
  </si>
  <si>
    <t>北京市</t>
  </si>
  <si>
    <t>企业</t>
  </si>
  <si>
    <t>力行中天投资有限公司</t>
    <phoneticPr fontId="6" type="noConversion"/>
  </si>
  <si>
    <t>出让</t>
  </si>
  <si>
    <t>住宅、办公</t>
    <phoneticPr fontId="6" type="noConversion"/>
  </si>
  <si>
    <t>住宅51.34年、办公36.50年</t>
    <phoneticPr fontId="6" type="noConversion"/>
  </si>
  <si>
    <t>是</t>
  </si>
  <si>
    <t>现房</t>
  </si>
  <si>
    <t>通路</t>
  </si>
  <si>
    <t>通电</t>
  </si>
  <si>
    <t>通讯</t>
  </si>
  <si>
    <t>通上水</t>
  </si>
  <si>
    <t>通下水</t>
  </si>
  <si>
    <t>通热</t>
  </si>
  <si>
    <t>燃气</t>
  </si>
  <si>
    <t>居住项目</t>
  </si>
  <si>
    <t>无</t>
  </si>
  <si>
    <t>否</t>
  </si>
  <si>
    <t>产权证号</t>
    <phoneticPr fontId="143" type="noConversion"/>
  </si>
  <si>
    <t>土地使用者</t>
    <phoneticPr fontId="143" type="noConversion"/>
  </si>
  <si>
    <t>北京世桥房地产开发有限公司</t>
    <phoneticPr fontId="143" type="noConversion"/>
  </si>
  <si>
    <t>坐落</t>
  </si>
  <si>
    <t>坐落</t>
    <phoneticPr fontId="143" type="noConversion"/>
  </si>
  <si>
    <t>朝阳区双井东三环南路22号</t>
    <phoneticPr fontId="143" type="noConversion"/>
  </si>
  <si>
    <t>用途</t>
    <phoneticPr fontId="143" type="noConversion"/>
  </si>
  <si>
    <t>住宅</t>
  </si>
  <si>
    <t>住宅</t>
    <phoneticPr fontId="143" type="noConversion"/>
  </si>
  <si>
    <t>使用权类型</t>
    <phoneticPr fontId="143" type="noConversion"/>
  </si>
  <si>
    <t>出让</t>
    <phoneticPr fontId="143" type="noConversion"/>
  </si>
  <si>
    <t>终止日期</t>
    <phoneticPr fontId="143" type="noConversion"/>
  </si>
  <si>
    <t>使用权面积</t>
    <phoneticPr fontId="143" type="noConversion"/>
  </si>
  <si>
    <t>记事</t>
    <phoneticPr fontId="143" type="noConversion"/>
  </si>
  <si>
    <t>已抵押</t>
    <phoneticPr fontId="143" type="noConversion"/>
  </si>
  <si>
    <t>朝阳区双井北东环南路22号</t>
    <phoneticPr fontId="143" type="noConversion"/>
  </si>
  <si>
    <t>办公</t>
    <phoneticPr fontId="143" type="noConversion"/>
  </si>
  <si>
    <t>2056.11.09</t>
    <phoneticPr fontId="143" type="noConversion"/>
  </si>
  <si>
    <t>序号</t>
    <phoneticPr fontId="143" type="noConversion"/>
  </si>
  <si>
    <t>房产证号</t>
    <phoneticPr fontId="143" type="noConversion"/>
  </si>
  <si>
    <t>房屋所有权人</t>
    <phoneticPr fontId="143" type="noConversion"/>
  </si>
  <si>
    <t>登记时间</t>
    <phoneticPr fontId="143" type="noConversion"/>
  </si>
  <si>
    <t>规划用途</t>
    <phoneticPr fontId="143" type="noConversion"/>
  </si>
  <si>
    <t>建筑面积</t>
    <phoneticPr fontId="143" type="noConversion"/>
  </si>
  <si>
    <t>力行中天投资有限公司</t>
    <phoneticPr fontId="143" type="noConversion"/>
  </si>
  <si>
    <t>朝阳区东三环中路乙16号院5号楼1至2层101</t>
    <phoneticPr fontId="143" type="noConversion"/>
  </si>
  <si>
    <t>办公用房</t>
    <phoneticPr fontId="143" type="noConversion"/>
  </si>
  <si>
    <t>总楼层</t>
    <phoneticPr fontId="143" type="noConversion"/>
  </si>
  <si>
    <t>所在层</t>
    <phoneticPr fontId="143" type="noConversion"/>
  </si>
  <si>
    <t>朝向</t>
    <phoneticPr fontId="143" type="noConversion"/>
  </si>
  <si>
    <t>西北</t>
  </si>
  <si>
    <t>西北</t>
    <phoneticPr fontId="143" type="noConversion"/>
  </si>
  <si>
    <t>1至2</t>
    <phoneticPr fontId="143" type="noConversion"/>
  </si>
  <si>
    <t>结构</t>
    <phoneticPr fontId="143" type="noConversion"/>
  </si>
  <si>
    <t>钢</t>
  </si>
  <si>
    <t>钢</t>
    <phoneticPr fontId="143" type="noConversion"/>
  </si>
  <si>
    <t>钢混</t>
  </si>
  <si>
    <t>钢混</t>
    <phoneticPr fontId="143" type="noConversion"/>
  </si>
  <si>
    <t>X京房权证朝字第1422507号</t>
    <phoneticPr fontId="143" type="noConversion"/>
  </si>
  <si>
    <t>朝阳区东三环中路乙16号院4号楼4层501</t>
    <phoneticPr fontId="143" type="noConversion"/>
  </si>
  <si>
    <t>22（-2）</t>
    <phoneticPr fontId="143" type="noConversion"/>
  </si>
  <si>
    <t>东北</t>
    <phoneticPr fontId="143" type="noConversion"/>
  </si>
  <si>
    <t>X京房权证朝字第1422532号</t>
    <phoneticPr fontId="143" type="noConversion"/>
  </si>
  <si>
    <t>朝阳区东三环中路乙16号院4号楼4层502</t>
    <phoneticPr fontId="143" type="noConversion"/>
  </si>
  <si>
    <t>东南</t>
    <phoneticPr fontId="143" type="noConversion"/>
  </si>
  <si>
    <t>X京房权证朝字第1088567号</t>
    <phoneticPr fontId="143" type="noConversion"/>
  </si>
  <si>
    <t>朝阳区东三环中路乙16号院4号楼4层505</t>
    <phoneticPr fontId="143" type="noConversion"/>
  </si>
  <si>
    <t>已抵押</t>
    <phoneticPr fontId="143" type="noConversion"/>
  </si>
  <si>
    <t>备注</t>
    <phoneticPr fontId="143" type="noConversion"/>
  </si>
  <si>
    <t>南</t>
  </si>
  <si>
    <t>南</t>
    <phoneticPr fontId="143" type="noConversion"/>
  </si>
  <si>
    <t>X京房权证朝字第1125737号</t>
    <phoneticPr fontId="143" type="noConversion"/>
  </si>
  <si>
    <t>朝阳区东三环中路乙16号院4号楼5层603</t>
    <phoneticPr fontId="143" type="noConversion"/>
  </si>
  <si>
    <t>X京房权证朝字第1422505号</t>
    <phoneticPr fontId="143" type="noConversion"/>
  </si>
  <si>
    <t>朝阳区东三环中路乙16号院4号楼5层607</t>
    <phoneticPr fontId="143" type="noConversion"/>
  </si>
  <si>
    <t>X京房权证朝字第1422541号</t>
    <phoneticPr fontId="143" type="noConversion"/>
  </si>
  <si>
    <t>朝阳区东三环中路乙16号院4号楼6层702</t>
    <phoneticPr fontId="143" type="noConversion"/>
  </si>
  <si>
    <t>X京房权证朝字第1190905号</t>
    <phoneticPr fontId="143" type="noConversion"/>
  </si>
  <si>
    <t>朝阳区东三环中路乙16号院4号楼6层705</t>
    <phoneticPr fontId="143" type="noConversion"/>
  </si>
  <si>
    <t>X京房权证朝字第1426893号</t>
    <phoneticPr fontId="143" type="noConversion"/>
  </si>
  <si>
    <t>朝阳区东三环中路乙16号院4号楼7层807</t>
    <phoneticPr fontId="143" type="noConversion"/>
  </si>
  <si>
    <t>X京房权证朝字第1422537号</t>
    <phoneticPr fontId="143" type="noConversion"/>
  </si>
  <si>
    <t>朝阳区东三环中路乙16号院4号楼10层1105</t>
    <phoneticPr fontId="143" type="noConversion"/>
  </si>
  <si>
    <t>X京房权证朝字第1421457号</t>
    <phoneticPr fontId="143" type="noConversion"/>
  </si>
  <si>
    <t>朝阳区东三环中路乙16号院4号楼11层1202</t>
    <phoneticPr fontId="143" type="noConversion"/>
  </si>
  <si>
    <t>X京房权证朝字第1137513号</t>
    <phoneticPr fontId="143" type="noConversion"/>
  </si>
  <si>
    <t>朝阳区东三环中路乙16号院4号楼12层1505</t>
    <phoneticPr fontId="143" type="noConversion"/>
  </si>
  <si>
    <t>朝阳区东三环中路乙16号院4号楼13层1605</t>
    <phoneticPr fontId="143" type="noConversion"/>
  </si>
  <si>
    <t>朝阳区东三环中路乙16号院4号楼13层1607</t>
    <phoneticPr fontId="143" type="noConversion"/>
  </si>
  <si>
    <t>朝阳区东三环中路乙16号院4号楼15层1807</t>
    <phoneticPr fontId="143" type="noConversion"/>
  </si>
  <si>
    <t>朝阳区东三环中路乙16号院4号楼14层1707</t>
    <phoneticPr fontId="143" type="noConversion"/>
  </si>
  <si>
    <t>朝阳区东三环中路乙16号院4号楼17层2007</t>
    <phoneticPr fontId="143" type="noConversion"/>
  </si>
  <si>
    <t>X京房权证朝字第1422528号</t>
    <phoneticPr fontId="143" type="noConversion"/>
  </si>
  <si>
    <t>朝阳区东三环中路乙16号院4号楼15层1806</t>
    <phoneticPr fontId="143" type="noConversion"/>
  </si>
  <si>
    <t>西南</t>
    <phoneticPr fontId="143" type="noConversion"/>
  </si>
  <si>
    <t>——</t>
    <phoneticPr fontId="143" type="noConversion"/>
  </si>
  <si>
    <t>京房权证朝其04字第00952号</t>
    <phoneticPr fontId="143" type="noConversion"/>
  </si>
  <si>
    <t>朝阳区东三环中路乙16号院4号楼20层2301</t>
    <phoneticPr fontId="143" type="noConversion"/>
  </si>
  <si>
    <t>朝阳区东三环中路乙16号院4号楼20层2303</t>
    <phoneticPr fontId="143" type="noConversion"/>
  </si>
  <si>
    <t>朝阳区东三环中路乙16号院4号楼20层2305</t>
    <phoneticPr fontId="143" type="noConversion"/>
  </si>
  <si>
    <t>朝阳区东三环中路乙16号院4号楼20层2306</t>
    <phoneticPr fontId="143" type="noConversion"/>
  </si>
  <si>
    <t>朝阳区东三环中路乙16号院4号楼20层2307</t>
    <phoneticPr fontId="143" type="noConversion"/>
  </si>
  <si>
    <t>朝阳区东三环中路乙16号院4号楼21层2506</t>
    <phoneticPr fontId="143" type="noConversion"/>
  </si>
  <si>
    <t>朝阳区东三环中路乙16号院4号楼21层2507</t>
    <phoneticPr fontId="143" type="noConversion"/>
  </si>
  <si>
    <t>朝阳区东三环中路乙16号院4号楼22层2601</t>
    <phoneticPr fontId="143" type="noConversion"/>
  </si>
  <si>
    <t>朝阳区东三环中路乙16号院4号楼22层2602</t>
  </si>
  <si>
    <t>朝阳区东三环中路乙16号院4号楼22层2603</t>
  </si>
  <si>
    <t>朝阳区东三环中路乙16号院4号楼22层2605</t>
  </si>
  <si>
    <t>朝阳区东三环中路乙16号院4号楼22层2606</t>
  </si>
  <si>
    <t>朝阳区东三环中路乙16号院4号楼22层2607</t>
  </si>
  <si>
    <t>办公用房小计</t>
    <phoneticPr fontId="143" type="noConversion"/>
  </si>
  <si>
    <t>住宅用房小计</t>
    <phoneticPr fontId="143" type="noConversion"/>
  </si>
  <si>
    <t>合计</t>
    <phoneticPr fontId="143" type="noConversion"/>
  </si>
  <si>
    <t>西南</t>
    <phoneticPr fontId="143" type="noConversion"/>
  </si>
  <si>
    <t>地上</t>
  </si>
  <si>
    <t>住宅</t>
    <phoneticPr fontId="7" type="noConversion"/>
  </si>
  <si>
    <t>办公</t>
    <phoneticPr fontId="7" type="noConversion"/>
  </si>
  <si>
    <t>朝阳区东三环中路乙16号院4号楼2层207</t>
    <phoneticPr fontId="143" type="noConversion"/>
  </si>
  <si>
    <t>正常</t>
  </si>
  <si>
    <t>住宅</t>
    <phoneticPr fontId="25" type="noConversion"/>
  </si>
  <si>
    <t>世桥国贸公寓</t>
    <phoneticPr fontId="3" type="noConversion"/>
  </si>
  <si>
    <t>世桥国贸公寓</t>
    <phoneticPr fontId="3" type="noConversion"/>
  </si>
  <si>
    <t>50-60（含）</t>
  </si>
  <si>
    <t>较好</t>
  </si>
  <si>
    <t>较好</t>
    <phoneticPr fontId="41"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</si>
  <si>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</si>
  <si>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</si>
  <si>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</si>
  <si>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</si>
  <si>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东三环中路</t>
    </r>
    <phoneticPr fontId="25" type="noConversion"/>
  </si>
  <si>
    <t>收益法</t>
  </si>
  <si>
    <t>比较法-住宅</t>
  </si>
  <si>
    <t>成新度</t>
  </si>
  <si>
    <t>押一</t>
  </si>
  <si>
    <t>按租金收入计税</t>
  </si>
  <si>
    <t>非生产用房</t>
  </si>
  <si>
    <t>收益法 (元)</t>
  </si>
  <si>
    <t>楼层</t>
    <phoneticPr fontId="25" type="noConversion"/>
  </si>
  <si>
    <t>高楼层</t>
  </si>
  <si>
    <t>高楼层</t>
    <phoneticPr fontId="25" type="noConversion"/>
  </si>
  <si>
    <t>中楼层</t>
  </si>
  <si>
    <t>中楼层</t>
    <phoneticPr fontId="25" type="noConversion"/>
  </si>
  <si>
    <t>低楼层</t>
  </si>
  <si>
    <t>低楼层</t>
    <phoneticPr fontId="25" type="noConversion"/>
  </si>
  <si>
    <t>南北</t>
    <phoneticPr fontId="25" type="noConversion"/>
  </si>
  <si>
    <t>东南</t>
    <phoneticPr fontId="25" type="noConversion"/>
  </si>
  <si>
    <t>西南</t>
    <phoneticPr fontId="25" type="noConversion"/>
  </si>
  <si>
    <t>南</t>
    <phoneticPr fontId="25" type="noConversion"/>
  </si>
  <si>
    <t>东北</t>
    <phoneticPr fontId="25" type="noConversion"/>
  </si>
  <si>
    <t>西北</t>
    <phoneticPr fontId="25" type="noConversion"/>
  </si>
  <si>
    <t>东西</t>
  </si>
  <si>
    <t>东西</t>
    <phoneticPr fontId="25" type="noConversion"/>
  </si>
  <si>
    <t>东</t>
    <phoneticPr fontId="25" type="noConversion"/>
  </si>
  <si>
    <t>西</t>
    <phoneticPr fontId="25" type="noConversion"/>
  </si>
  <si>
    <t>北</t>
    <phoneticPr fontId="25" type="noConversion"/>
  </si>
  <si>
    <t>塔楼</t>
  </si>
  <si>
    <t>塔楼</t>
    <phoneticPr fontId="25" type="noConversion"/>
  </si>
  <si>
    <t>钢</t>
    <phoneticPr fontId="25" type="noConversion"/>
  </si>
  <si>
    <t>钢混</t>
    <phoneticPr fontId="25" type="noConversion"/>
  </si>
  <si>
    <t>混合</t>
    <phoneticPr fontId="25" type="noConversion"/>
  </si>
  <si>
    <t>高档</t>
    <phoneticPr fontId="25" type="noConversion"/>
  </si>
  <si>
    <t>中高档</t>
  </si>
  <si>
    <t>中高档</t>
    <phoneticPr fontId="25" type="noConversion"/>
  </si>
  <si>
    <t>中档</t>
    <phoneticPr fontId="25" type="noConversion"/>
  </si>
  <si>
    <t>中低档</t>
    <phoneticPr fontId="25" type="noConversion"/>
  </si>
  <si>
    <t>低档</t>
    <phoneticPr fontId="25" type="noConversion"/>
  </si>
  <si>
    <t>精装</t>
  </si>
  <si>
    <t>精装</t>
    <phoneticPr fontId="25" type="noConversion"/>
  </si>
  <si>
    <t>普装</t>
  </si>
  <si>
    <t>普装</t>
    <phoneticPr fontId="25" type="noConversion"/>
  </si>
  <si>
    <t>简装</t>
  </si>
  <si>
    <t>简装</t>
    <phoneticPr fontId="25" type="noConversion"/>
  </si>
  <si>
    <t>毛坯</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</si>
  <si>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</si>
  <si>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</si>
  <si>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</si>
  <si>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</si>
  <si>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</si>
  <si>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</si>
  <si>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</si>
  <si>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平面</t>
    <phoneticPr fontId="25" type="noConversion"/>
  </si>
  <si>
    <t>高楼层</t>
    <phoneticPr fontId="25" type="noConversion"/>
  </si>
  <si>
    <t>楼层</t>
    <phoneticPr fontId="143" type="noConversion"/>
  </si>
  <si>
    <t>16.17.18.19.20.21.22</t>
    <phoneticPr fontId="143" type="noConversion"/>
  </si>
  <si>
    <t>比较法-办公</t>
  </si>
  <si>
    <t>售价</t>
  </si>
  <si>
    <t>30-40（含）</t>
  </si>
  <si>
    <t>快速路</t>
    <phoneticPr fontId="32" type="noConversion"/>
  </si>
  <si>
    <t>主干道</t>
  </si>
  <si>
    <t>主干道</t>
    <phoneticPr fontId="32" type="noConversion"/>
  </si>
  <si>
    <t>次干道</t>
    <phoneticPr fontId="32" type="noConversion"/>
  </si>
  <si>
    <t>支路</t>
    <phoneticPr fontId="32" type="noConversion"/>
  </si>
  <si>
    <t>高速路</t>
    <phoneticPr fontId="32" type="noConversion"/>
  </si>
  <si>
    <t>高区</t>
    <phoneticPr fontId="32" type="noConversion"/>
  </si>
  <si>
    <t>中区</t>
  </si>
  <si>
    <t>中区</t>
    <phoneticPr fontId="32" type="noConversion"/>
  </si>
  <si>
    <t>低区</t>
  </si>
  <si>
    <t>低区</t>
    <phoneticPr fontId="32" type="noConversion"/>
  </si>
  <si>
    <t>标准写字楼</t>
  </si>
  <si>
    <t>标准写字楼</t>
    <phoneticPr fontId="32" type="noConversion"/>
  </si>
  <si>
    <t>钢</t>
    <phoneticPr fontId="32" type="noConversion"/>
  </si>
  <si>
    <t>钢混</t>
    <phoneticPr fontId="32" type="noConversion"/>
  </si>
  <si>
    <t>混合</t>
    <phoneticPr fontId="32" type="noConversion"/>
  </si>
  <si>
    <t>专业</t>
    <phoneticPr fontId="32" type="noConversion"/>
  </si>
  <si>
    <t>普通</t>
    <phoneticPr fontId="32" type="noConversion"/>
  </si>
  <si>
    <t>甲级</t>
    <phoneticPr fontId="32" type="noConversion"/>
  </si>
  <si>
    <t>乙级</t>
    <phoneticPr fontId="32" type="noConversion"/>
  </si>
  <si>
    <t>超高</t>
    <phoneticPr fontId="32" type="noConversion"/>
  </si>
  <si>
    <t>标准</t>
  </si>
  <si>
    <t>标准</t>
    <phoneticPr fontId="32" type="noConversion"/>
  </si>
  <si>
    <t>分摊土地面积</t>
    <phoneticPr fontId="143" type="noConversion"/>
  </si>
  <si>
    <t>建筑总面积</t>
    <phoneticPr fontId="143" type="noConversion"/>
  </si>
  <si>
    <t>地下室面积</t>
    <phoneticPr fontId="143" type="noConversion"/>
  </si>
  <si>
    <t>附属用房</t>
    <phoneticPr fontId="143" type="noConversion"/>
  </si>
  <si>
    <t>地上主体面积</t>
    <phoneticPr fontId="143" type="noConversion"/>
  </si>
  <si>
    <t>1.2.3.4.5.6.7.8</t>
    <phoneticPr fontId="143" type="noConversion"/>
  </si>
  <si>
    <t>9.10.11.12.13.14.15</t>
    <phoneticPr fontId="143" type="noConversion"/>
  </si>
  <si>
    <t>办公</t>
    <phoneticPr fontId="3" type="noConversion"/>
  </si>
  <si>
    <t>房号</t>
    <phoneticPr fontId="143" type="noConversion"/>
  </si>
  <si>
    <t>收入明细表</t>
    <phoneticPr fontId="3" type="noConversion"/>
  </si>
  <si>
    <t>承租户明细</t>
  </si>
  <si>
    <t>租赁物</t>
  </si>
  <si>
    <t>房租收入（万元）</t>
    <phoneticPr fontId="3" type="noConversion"/>
  </si>
  <si>
    <t>艺星医疗美容有限公司</t>
  </si>
  <si>
    <t>北京荣贸烤翅有限责任公司</t>
  </si>
  <si>
    <t>北京德川家饮食有限责任公司</t>
  </si>
  <si>
    <t>一蛙面</t>
    <phoneticPr fontId="3" type="noConversion"/>
  </si>
  <si>
    <t>北京福满庄小吃店</t>
  </si>
  <si>
    <t>北京妙境美容有限公司（汤泉）</t>
    <phoneticPr fontId="3" type="noConversion"/>
  </si>
  <si>
    <t>合计</t>
    <phoneticPr fontId="3" type="noConversion"/>
  </si>
  <si>
    <t>公寓出租</t>
    <phoneticPr fontId="3" type="noConversion"/>
  </si>
  <si>
    <t>公寓出租（131套）收入</t>
    <phoneticPr fontId="3" type="noConversion"/>
  </si>
  <si>
    <t>见下表</t>
    <phoneticPr fontId="3" type="noConversion"/>
  </si>
  <si>
    <t xml:space="preserve"> </t>
    <phoneticPr fontId="3" type="noConversion"/>
  </si>
  <si>
    <t>年总收入</t>
    <phoneticPr fontId="3" type="noConversion"/>
  </si>
  <si>
    <t xml:space="preserve">雨园房租明细报表                  </t>
    <phoneticPr fontId="3" type="noConversion"/>
  </si>
  <si>
    <t>序号</t>
    <phoneticPr fontId="3" type="noConversion"/>
  </si>
  <si>
    <t xml:space="preserve">房 号 </t>
    <phoneticPr fontId="3" type="noConversion"/>
  </si>
  <si>
    <t>租 户 名 称</t>
    <phoneticPr fontId="3" type="noConversion"/>
  </si>
  <si>
    <t>入住日期</t>
    <phoneticPr fontId="3" type="noConversion"/>
  </si>
  <si>
    <t>退租日期</t>
    <phoneticPr fontId="3" type="noConversion"/>
  </si>
  <si>
    <t>租金</t>
    <phoneticPr fontId="3" type="noConversion"/>
  </si>
  <si>
    <t>20.12.31</t>
  </si>
  <si>
    <r>
      <t>Embassy of the Republic of Suriname</t>
    </r>
    <r>
      <rPr>
        <sz val="8"/>
        <rFont val="仿宋"/>
        <family val="3"/>
        <charset val="134"/>
      </rPr>
      <t>（苏里南共和国大使馆）</t>
    </r>
  </si>
  <si>
    <t>19.5.8</t>
  </si>
  <si>
    <t>21.5.7</t>
  </si>
  <si>
    <t>北京乐成国际学校</t>
  </si>
  <si>
    <t>19.5.1</t>
  </si>
  <si>
    <t>20.7.31</t>
  </si>
  <si>
    <t>19.6.4</t>
  </si>
  <si>
    <t>20.6.3</t>
  </si>
  <si>
    <t>Rangi Warren Dean  刘燕</t>
  </si>
  <si>
    <t>段茜、寇屹</t>
  </si>
  <si>
    <t>15.5.16</t>
  </si>
  <si>
    <t>20.5.15</t>
  </si>
  <si>
    <t>董琳光</t>
  </si>
  <si>
    <t>19.4.30</t>
  </si>
  <si>
    <t>21.3.29</t>
  </si>
  <si>
    <t>20.8.31</t>
  </si>
  <si>
    <t>齐柯</t>
  </si>
  <si>
    <t>19.4.15</t>
  </si>
  <si>
    <t>21.4.14</t>
  </si>
  <si>
    <t>周琳、翟锋</t>
  </si>
  <si>
    <t>18.1.25</t>
  </si>
  <si>
    <t>2021.1.24</t>
  </si>
  <si>
    <t>戴姆勒大中华区投资有限公司</t>
  </si>
  <si>
    <t>17.11.1</t>
  </si>
  <si>
    <t>张宏</t>
  </si>
  <si>
    <t>19.8.4</t>
  </si>
  <si>
    <t>20.8.3</t>
  </si>
  <si>
    <t>MICHEL PIERRE JEAN PETERLIN  （承租人）</t>
    <phoneticPr fontId="3" type="noConversion"/>
  </si>
  <si>
    <t>16.9.1</t>
  </si>
  <si>
    <t>徐馨</t>
  </si>
  <si>
    <t>18.8.31</t>
  </si>
  <si>
    <t>20.8.30</t>
  </si>
  <si>
    <t>尤尼维瑟（北京）咨询有限公司</t>
  </si>
  <si>
    <t>广州万达体育发展有限公司</t>
  </si>
  <si>
    <t>17.5.2</t>
  </si>
  <si>
    <t>20.7.1</t>
  </si>
  <si>
    <t>李昊</t>
  </si>
  <si>
    <t>2020.3.25</t>
    <phoneticPr fontId="3" type="noConversion"/>
  </si>
  <si>
    <t>2021.3.24</t>
    <phoneticPr fontId="3" type="noConversion"/>
  </si>
  <si>
    <t>2020.3.29</t>
    <phoneticPr fontId="3" type="noConversion"/>
  </si>
  <si>
    <t>2021.3.28</t>
    <phoneticPr fontId="3" type="noConversion"/>
  </si>
  <si>
    <t>赵军</t>
  </si>
  <si>
    <t>2020.3.6</t>
    <phoneticPr fontId="3" type="noConversion"/>
  </si>
  <si>
    <t>2021.3.5</t>
    <phoneticPr fontId="3" type="noConversion"/>
  </si>
  <si>
    <t>20.1.1</t>
    <phoneticPr fontId="3" type="noConversion"/>
  </si>
  <si>
    <t>20.12.31</t>
    <phoneticPr fontId="3" type="noConversion"/>
  </si>
  <si>
    <t>迟丹</t>
  </si>
  <si>
    <t>19.11.4</t>
    <phoneticPr fontId="3" type="noConversion"/>
  </si>
  <si>
    <t>20.11.3</t>
    <phoneticPr fontId="3" type="noConversion"/>
  </si>
  <si>
    <t>上海姜根酒店管理有限公司北京分公司</t>
  </si>
  <si>
    <t>19.12.23</t>
    <phoneticPr fontId="3" type="noConversion"/>
  </si>
  <si>
    <t>21.12.22</t>
    <phoneticPr fontId="3" type="noConversion"/>
  </si>
  <si>
    <t>北京新尚品科技发展有限公司</t>
  </si>
  <si>
    <t>2020.11.30</t>
    <phoneticPr fontId="3" type="noConversion"/>
  </si>
  <si>
    <t>2021.11.30</t>
    <phoneticPr fontId="3" type="noConversion"/>
  </si>
  <si>
    <t>建筑面积</t>
    <phoneticPr fontId="143" type="noConversion"/>
  </si>
  <si>
    <t>居住用地（指二类居住用地）</t>
  </si>
  <si>
    <t>自定义容积率</t>
  </si>
  <si>
    <t>不临58条商业街</t>
  </si>
  <si>
    <t>平整</t>
  </si>
  <si>
    <t>与级别开发程度一致</t>
  </si>
  <si>
    <t>季度增幅（自定义）</t>
  </si>
  <si>
    <t>容积率修正</t>
  </si>
  <si>
    <t>好</t>
  </si>
  <si>
    <t>建外SOHO</t>
    <phoneticPr fontId="3" type="noConversion"/>
  </si>
  <si>
    <t>七--拾壹</t>
    <phoneticPr fontId="3" type="noConversion"/>
  </si>
  <si>
    <r>
      <t>朝阳区东三环中路（东环南路</t>
    </r>
    <r>
      <rPr>
        <sz val="10"/>
        <color indexed="8"/>
        <rFont val="Tahoma"/>
        <family val="2"/>
      </rPr>
      <t>22</t>
    </r>
    <r>
      <rPr>
        <sz val="10"/>
        <color indexed="8"/>
        <rFont val="宋体"/>
        <family val="3"/>
        <charset val="134"/>
      </rPr>
      <t>号北侧）</t>
    </r>
  </si>
  <si>
    <r>
      <t>5</t>
    </r>
    <r>
      <rPr>
        <sz val="10"/>
        <color indexed="8"/>
        <rFont val="宋体"/>
        <family val="3"/>
        <charset val="134"/>
      </rPr>
      <t>层楼</t>
    </r>
    <phoneticPr fontId="3" type="noConversion"/>
  </si>
  <si>
    <r>
      <t>朝阳区东三环中路乙</t>
    </r>
    <r>
      <rPr>
        <sz val="10"/>
        <color indexed="8"/>
        <rFont val="Tahoma"/>
        <family val="2"/>
      </rPr>
      <t>16</t>
    </r>
    <r>
      <rPr>
        <sz val="10"/>
        <color indexed="8"/>
        <rFont val="宋体"/>
        <family val="3"/>
        <charset val="134"/>
      </rPr>
      <t>号院</t>
    </r>
    <phoneticPr fontId="3" type="noConversion"/>
  </si>
  <si>
    <r>
      <t>5</t>
    </r>
    <r>
      <rPr>
        <sz val="10"/>
        <color indexed="8"/>
        <rFont val="宋体"/>
        <family val="3"/>
        <charset val="134"/>
      </rPr>
      <t>号楼</t>
    </r>
    <r>
      <rPr>
        <sz val="10"/>
        <color indexed="8"/>
        <rFont val="Tahoma"/>
        <family val="2"/>
      </rPr>
      <t>(</t>
    </r>
    <r>
      <rPr>
        <sz val="10"/>
        <color indexed="8"/>
        <rFont val="宋体"/>
        <family val="3"/>
        <charset val="134"/>
      </rPr>
      <t>二层办公楼）</t>
    </r>
    <phoneticPr fontId="3" type="noConversion"/>
  </si>
  <si>
    <r>
      <t>朝阳区东三环中路乙</t>
    </r>
    <r>
      <rPr>
        <sz val="10"/>
        <color indexed="8"/>
        <rFont val="Tahoma"/>
        <family val="2"/>
      </rPr>
      <t>16</t>
    </r>
    <r>
      <rPr>
        <sz val="10"/>
        <color indexed="8"/>
        <rFont val="宋体"/>
        <family val="3"/>
        <charset val="134"/>
      </rPr>
      <t>号院世桥国贸公寓</t>
    </r>
    <phoneticPr fontId="3" type="noConversion"/>
  </si>
  <si>
    <r>
      <t>4</t>
    </r>
    <r>
      <rPr>
        <sz val="10"/>
        <color indexed="8"/>
        <rFont val="宋体"/>
        <family val="3"/>
        <charset val="134"/>
      </rPr>
      <t>号楼</t>
    </r>
  </si>
  <si>
    <t>面积（㎡）</t>
    <phoneticPr fontId="143" type="noConversion"/>
  </si>
  <si>
    <t>租赁期</t>
    <phoneticPr fontId="143" type="noConversion"/>
  </si>
  <si>
    <t>日租金</t>
    <phoneticPr fontId="143" type="noConversion"/>
  </si>
  <si>
    <t>年租金</t>
    <phoneticPr fontId="143" type="noConversion"/>
  </si>
  <si>
    <t>剩余租赁期</t>
    <phoneticPr fontId="143" type="noConversion"/>
  </si>
  <si>
    <t>剩余租赁期租金</t>
    <phoneticPr fontId="143" type="noConversion"/>
  </si>
  <si>
    <t>整理后日租金</t>
    <phoneticPr fontId="143" type="noConversion"/>
  </si>
  <si>
    <t>整理后日租金</t>
    <phoneticPr fontId="143" type="noConversion"/>
  </si>
  <si>
    <t>工行九龙山（中国工商银行股份有限公司北京九龙山支行）</t>
    <phoneticPr fontId="6" type="noConversion"/>
  </si>
  <si>
    <t>X京房权证朝字第1416076号</t>
    <phoneticPr fontId="143" type="noConversion"/>
  </si>
  <si>
    <t>X京房权证朝字第1190940号</t>
    <phoneticPr fontId="143" type="noConversion"/>
  </si>
  <si>
    <t>京朝国用（2002出）字第0239号</t>
    <phoneticPr fontId="143" type="noConversion"/>
  </si>
  <si>
    <t>京朝国用（2008出）字第0073号</t>
    <phoneticPr fontId="14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</si>
  <si>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出）字第</t>
    </r>
    <r>
      <rPr>
        <sz val="12"/>
        <color theme="9" tint="-0.249977111117893"/>
        <rFont val="Arial"/>
        <family val="2"/>
      </rPr>
      <t>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2</t>
    </r>
    <r>
      <rPr>
        <sz val="12"/>
        <color theme="9" tint="-0.249977111117893"/>
        <rFont val="宋体"/>
        <family val="3"/>
        <charset val="134"/>
      </rPr>
      <t>本</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</si>
  <si>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1190940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32</t>
    </r>
    <r>
      <rPr>
        <sz val="12"/>
        <color theme="9" tint="-0.249977111117893"/>
        <rFont val="宋体"/>
        <family val="3"/>
        <charset val="134"/>
      </rPr>
      <t>本、《测绘报告》</t>
    </r>
    <r>
      <rPr>
        <sz val="12"/>
        <color theme="9" tint="-0.249977111117893"/>
        <rFont val="Arial"/>
        <family val="2"/>
      </rPr>
      <t>[]</t>
    </r>
    <phoneticPr fontId="6" type="noConversion"/>
  </si>
  <si>
    <t>复印件</t>
  </si>
  <si>
    <t>《国有土地使用证》</t>
    <phoneticPr fontId="143" type="noConversion"/>
  </si>
  <si>
    <t>《房屋所有权证》</t>
    <phoneticPr fontId="143" type="noConversion"/>
  </si>
  <si>
    <t>4#《房屋土地测绘成果报告书》</t>
    <phoneticPr fontId="143" type="noConversion"/>
  </si>
  <si>
    <t>4#《国有土地使用证》</t>
    <phoneticPr fontId="143" type="noConversion"/>
  </si>
  <si>
    <t>办公</t>
    <phoneticPr fontId="32" type="noConversion"/>
  </si>
  <si>
    <t>独栋</t>
  </si>
  <si>
    <t>独栋</t>
    <phoneticPr fontId="32" type="noConversion"/>
  </si>
  <si>
    <t>富力双子座</t>
    <phoneticPr fontId="3" type="noConversion"/>
  </si>
  <si>
    <t>乐成中心</t>
    <phoneticPr fontId="3" type="noConversion"/>
  </si>
  <si>
    <t>东三环中路</t>
    <phoneticPr fontId="32" type="noConversion"/>
  </si>
  <si>
    <t>东三环中路</t>
    <phoneticPr fontId="32" type="noConversion"/>
  </si>
  <si>
    <t>东三环中路</t>
    <phoneticPr fontId="32" type="noConversion"/>
  </si>
  <si>
    <r>
      <rPr>
        <sz val="12"/>
        <color theme="9" tint="-0.249977111117893"/>
        <rFont val="宋体"/>
        <family val="3"/>
        <charset val="134"/>
      </rPr>
      <t>朝阳区东三环中路乙</t>
    </r>
    <r>
      <rPr>
        <sz val="12"/>
        <color theme="9" tint="-0.249977111117893"/>
        <rFont val="Arial"/>
        <family val="2"/>
      </rPr>
      <t>16</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层</t>
    </r>
    <r>
      <rPr>
        <sz val="12"/>
        <color theme="9" tint="-0.249977111117893"/>
        <rFont val="Arial"/>
        <family val="2"/>
      </rPr>
      <t>207</t>
    </r>
    <r>
      <rPr>
        <sz val="12"/>
        <color theme="9" tint="-0.249977111117893"/>
        <rFont val="宋体"/>
        <family val="3"/>
        <charset val="134"/>
      </rPr>
      <t>号等</t>
    </r>
    <r>
      <rPr>
        <sz val="12"/>
        <color theme="9" tint="-0.249977111117893"/>
        <rFont val="Arial"/>
        <family val="2"/>
      </rPr>
      <t>31</t>
    </r>
    <r>
      <rPr>
        <sz val="12"/>
        <color theme="9" tint="-0.249977111117893"/>
        <rFont val="宋体"/>
        <family val="3"/>
        <charset val="134"/>
      </rPr>
      <t>套住宅用房及朝阳区东三环中路乙</t>
    </r>
    <r>
      <rPr>
        <sz val="12"/>
        <color theme="9" tint="-0.249977111117893"/>
        <rFont val="Arial"/>
        <family val="2"/>
      </rPr>
      <t>16</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号办公用房</t>
    </r>
    <phoneticPr fontId="6" type="noConversion"/>
  </si>
  <si>
    <t>力行中天投资有限公司</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</si>
</sst>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0\)"/>
    <numFmt numFmtId="198" formatCode="yy/m/d"/>
    <numFmt numFmtId="199" formatCode="#,##0;[Red]#,##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name val="宋体"/>
      <family val="3"/>
      <charset val="134"/>
    </font>
    <font>
      <b/>
      <sz val="18"/>
      <name val="仿宋"/>
      <family val="3"/>
      <charset val="134"/>
    </font>
    <font>
      <b/>
      <sz val="9"/>
      <name val="仿宋"/>
      <family val="3"/>
      <charset val="134"/>
    </font>
    <font>
      <sz val="9"/>
      <name val="仿宋"/>
      <family val="3"/>
      <charset val="134"/>
    </font>
    <font>
      <sz val="8"/>
      <name val="仿宋"/>
      <family val="3"/>
      <charset val="134"/>
    </font>
    <font>
      <sz val="8"/>
      <name val="宋体"/>
      <family val="3"/>
      <charset val="134"/>
    </font>
    <font>
      <sz val="11"/>
      <color indexed="20"/>
      <name val="Tahoma"/>
      <family val="2"/>
    </font>
    <font>
      <sz val="11"/>
      <color indexed="17"/>
      <name val="Tahoma"/>
      <family val="2"/>
    </font>
    <font>
      <sz val="10"/>
      <color indexed="8"/>
      <name val="Tahoma"/>
      <family val="2"/>
    </font>
    <font>
      <b/>
      <sz val="10"/>
      <color indexed="8"/>
      <name val="Tahom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45"/>
      </patternFill>
    </fill>
    <fill>
      <patternFill patternType="solid">
        <fgColor indexed="42"/>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137" fillId="0" borderId="0">
      <alignment vertical="center"/>
    </xf>
    <xf numFmtId="0" fontId="260" fillId="18" borderId="0" applyNumberFormat="0" applyBorder="0" applyAlignment="0" applyProtection="0">
      <alignment vertical="center"/>
    </xf>
    <xf numFmtId="0" fontId="261" fillId="19" borderId="0" applyNumberFormat="0" applyBorder="0" applyAlignment="0" applyProtection="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13" fillId="5" borderId="0" xfId="0" applyFont="1" applyFill="1" applyAlignment="1">
      <alignment horizontal="left" vertical="center"/>
    </xf>
    <xf numFmtId="0" fontId="113" fillId="0" borderId="0" xfId="0" applyFont="1" applyAlignment="1">
      <alignment horizontal="left" vertical="center"/>
    </xf>
    <xf numFmtId="0" fontId="113" fillId="0" borderId="1" xfId="0" applyFont="1" applyBorder="1" applyAlignment="1">
      <alignment horizontal="left" vertical="center"/>
    </xf>
    <xf numFmtId="31" fontId="113" fillId="0" borderId="1" xfId="0" applyNumberFormat="1" applyFont="1" applyBorder="1" applyAlignment="1">
      <alignment horizontal="left" vertical="center"/>
    </xf>
    <xf numFmtId="0" fontId="113" fillId="17" borderId="1" xfId="0" applyFont="1" applyFill="1" applyBorder="1" applyAlignment="1">
      <alignment horizontal="left" vertical="center"/>
    </xf>
    <xf numFmtId="14" fontId="113" fillId="0" borderId="1" xfId="0" applyNumberFormat="1" applyFont="1" applyBorder="1" applyAlignment="1">
      <alignment horizontal="left" vertical="center"/>
    </xf>
    <xf numFmtId="0" fontId="113" fillId="9" borderId="1" xfId="0" applyFont="1" applyFill="1" applyBorder="1" applyAlignment="1">
      <alignment horizontal="lef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58" fontId="113" fillId="0" borderId="0" xfId="0" applyNumberFormat="1" applyFont="1" applyAlignment="1">
      <alignment horizontal="left" vertical="center"/>
    </xf>
    <xf numFmtId="0" fontId="80" fillId="7" borderId="0" xfId="0" applyFont="1" applyFill="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08" fillId="0" borderId="1" xfId="0" applyFont="1" applyFill="1" applyBorder="1" applyAlignment="1" applyProtection="1">
      <alignment horizontal="center" vertical="center"/>
      <protection locked="0"/>
    </xf>
    <xf numFmtId="0" fontId="37" fillId="0" borderId="0" xfId="17">
      <alignment vertical="center"/>
    </xf>
    <xf numFmtId="0" fontId="37" fillId="0" borderId="0" xfId="17" applyFont="1">
      <alignment vertical="center"/>
    </xf>
    <xf numFmtId="179" fontId="37" fillId="0" borderId="0" xfId="17" applyNumberFormat="1">
      <alignment vertical="center"/>
    </xf>
    <xf numFmtId="0" fontId="257" fillId="7" borderId="1" xfId="18" applyFont="1" applyFill="1" applyBorder="1" applyAlignment="1" applyProtection="1">
      <alignment horizontal="center" vertical="center" wrapText="1"/>
      <protection locked="0"/>
    </xf>
    <xf numFmtId="197" fontId="257" fillId="7" borderId="1" xfId="17" applyNumberFormat="1" applyFont="1" applyFill="1" applyBorder="1" applyAlignment="1">
      <alignment horizontal="center" vertical="center" wrapText="1"/>
    </xf>
    <xf numFmtId="0" fontId="257" fillId="7" borderId="1" xfId="17" applyFont="1" applyFill="1" applyBorder="1" applyAlignment="1">
      <alignment horizontal="center" vertical="center" wrapText="1"/>
    </xf>
    <xf numFmtId="0" fontId="257" fillId="7" borderId="1" xfId="17" applyFont="1" applyFill="1" applyBorder="1" applyAlignment="1">
      <alignment horizontal="center" vertical="center" wrapText="1" shrinkToFit="1"/>
    </xf>
    <xf numFmtId="198" fontId="257" fillId="7" borderId="1" xfId="17" applyNumberFormat="1" applyFont="1" applyFill="1" applyBorder="1" applyAlignment="1">
      <alignment horizontal="center" vertical="center" wrapText="1"/>
    </xf>
    <xf numFmtId="199" fontId="257" fillId="7" borderId="1" xfId="17" applyNumberFormat="1" applyFont="1" applyFill="1" applyBorder="1" applyAlignment="1">
      <alignment horizontal="center" vertical="center" wrapText="1"/>
    </xf>
    <xf numFmtId="0" fontId="258" fillId="7" borderId="1" xfId="18" applyFont="1" applyFill="1" applyBorder="1" applyAlignment="1">
      <alignment horizontal="center" vertical="center" wrapText="1"/>
    </xf>
    <xf numFmtId="0" fontId="258" fillId="7" borderId="1" xfId="17" applyFont="1" applyFill="1" applyBorder="1" applyAlignment="1">
      <alignment horizontal="center" vertical="center" wrapText="1" shrinkToFit="1"/>
    </xf>
    <xf numFmtId="0" fontId="259" fillId="7" borderId="1" xfId="17" applyFont="1" applyFill="1" applyBorder="1" applyAlignment="1">
      <alignment horizontal="center" vertical="center" wrapText="1"/>
    </xf>
    <xf numFmtId="0" fontId="3" fillId="7" borderId="1" xfId="17" applyFont="1" applyFill="1" applyBorder="1" applyAlignment="1">
      <alignment horizontal="center" vertical="center"/>
    </xf>
    <xf numFmtId="0" fontId="19" fillId="7" borderId="1" xfId="17" applyFont="1" applyFill="1" applyBorder="1" applyAlignment="1">
      <alignment horizontal="center" vertical="center"/>
    </xf>
    <xf numFmtId="0" fontId="3" fillId="7" borderId="1" xfId="17" applyFont="1" applyFill="1" applyBorder="1" applyAlignment="1">
      <alignment horizontal="center" vertical="center" wrapText="1"/>
    </xf>
    <xf numFmtId="0" fontId="257" fillId="9" borderId="1" xfId="17" applyFont="1" applyFill="1" applyBorder="1" applyAlignment="1">
      <alignment horizontal="center" vertical="center" wrapText="1"/>
    </xf>
    <xf numFmtId="0" fontId="3" fillId="9" borderId="1" xfId="17" applyFont="1" applyFill="1" applyBorder="1" applyAlignment="1">
      <alignment horizontal="center" vertical="center"/>
    </xf>
    <xf numFmtId="0" fontId="257" fillId="9" borderId="1" xfId="17" applyFont="1" applyFill="1" applyBorder="1" applyAlignment="1">
      <alignment horizontal="center" vertical="center" wrapText="1" shrinkToFit="1"/>
    </xf>
    <xf numFmtId="0" fontId="19" fillId="0" borderId="0" xfId="17" applyFont="1" applyAlignment="1">
      <alignment horizontal="left" vertical="center"/>
    </xf>
    <xf numFmtId="0" fontId="83" fillId="0" borderId="82" xfId="18" applyFont="1" applyBorder="1" applyAlignment="1">
      <alignment horizontal="center" vertical="center" wrapText="1"/>
    </xf>
    <xf numFmtId="0" fontId="83" fillId="0" borderId="65" xfId="18" applyFont="1" applyBorder="1" applyAlignment="1">
      <alignment horizontal="center" vertical="center" wrapText="1"/>
    </xf>
    <xf numFmtId="0" fontId="83" fillId="0" borderId="65" xfId="18" applyFont="1" applyBorder="1" applyAlignment="1">
      <alignment horizontal="left" vertical="center" wrapText="1"/>
    </xf>
    <xf numFmtId="0" fontId="80" fillId="0" borderId="81" xfId="18" applyFont="1" applyBorder="1" applyAlignment="1">
      <alignment horizontal="left" vertical="center" wrapText="1"/>
    </xf>
    <xf numFmtId="0" fontId="80" fillId="0" borderId="43" xfId="18" applyFont="1" applyBorder="1" applyAlignment="1">
      <alignment horizontal="justify" vertical="center" wrapText="1"/>
    </xf>
    <xf numFmtId="0" fontId="262" fillId="0" borderId="43" xfId="18" applyFont="1" applyBorder="1" applyAlignment="1">
      <alignment horizontal="left" vertical="center" wrapText="1"/>
    </xf>
    <xf numFmtId="0" fontId="262" fillId="0" borderId="43" xfId="18" applyFont="1" applyBorder="1" applyAlignment="1">
      <alignment horizontal="right" vertical="center" wrapText="1"/>
    </xf>
    <xf numFmtId="179" fontId="262" fillId="0" borderId="43" xfId="18" applyNumberFormat="1" applyFont="1" applyBorder="1" applyAlignment="1">
      <alignment horizontal="right" vertical="center" wrapText="1"/>
    </xf>
    <xf numFmtId="0" fontId="80" fillId="0" borderId="43" xfId="18" applyFont="1" applyBorder="1" applyAlignment="1">
      <alignment horizontal="left" vertical="center" wrapText="1"/>
    </xf>
    <xf numFmtId="0" fontId="83" fillId="0" borderId="81" xfId="18" applyFont="1" applyBorder="1" applyAlignment="1">
      <alignment horizontal="center" vertical="center" wrapText="1"/>
    </xf>
    <xf numFmtId="0" fontId="80" fillId="0" borderId="81" xfId="18" applyFont="1" applyBorder="1" applyAlignment="1">
      <alignment horizontal="center" vertical="center" wrapText="1"/>
    </xf>
    <xf numFmtId="0" fontId="263" fillId="0" borderId="43" xfId="18" applyFont="1" applyBorder="1" applyAlignment="1">
      <alignment horizontal="right" vertical="center" wrapText="1"/>
    </xf>
    <xf numFmtId="179" fontId="263" fillId="0" borderId="43" xfId="18" applyNumberFormat="1" applyFont="1" applyBorder="1" applyAlignment="1">
      <alignment horizontal="right" vertical="center" wrapText="1"/>
    </xf>
    <xf numFmtId="14" fontId="19" fillId="0" borderId="0" xfId="17" applyNumberFormat="1" applyFont="1" applyAlignment="1">
      <alignment horizontal="left" vertical="center"/>
    </xf>
    <xf numFmtId="0" fontId="19" fillId="5" borderId="0" xfId="17" applyFont="1" applyFill="1" applyAlignment="1">
      <alignment horizontal="left" vertical="center"/>
    </xf>
    <xf numFmtId="0" fontId="19" fillId="9" borderId="0" xfId="17" applyFont="1" applyFill="1" applyAlignment="1">
      <alignment horizontal="left" vertical="center"/>
    </xf>
    <xf numFmtId="0" fontId="19" fillId="17" borderId="0" xfId="17" applyFont="1" applyFill="1">
      <alignment vertical="center"/>
    </xf>
    <xf numFmtId="0" fontId="19" fillId="17" borderId="0" xfId="17" applyFont="1" applyFill="1" applyAlignment="1">
      <alignment horizontal="left" vertical="center"/>
    </xf>
    <xf numFmtId="0" fontId="262" fillId="5" borderId="43" xfId="18" applyFont="1" applyFill="1" applyBorder="1" applyAlignment="1">
      <alignment horizontal="left" vertical="center" wrapText="1"/>
    </xf>
    <xf numFmtId="0" fontId="262" fillId="5" borderId="43" xfId="18" applyFont="1" applyFill="1" applyBorder="1" applyAlignment="1">
      <alignment horizontal="right" vertical="center" wrapText="1"/>
    </xf>
    <xf numFmtId="186" fontId="257" fillId="5" borderId="1" xfId="18" applyNumberFormat="1" applyFont="1" applyFill="1" applyBorder="1" applyAlignment="1">
      <alignment horizontal="center" vertical="center" wrapText="1" shrinkToFit="1"/>
    </xf>
    <xf numFmtId="0" fontId="19" fillId="9" borderId="0" xfId="17" applyFont="1" applyFill="1" applyAlignment="1">
      <alignment horizontal="center" vertical="center"/>
    </xf>
    <xf numFmtId="0" fontId="19" fillId="9" borderId="0" xfId="17" applyFont="1" applyFill="1">
      <alignment vertical="center"/>
    </xf>
    <xf numFmtId="0" fontId="113" fillId="20" borderId="1" xfId="0" applyFont="1" applyFill="1" applyBorder="1" applyAlignment="1">
      <alignment horizontal="left" vertical="center"/>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 xfId="0" applyFont="1" applyBorder="1" applyAlignment="1">
      <alignment horizontal="left" vertical="center"/>
    </xf>
    <xf numFmtId="0" fontId="113" fillId="0" borderId="5" xfId="0" applyFont="1" applyBorder="1" applyAlignment="1">
      <alignment horizontal="left" vertical="center"/>
    </xf>
    <xf numFmtId="0" fontId="113" fillId="0" borderId="54" xfId="0" applyFont="1" applyBorder="1" applyAlignment="1">
      <alignment horizontal="left" vertical="center"/>
    </xf>
    <xf numFmtId="0" fontId="113" fillId="0" borderId="3" xfId="0" applyFont="1" applyBorder="1" applyAlignment="1">
      <alignment horizontal="left" vertical="center"/>
    </xf>
    <xf numFmtId="0" fontId="254" fillId="0" borderId="47" xfId="17" applyFont="1" applyBorder="1" applyAlignment="1">
      <alignment horizontal="center" vertical="center"/>
    </xf>
    <xf numFmtId="0" fontId="255" fillId="0" borderId="1" xfId="18" applyFont="1" applyBorder="1" applyAlignment="1">
      <alignment horizontal="center" vertical="center" wrapText="1"/>
    </xf>
    <xf numFmtId="0" fontId="256" fillId="0" borderId="1" xfId="18" applyFont="1" applyFill="1" applyBorder="1" applyAlignment="1" applyProtection="1">
      <alignment horizontal="center" vertical="center" wrapText="1"/>
      <protection locked="0"/>
    </xf>
    <xf numFmtId="0" fontId="256" fillId="3" borderId="1" xfId="18" applyFont="1" applyFill="1" applyBorder="1" applyAlignment="1" applyProtection="1">
      <alignment horizontal="center" vertical="center" wrapText="1"/>
      <protection locked="0"/>
    </xf>
    <xf numFmtId="0" fontId="256" fillId="0" borderId="1" xfId="18" applyFont="1" applyBorder="1" applyAlignment="1">
      <alignment horizontal="center" vertical="center" wrapText="1"/>
    </xf>
    <xf numFmtId="179" fontId="50" fillId="20" borderId="1" xfId="0" applyNumberFormat="1" applyFont="1" applyFill="1" applyBorder="1" applyAlignment="1" applyProtection="1">
      <alignment horizontal="center" vertical="center" wrapText="1"/>
      <protection locked="0"/>
    </xf>
    <xf numFmtId="0" fontId="50" fillId="20" borderId="0" xfId="0" applyFont="1" applyFill="1" applyAlignment="1" applyProtection="1">
      <alignment vertical="center"/>
      <protection locked="0"/>
    </xf>
    <xf numFmtId="0" fontId="47" fillId="20" borderId="13" xfId="0" applyFont="1" applyFill="1" applyBorder="1" applyAlignment="1" applyProtection="1">
      <alignment horizontal="center" vertical="center"/>
      <protection locked="0"/>
    </xf>
    <xf numFmtId="0" fontId="47" fillId="20" borderId="1" xfId="0" applyFont="1" applyFill="1" applyBorder="1" applyAlignment="1" applyProtection="1">
      <alignment horizontal="center" vertical="center"/>
      <protection locked="0"/>
    </xf>
    <xf numFmtId="0" fontId="47" fillId="20" borderId="15" xfId="0" applyFont="1" applyFill="1" applyBorder="1" applyAlignment="1" applyProtection="1">
      <alignment horizontal="center" vertical="center"/>
      <protection locked="0"/>
    </xf>
    <xf numFmtId="0" fontId="47" fillId="20" borderId="2" xfId="0" applyFont="1" applyFill="1" applyBorder="1" applyAlignment="1" applyProtection="1">
      <alignment horizontal="center" vertical="center"/>
      <protection locked="0"/>
    </xf>
    <xf numFmtId="0" fontId="225" fillId="20" borderId="3" xfId="0" applyFont="1" applyFill="1" applyBorder="1" applyAlignment="1" applyProtection="1">
      <alignment horizontal="center" vertical="center" wrapText="1"/>
      <protection locked="0"/>
    </xf>
    <xf numFmtId="0" fontId="178" fillId="20" borderId="5" xfId="0" applyFont="1" applyFill="1" applyBorder="1" applyAlignment="1" applyProtection="1">
      <alignment horizontal="center" vertical="center" wrapText="1"/>
      <protection locked="0"/>
    </xf>
    <xf numFmtId="0" fontId="225" fillId="20" borderId="23" xfId="0" applyFont="1" applyFill="1" applyBorder="1" applyAlignment="1" applyProtection="1">
      <alignment horizontal="center" vertical="center" wrapText="1"/>
      <protection locked="0"/>
    </xf>
    <xf numFmtId="0" fontId="178" fillId="20" borderId="24" xfId="0" applyFont="1" applyFill="1" applyBorder="1" applyAlignment="1" applyProtection="1">
      <alignment horizontal="center" vertical="center" wrapText="1"/>
      <protection locked="0"/>
    </xf>
    <xf numFmtId="0" fontId="137" fillId="20" borderId="44" xfId="0" applyNumberFormat="1" applyFont="1" applyFill="1" applyBorder="1" applyAlignment="1" applyProtection="1">
      <alignment horizontal="center" vertical="center" wrapText="1"/>
      <protection locked="0"/>
    </xf>
    <xf numFmtId="0" fontId="137" fillId="20" borderId="5" xfId="0" applyFont="1" applyFill="1" applyBorder="1" applyAlignment="1" applyProtection="1">
      <alignment horizontal="center" vertical="center" wrapText="1"/>
      <protection locked="0"/>
    </xf>
    <xf numFmtId="0" fontId="180" fillId="20" borderId="109" xfId="0" applyNumberFormat="1" applyFont="1" applyFill="1" applyBorder="1" applyAlignment="1" applyProtection="1">
      <alignment horizontal="center" vertical="center" wrapText="1"/>
      <protection locked="0"/>
    </xf>
    <xf numFmtId="0" fontId="55" fillId="20" borderId="24" xfId="0" applyFont="1" applyFill="1" applyBorder="1" applyAlignment="1" applyProtection="1">
      <alignment horizontal="center" vertical="center"/>
    </xf>
    <xf numFmtId="0" fontId="61" fillId="20" borderId="3" xfId="0" applyNumberFormat="1" applyFont="1" applyFill="1" applyBorder="1" applyAlignment="1" applyProtection="1">
      <alignment horizontal="center" vertical="center" wrapText="1"/>
      <protection locked="0"/>
    </xf>
  </cellXfs>
  <cellStyles count="21">
    <cellStyle name="百分比 2" xfId="14"/>
    <cellStyle name="差_Sheet1" xfId="19"/>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 name="好_Sheet1" xfId="20"/>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10</xdr:col>
      <xdr:colOff>264584</xdr:colOff>
      <xdr:row>12</xdr:row>
      <xdr:rowOff>127000</xdr:rowOff>
    </xdr:to>
    <xdr:pic>
      <xdr:nvPicPr>
        <xdr:cNvPr id="2" name="图片 1"/>
        <xdr:cNvPicPr>
          <a:picLocks noChangeAspect="1"/>
        </xdr:cNvPicPr>
      </xdr:nvPicPr>
      <xdr:blipFill rotWithShape="1">
        <a:blip xmlns:r="http://schemas.openxmlformats.org/officeDocument/2006/relationships" r:embed="rId1"/>
        <a:srcRect r="283" b="69331"/>
        <a:stretch/>
      </xdr:blipFill>
      <xdr:spPr>
        <a:xfrm>
          <a:off x="1" y="338667"/>
          <a:ext cx="7143750" cy="1820333"/>
        </a:xfrm>
        <a:prstGeom prst="rect">
          <a:avLst/>
        </a:prstGeom>
      </xdr:spPr>
    </xdr:pic>
    <xdr:clientData/>
  </xdr:twoCellAnchor>
  <xdr:twoCellAnchor editAs="oneCell">
    <xdr:from>
      <xdr:col>0</xdr:col>
      <xdr:colOff>127000</xdr:colOff>
      <xdr:row>12</xdr:row>
      <xdr:rowOff>148167</xdr:rowOff>
    </xdr:from>
    <xdr:to>
      <xdr:col>8</xdr:col>
      <xdr:colOff>185572</xdr:colOff>
      <xdr:row>28</xdr:row>
      <xdr:rowOff>134072</xdr:rowOff>
    </xdr:to>
    <xdr:pic>
      <xdr:nvPicPr>
        <xdr:cNvPr id="3" name="图片 2"/>
        <xdr:cNvPicPr>
          <a:picLocks noChangeAspect="1"/>
        </xdr:cNvPicPr>
      </xdr:nvPicPr>
      <xdr:blipFill>
        <a:blip xmlns:r="http://schemas.openxmlformats.org/officeDocument/2006/relationships" r:embed="rId2"/>
        <a:stretch>
          <a:fillRect/>
        </a:stretch>
      </xdr:blipFill>
      <xdr:spPr>
        <a:xfrm>
          <a:off x="127000" y="2180167"/>
          <a:ext cx="5561905" cy="2695238"/>
        </a:xfrm>
        <a:prstGeom prst="rect">
          <a:avLst/>
        </a:prstGeom>
      </xdr:spPr>
    </xdr:pic>
    <xdr:clientData/>
  </xdr:twoCellAnchor>
  <xdr:twoCellAnchor editAs="oneCell">
    <xdr:from>
      <xdr:col>0</xdr:col>
      <xdr:colOff>158750</xdr:colOff>
      <xdr:row>43</xdr:row>
      <xdr:rowOff>74085</xdr:rowOff>
    </xdr:from>
    <xdr:to>
      <xdr:col>7</xdr:col>
      <xdr:colOff>543333</xdr:colOff>
      <xdr:row>59</xdr:row>
      <xdr:rowOff>59989</xdr:rowOff>
    </xdr:to>
    <xdr:pic>
      <xdr:nvPicPr>
        <xdr:cNvPr id="4" name="图片 3"/>
        <xdr:cNvPicPr>
          <a:picLocks noChangeAspect="1"/>
        </xdr:cNvPicPr>
      </xdr:nvPicPr>
      <xdr:blipFill>
        <a:blip xmlns:r="http://schemas.openxmlformats.org/officeDocument/2006/relationships" r:embed="rId3"/>
        <a:stretch>
          <a:fillRect/>
        </a:stretch>
      </xdr:blipFill>
      <xdr:spPr>
        <a:xfrm>
          <a:off x="158750" y="7355418"/>
          <a:ext cx="5200000" cy="2695238"/>
        </a:xfrm>
        <a:prstGeom prst="rect">
          <a:avLst/>
        </a:prstGeom>
      </xdr:spPr>
    </xdr:pic>
    <xdr:clientData/>
  </xdr:twoCellAnchor>
  <xdr:twoCellAnchor editAs="oneCell">
    <xdr:from>
      <xdr:col>0</xdr:col>
      <xdr:colOff>42333</xdr:colOff>
      <xdr:row>33</xdr:row>
      <xdr:rowOff>0</xdr:rowOff>
    </xdr:from>
    <xdr:to>
      <xdr:col>10</xdr:col>
      <xdr:colOff>344119</xdr:colOff>
      <xdr:row>43</xdr:row>
      <xdr:rowOff>11429</xdr:rowOff>
    </xdr:to>
    <xdr:pic>
      <xdr:nvPicPr>
        <xdr:cNvPr id="5" name="图片 4"/>
        <xdr:cNvPicPr>
          <a:picLocks noChangeAspect="1"/>
        </xdr:cNvPicPr>
      </xdr:nvPicPr>
      <xdr:blipFill>
        <a:blip xmlns:r="http://schemas.openxmlformats.org/officeDocument/2006/relationships" r:embed="rId4"/>
        <a:stretch>
          <a:fillRect/>
        </a:stretch>
      </xdr:blipFill>
      <xdr:spPr>
        <a:xfrm>
          <a:off x="42333" y="5588000"/>
          <a:ext cx="7180953" cy="1704762"/>
        </a:xfrm>
        <a:prstGeom prst="rect">
          <a:avLst/>
        </a:prstGeom>
      </xdr:spPr>
    </xdr:pic>
    <xdr:clientData/>
  </xdr:twoCellAnchor>
  <xdr:twoCellAnchor editAs="oneCell">
    <xdr:from>
      <xdr:col>0</xdr:col>
      <xdr:colOff>21167</xdr:colOff>
      <xdr:row>74</xdr:row>
      <xdr:rowOff>42333</xdr:rowOff>
    </xdr:from>
    <xdr:to>
      <xdr:col>8</xdr:col>
      <xdr:colOff>222596</xdr:colOff>
      <xdr:row>90</xdr:row>
      <xdr:rowOff>28238</xdr:rowOff>
    </xdr:to>
    <xdr:pic>
      <xdr:nvPicPr>
        <xdr:cNvPr id="6" name="图片 5"/>
        <xdr:cNvPicPr>
          <a:picLocks noChangeAspect="1"/>
        </xdr:cNvPicPr>
      </xdr:nvPicPr>
      <xdr:blipFill>
        <a:blip xmlns:r="http://schemas.openxmlformats.org/officeDocument/2006/relationships" r:embed="rId5"/>
        <a:stretch>
          <a:fillRect/>
        </a:stretch>
      </xdr:blipFill>
      <xdr:spPr>
        <a:xfrm>
          <a:off x="21167" y="12573000"/>
          <a:ext cx="5704762" cy="2695238"/>
        </a:xfrm>
        <a:prstGeom prst="rect">
          <a:avLst/>
        </a:prstGeom>
      </xdr:spPr>
    </xdr:pic>
    <xdr:clientData/>
  </xdr:twoCellAnchor>
  <xdr:twoCellAnchor editAs="oneCell">
    <xdr:from>
      <xdr:col>0</xdr:col>
      <xdr:colOff>10583</xdr:colOff>
      <xdr:row>63</xdr:row>
      <xdr:rowOff>42333</xdr:rowOff>
    </xdr:from>
    <xdr:to>
      <xdr:col>10</xdr:col>
      <xdr:colOff>245702</xdr:colOff>
      <xdr:row>74</xdr:row>
      <xdr:rowOff>122523</xdr:rowOff>
    </xdr:to>
    <xdr:pic>
      <xdr:nvPicPr>
        <xdr:cNvPr id="7" name="图片 6"/>
        <xdr:cNvPicPr>
          <a:picLocks noChangeAspect="1"/>
        </xdr:cNvPicPr>
      </xdr:nvPicPr>
      <xdr:blipFill>
        <a:blip xmlns:r="http://schemas.openxmlformats.org/officeDocument/2006/relationships" r:embed="rId6"/>
        <a:stretch>
          <a:fillRect/>
        </a:stretch>
      </xdr:blipFill>
      <xdr:spPr>
        <a:xfrm>
          <a:off x="10583" y="10710333"/>
          <a:ext cx="7114286" cy="1942857"/>
        </a:xfrm>
        <a:prstGeom prst="rect">
          <a:avLst/>
        </a:prstGeom>
      </xdr:spPr>
    </xdr:pic>
    <xdr:clientData/>
  </xdr:twoCellAnchor>
  <xdr:twoCellAnchor editAs="oneCell">
    <xdr:from>
      <xdr:col>11</xdr:col>
      <xdr:colOff>31751</xdr:colOff>
      <xdr:row>1</xdr:row>
      <xdr:rowOff>116417</xdr:rowOff>
    </xdr:from>
    <xdr:to>
      <xdr:col>20</xdr:col>
      <xdr:colOff>524910</xdr:colOff>
      <xdr:row>9</xdr:row>
      <xdr:rowOff>21750</xdr:rowOff>
    </xdr:to>
    <xdr:pic>
      <xdr:nvPicPr>
        <xdr:cNvPr id="8" name="图片 7"/>
        <xdr:cNvPicPr>
          <a:picLocks noChangeAspect="1"/>
        </xdr:cNvPicPr>
      </xdr:nvPicPr>
      <xdr:blipFill>
        <a:blip xmlns:r="http://schemas.openxmlformats.org/officeDocument/2006/relationships" r:embed="rId7"/>
        <a:stretch>
          <a:fillRect/>
        </a:stretch>
      </xdr:blipFill>
      <xdr:spPr>
        <a:xfrm>
          <a:off x="7598834" y="285750"/>
          <a:ext cx="6684409" cy="1260000"/>
        </a:xfrm>
        <a:prstGeom prst="rect">
          <a:avLst/>
        </a:prstGeom>
      </xdr:spPr>
    </xdr:pic>
    <xdr:clientData/>
  </xdr:twoCellAnchor>
  <xdr:twoCellAnchor editAs="oneCell">
    <xdr:from>
      <xdr:col>11</xdr:col>
      <xdr:colOff>21167</xdr:colOff>
      <xdr:row>9</xdr:row>
      <xdr:rowOff>63500</xdr:rowOff>
    </xdr:from>
    <xdr:to>
      <xdr:col>20</xdr:col>
      <xdr:colOff>515632</xdr:colOff>
      <xdr:row>14</xdr:row>
      <xdr:rowOff>93024</xdr:rowOff>
    </xdr:to>
    <xdr:pic>
      <xdr:nvPicPr>
        <xdr:cNvPr id="9" name="图片 8"/>
        <xdr:cNvPicPr>
          <a:picLocks noChangeAspect="1"/>
        </xdr:cNvPicPr>
      </xdr:nvPicPr>
      <xdr:blipFill>
        <a:blip xmlns:r="http://schemas.openxmlformats.org/officeDocument/2006/relationships" r:embed="rId8"/>
        <a:stretch>
          <a:fillRect/>
        </a:stretch>
      </xdr:blipFill>
      <xdr:spPr>
        <a:xfrm>
          <a:off x="7588250" y="1587500"/>
          <a:ext cx="6685715" cy="876191"/>
        </a:xfrm>
        <a:prstGeom prst="rect">
          <a:avLst/>
        </a:prstGeom>
      </xdr:spPr>
    </xdr:pic>
    <xdr:clientData/>
  </xdr:twoCellAnchor>
  <xdr:twoCellAnchor editAs="oneCell">
    <xdr:from>
      <xdr:col>11</xdr:col>
      <xdr:colOff>0</xdr:colOff>
      <xdr:row>15</xdr:row>
      <xdr:rowOff>0</xdr:rowOff>
    </xdr:from>
    <xdr:to>
      <xdr:col>20</xdr:col>
      <xdr:colOff>620466</xdr:colOff>
      <xdr:row>21</xdr:row>
      <xdr:rowOff>64000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67083" y="2540000"/>
          <a:ext cx="6811716" cy="10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161134</xdr:colOff>
      <xdr:row>20</xdr:row>
      <xdr:rowOff>113857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33334" cy="3542857"/>
        </a:xfrm>
        <a:prstGeom prst="rect">
          <a:avLst/>
        </a:prstGeom>
      </xdr:spPr>
    </xdr:pic>
    <xdr:clientData/>
  </xdr:twoCellAnchor>
  <xdr:twoCellAnchor editAs="oneCell">
    <xdr:from>
      <xdr:col>6</xdr:col>
      <xdr:colOff>400050</xdr:colOff>
      <xdr:row>11</xdr:row>
      <xdr:rowOff>161925</xdr:rowOff>
    </xdr:from>
    <xdr:to>
      <xdr:col>9</xdr:col>
      <xdr:colOff>113142</xdr:colOff>
      <xdr:row>20</xdr:row>
      <xdr:rowOff>58875</xdr:rowOff>
    </xdr:to>
    <xdr:pic>
      <xdr:nvPicPr>
        <xdr:cNvPr id="3" name="图片 2"/>
        <xdr:cNvPicPr>
          <a:picLocks noChangeAspect="1"/>
        </xdr:cNvPicPr>
      </xdr:nvPicPr>
      <xdr:blipFill>
        <a:blip xmlns:r="http://schemas.openxmlformats.org/officeDocument/2006/relationships" r:embed="rId2"/>
        <a:stretch>
          <a:fillRect/>
        </a:stretch>
      </xdr:blipFill>
      <xdr:spPr>
        <a:xfrm>
          <a:off x="4514850" y="2047875"/>
          <a:ext cx="1770492" cy="1440000"/>
        </a:xfrm>
        <a:prstGeom prst="rect">
          <a:avLst/>
        </a:prstGeom>
      </xdr:spPr>
    </xdr:pic>
    <xdr:clientData/>
  </xdr:twoCellAnchor>
  <xdr:twoCellAnchor editAs="oneCell">
    <xdr:from>
      <xdr:col>0</xdr:col>
      <xdr:colOff>0</xdr:colOff>
      <xdr:row>30</xdr:row>
      <xdr:rowOff>105833</xdr:rowOff>
    </xdr:from>
    <xdr:to>
      <xdr:col>9</xdr:col>
      <xdr:colOff>75419</xdr:colOff>
      <xdr:row>51</xdr:row>
      <xdr:rowOff>59881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85833"/>
          <a:ext cx="6266669" cy="3510048"/>
        </a:xfrm>
        <a:prstGeom prst="rect">
          <a:avLst/>
        </a:prstGeom>
      </xdr:spPr>
    </xdr:pic>
    <xdr:clientData/>
  </xdr:twoCellAnchor>
  <xdr:twoCellAnchor editAs="oneCell">
    <xdr:from>
      <xdr:col>0</xdr:col>
      <xdr:colOff>10584</xdr:colOff>
      <xdr:row>51</xdr:row>
      <xdr:rowOff>116416</xdr:rowOff>
    </xdr:from>
    <xdr:to>
      <xdr:col>7</xdr:col>
      <xdr:colOff>200461</xdr:colOff>
      <xdr:row>61</xdr:row>
      <xdr:rowOff>51652</xdr:rowOff>
    </xdr:to>
    <xdr:pic>
      <xdr:nvPicPr>
        <xdr:cNvPr id="5" name="图片 4"/>
        <xdr:cNvPicPr>
          <a:picLocks noChangeAspect="1"/>
        </xdr:cNvPicPr>
      </xdr:nvPicPr>
      <xdr:blipFill>
        <a:blip xmlns:r="http://schemas.openxmlformats.org/officeDocument/2006/relationships" r:embed="rId4"/>
        <a:stretch>
          <a:fillRect/>
        </a:stretch>
      </xdr:blipFill>
      <xdr:spPr>
        <a:xfrm>
          <a:off x="10584" y="8752416"/>
          <a:ext cx="5005294" cy="1628569"/>
        </a:xfrm>
        <a:prstGeom prst="rect">
          <a:avLst/>
        </a:prstGeom>
      </xdr:spPr>
    </xdr:pic>
    <xdr:clientData/>
  </xdr:twoCellAnchor>
  <xdr:twoCellAnchor editAs="oneCell">
    <xdr:from>
      <xdr:col>0</xdr:col>
      <xdr:colOff>0</xdr:colOff>
      <xdr:row>65</xdr:row>
      <xdr:rowOff>95250</xdr:rowOff>
    </xdr:from>
    <xdr:to>
      <xdr:col>9</xdr:col>
      <xdr:colOff>113515</xdr:colOff>
      <xdr:row>86</xdr:row>
      <xdr:rowOff>49298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01917"/>
          <a:ext cx="6304765" cy="3510048"/>
        </a:xfrm>
        <a:prstGeom prst="rect">
          <a:avLst/>
        </a:prstGeom>
      </xdr:spPr>
    </xdr:pic>
    <xdr:clientData/>
  </xdr:twoCellAnchor>
  <xdr:twoCellAnchor editAs="oneCell">
    <xdr:from>
      <xdr:col>0</xdr:col>
      <xdr:colOff>0</xdr:colOff>
      <xdr:row>86</xdr:row>
      <xdr:rowOff>105833</xdr:rowOff>
    </xdr:from>
    <xdr:to>
      <xdr:col>4</xdr:col>
      <xdr:colOff>552038</xdr:colOff>
      <xdr:row>102</xdr:row>
      <xdr:rowOff>162633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668500"/>
          <a:ext cx="3303705" cy="2766133"/>
        </a:xfrm>
        <a:prstGeom prst="rect">
          <a:avLst/>
        </a:prstGeom>
      </xdr:spPr>
    </xdr:pic>
    <xdr:clientData/>
  </xdr:twoCellAnchor>
  <xdr:twoCellAnchor editAs="oneCell">
    <xdr:from>
      <xdr:col>10</xdr:col>
      <xdr:colOff>0</xdr:colOff>
      <xdr:row>0</xdr:row>
      <xdr:rowOff>0</xdr:rowOff>
    </xdr:from>
    <xdr:to>
      <xdr:col>21</xdr:col>
      <xdr:colOff>122867</xdr:colOff>
      <xdr:row>34</xdr:row>
      <xdr:rowOff>37367</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0"/>
          <a:ext cx="7666667" cy="5866667"/>
        </a:xfrm>
        <a:prstGeom prst="rect">
          <a:avLst/>
        </a:prstGeom>
      </xdr:spPr>
    </xdr:pic>
    <xdr:clientData/>
  </xdr:twoCellAnchor>
  <xdr:twoCellAnchor editAs="oneCell">
    <xdr:from>
      <xdr:col>10</xdr:col>
      <xdr:colOff>0</xdr:colOff>
      <xdr:row>39</xdr:row>
      <xdr:rowOff>0</xdr:rowOff>
    </xdr:from>
    <xdr:to>
      <xdr:col>20</xdr:col>
      <xdr:colOff>81486</xdr:colOff>
      <xdr:row>70</xdr:row>
      <xdr:rowOff>150667</xdr:rowOff>
    </xdr:to>
    <xdr:pic>
      <xdr:nvPicPr>
        <xdr:cNvPr id="9" name="图片 8"/>
        <xdr:cNvPicPr>
          <a:picLocks noChangeAspect="1"/>
        </xdr:cNvPicPr>
      </xdr:nvPicPr>
      <xdr:blipFill>
        <a:blip xmlns:r="http://schemas.openxmlformats.org/officeDocument/2006/relationships" r:embed="rId8"/>
        <a:stretch>
          <a:fillRect/>
        </a:stretch>
      </xdr:blipFill>
      <xdr:spPr>
        <a:xfrm>
          <a:off x="6879167" y="6604000"/>
          <a:ext cx="6960652" cy="5400000"/>
        </a:xfrm>
        <a:prstGeom prst="rect">
          <a:avLst/>
        </a:prstGeom>
      </xdr:spPr>
    </xdr:pic>
    <xdr:clientData/>
  </xdr:twoCellAnchor>
  <xdr:twoCellAnchor editAs="oneCell">
    <xdr:from>
      <xdr:col>10</xdr:col>
      <xdr:colOff>0</xdr:colOff>
      <xdr:row>71</xdr:row>
      <xdr:rowOff>0</xdr:rowOff>
    </xdr:from>
    <xdr:to>
      <xdr:col>15</xdr:col>
      <xdr:colOff>503274</xdr:colOff>
      <xdr:row>98</xdr:row>
      <xdr:rowOff>47048</xdr:rowOff>
    </xdr:to>
    <xdr:pic>
      <xdr:nvPicPr>
        <xdr:cNvPr id="10" name="图片 9"/>
        <xdr:cNvPicPr>
          <a:picLocks noChangeAspect="1"/>
        </xdr:cNvPicPr>
      </xdr:nvPicPr>
      <xdr:blipFill>
        <a:blip xmlns:r="http://schemas.openxmlformats.org/officeDocument/2006/relationships" r:embed="rId9"/>
        <a:stretch>
          <a:fillRect/>
        </a:stretch>
      </xdr:blipFill>
      <xdr:spPr>
        <a:xfrm>
          <a:off x="6879167" y="12022667"/>
          <a:ext cx="3942857" cy="4619048"/>
        </a:xfrm>
        <a:prstGeom prst="rect">
          <a:avLst/>
        </a:prstGeom>
      </xdr:spPr>
    </xdr:pic>
    <xdr:clientData/>
  </xdr:twoCellAnchor>
  <xdr:twoCellAnchor editAs="oneCell">
    <xdr:from>
      <xdr:col>0</xdr:col>
      <xdr:colOff>0</xdr:colOff>
      <xdr:row>106</xdr:row>
      <xdr:rowOff>21167</xdr:rowOff>
    </xdr:from>
    <xdr:to>
      <xdr:col>9</xdr:col>
      <xdr:colOff>386798</xdr:colOff>
      <xdr:row>138</xdr:row>
      <xdr:rowOff>2500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7970500"/>
          <a:ext cx="6578048" cy="5400000"/>
        </a:xfrm>
        <a:prstGeom prst="rect">
          <a:avLst/>
        </a:prstGeom>
      </xdr:spPr>
    </xdr:pic>
    <xdr:clientData/>
  </xdr:twoCellAnchor>
  <xdr:twoCellAnchor editAs="oneCell">
    <xdr:from>
      <xdr:col>6</xdr:col>
      <xdr:colOff>465667</xdr:colOff>
      <xdr:row>109</xdr:row>
      <xdr:rowOff>42333</xdr:rowOff>
    </xdr:from>
    <xdr:to>
      <xdr:col>9</xdr:col>
      <xdr:colOff>340789</xdr:colOff>
      <xdr:row>125</xdr:row>
      <xdr:rowOff>32999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93167" y="18499666"/>
          <a:ext cx="1938872" cy="2700000"/>
        </a:xfrm>
        <a:prstGeom prst="rect">
          <a:avLst/>
        </a:prstGeom>
      </xdr:spPr>
    </xdr:pic>
    <xdr:clientData/>
  </xdr:twoCellAnchor>
  <xdr:twoCellAnchor editAs="oneCell">
    <xdr:from>
      <xdr:col>0</xdr:col>
      <xdr:colOff>0</xdr:colOff>
      <xdr:row>140</xdr:row>
      <xdr:rowOff>116417</xdr:rowOff>
    </xdr:from>
    <xdr:to>
      <xdr:col>11</xdr:col>
      <xdr:colOff>4346</xdr:colOff>
      <xdr:row>151</xdr:row>
      <xdr:rowOff>6132</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3823084"/>
          <a:ext cx="7571429" cy="1752381"/>
        </a:xfrm>
        <a:prstGeom prst="rect">
          <a:avLst/>
        </a:prstGeom>
      </xdr:spPr>
    </xdr:pic>
    <xdr:clientData/>
  </xdr:twoCellAnchor>
  <xdr:twoCellAnchor editAs="oneCell">
    <xdr:from>
      <xdr:col>0</xdr:col>
      <xdr:colOff>0</xdr:colOff>
      <xdr:row>140</xdr:row>
      <xdr:rowOff>127000</xdr:rowOff>
    </xdr:from>
    <xdr:to>
      <xdr:col>2</xdr:col>
      <xdr:colOff>532156</xdr:colOff>
      <xdr:row>153</xdr:row>
      <xdr:rowOff>85667</xdr:rowOff>
    </xdr:to>
    <xdr:pic>
      <xdr:nvPicPr>
        <xdr:cNvPr id="13" name="图片 12"/>
        <xdr:cNvPicPr>
          <a:picLocks noChangeAspect="1"/>
        </xdr:cNvPicPr>
      </xdr:nvPicPr>
      <xdr:blipFill rotWithShape="1">
        <a:blip xmlns:r="http://schemas.openxmlformats.org/officeDocument/2006/relationships" r:embed="rId13"/>
        <a:srcRect t="29617" r="2333"/>
        <a:stretch/>
      </xdr:blipFill>
      <xdr:spPr>
        <a:xfrm>
          <a:off x="0" y="23833667"/>
          <a:ext cx="1907989" cy="2160000"/>
        </a:xfrm>
        <a:prstGeom prst="rect">
          <a:avLst/>
        </a:prstGeom>
      </xdr:spPr>
    </xdr:pic>
    <xdr:clientData/>
  </xdr:twoCellAnchor>
  <xdr:twoCellAnchor editAs="oneCell">
    <xdr:from>
      <xdr:col>0</xdr:col>
      <xdr:colOff>2</xdr:colOff>
      <xdr:row>0</xdr:row>
      <xdr:rowOff>0</xdr:rowOff>
    </xdr:from>
    <xdr:to>
      <xdr:col>9</xdr:col>
      <xdr:colOff>455084</xdr:colOff>
      <xdr:row>28</xdr:row>
      <xdr:rowOff>84667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 y="0"/>
          <a:ext cx="6646332" cy="4826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北京市朝阳区东三环中路乙16号院4号楼2层207号等31套住宅用房及朝阳区东三环中路乙16号院5号楼1至2层101号办公用房房地产抵押价值预评估</v>
      </c>
    </row>
    <row r="3" spans="1:2" s="1591" customFormat="1">
      <c r="A3" s="1589" t="s">
        <v>1216</v>
      </c>
      <c r="B3" s="1590">
        <f>'预评函-封皮'!B40</f>
        <v>0</v>
      </c>
    </row>
    <row r="4" spans="1:2" s="1591" customFormat="1">
      <c r="A4" s="1589" t="s">
        <v>1217</v>
      </c>
      <c r="B4" s="1590" t="str">
        <f ca="1">'预评函-封皮'!B46</f>
        <v>吴薇（注册号：1419970001)、郑燚（注册号：1120070131)</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受贵公司委托，我公司对北京市朝阳区东三环中路乙16号院4号楼2层207号等31套住宅用房及朝阳区东三环中路乙16号院5号楼1至2层101号办公用房房地产抵押价值进行了预评估。</v>
      </c>
    </row>
    <row r="7" spans="1:2" s="1591" customFormat="1">
      <c r="A7" s="1589" t="s">
        <v>1259</v>
      </c>
      <c r="B7" s="1590" t="str">
        <f>'预评函-1'!A7</f>
        <v>估价对象为北京市朝阳区东三环中路乙16号院4号楼2层207号等31套住宅用房及朝阳区东三环中路乙16号院5号楼1至2层101号办公用房房地产，为力行中天投资有限公司所有。根据《国有土地使用证》[京朝国用（2008出）字第0073号]等2本，估价对象（分摊）出让国有建设用地使用权面积为1048.14平方米，建筑面积为1191.7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朝阳区东三环中路乙16号院4号楼2层207号等31套住宅用房及朝阳区东三环中路乙16号院5号楼1至2层101号办公用房房地产,属力行中天投资有限公司开发建设的居住项目，该项目尚在开发建设中。根据《国有土地使用证》[京朝国用（2008出）字第0073号]等2本，估价对象（分摊）出让国有建设用地使用权面积为1048.14平方米，规划建筑面积为1191.7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为估价委托人在向工行九龙山（中国工商银行股份有限公司北京九龙山支行）办理贷款手续过程中，确定房地产抵押贷款额度提供参考依据而评估房地产抵押价值。</v>
      </c>
    </row>
    <row r="12" spans="1:2" s="1591" customFormat="1">
      <c r="A12" s="1589" t="s">
        <v>1221</v>
      </c>
      <c r="B12" s="1590" t="str">
        <f>'预评函-1'!A15</f>
        <v>2020年5月18日（评估专业人员实地查勘之日）</v>
      </c>
    </row>
    <row r="13" spans="1:2" s="1591" customFormat="1">
      <c r="A13" s="1589" t="s">
        <v>1222</v>
      </c>
      <c r="B13" s="1590" t="str">
        <f>'预评函-1'!A18</f>
        <v>本次估价的“房地产价值”是指在正常市场情况下，在价值时点2020年5月18日，估价对象规划用途为住宅、办公，土地取得方式为出让，出让国有建设用地使用权剩余土地使用年限为住宅51.34年、办公36.50年，假定未设立法定优先受偿款下的房地产市场价值。</v>
      </c>
    </row>
    <row r="14" spans="1:2" s="1591" customFormat="1">
      <c r="A14" s="1589" t="s">
        <v>1223</v>
      </c>
      <c r="B14" s="1590" t="str">
        <f>'预评函-1'!A19</f>
        <v>其中，“出让国有建设用地使用权价值”是指估价对象用途为住宅、办公，实际开发程度为宗地红线外“七通”（即通路、通电、通讯、通上水、通下水、通热、燃气）、红线内场地平整条件下，剩余土地使用年限为住宅51.34年、办公36.50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本次评估采用的主估价方法为收益法和比较法。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909</v>
      </c>
    </row>
    <row r="21" spans="1:2" s="1591" customFormat="1">
      <c r="A21" s="1589" t="s">
        <v>1230</v>
      </c>
      <c r="B21" s="1590">
        <f ca="1">'预评函-2'!D7</f>
        <v>61183</v>
      </c>
    </row>
    <row r="22" spans="1:2" s="1591" customFormat="1">
      <c r="A22" s="1589" t="s">
        <v>1231</v>
      </c>
      <c r="B22" s="1590" t="str">
        <f ca="1">'预评函-2'!D6</f>
        <v>玖佰零玖万元整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909</v>
      </c>
    </row>
    <row r="31" spans="1:2" s="1591" customFormat="1">
      <c r="A31" s="1589" t="s">
        <v>1269</v>
      </c>
      <c r="B31" s="1590">
        <f ca="1">'预评函-2'!D15</f>
        <v>7628</v>
      </c>
    </row>
    <row r="32" spans="1:2" s="1591" customFormat="1">
      <c r="A32" s="1589" t="s">
        <v>1236</v>
      </c>
      <c r="B32" s="1590" t="str">
        <f ca="1">'预评函-2'!D14</f>
        <v>玖佰零玖万元整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北京市朝阳区东三环中路乙16号院4号楼2层207号等31套住宅用房及朝阳区东三环中路乙16号院5号楼1至2层101号办公用房房地产</v>
      </c>
    </row>
    <row r="42" spans="1:2" s="1591" customFormat="1">
      <c r="A42" s="1589" t="s">
        <v>1283</v>
      </c>
      <c r="B42" s="1590" t="str">
        <f>'预评函-3'!B2</f>
        <v>建筑面积</v>
      </c>
    </row>
    <row r="43" spans="1:2" s="1591" customFormat="1">
      <c r="A43" s="1589" t="s">
        <v>1284</v>
      </c>
      <c r="B43" s="1590">
        <f>'预评函-3'!B4</f>
        <v>1191.7</v>
      </c>
    </row>
    <row r="44" spans="1:2" s="1591" customFormat="1">
      <c r="A44" s="1589" t="s">
        <v>1268</v>
      </c>
      <c r="B44" s="1590" t="str">
        <f>'预评函-3'!C2</f>
        <v>(分摊)土地面积</v>
      </c>
    </row>
    <row r="45" spans="1:2" s="1591" customFormat="1">
      <c r="A45" s="1589" t="s">
        <v>1240</v>
      </c>
      <c r="B45" s="1590">
        <f>'预评函-3'!C4</f>
        <v>1048.1400000000001</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吴薇</v>
      </c>
    </row>
    <row r="71" spans="1:2">
      <c r="A71" s="1589" t="s">
        <v>1256</v>
      </c>
      <c r="B71" s="1590">
        <f ca="1">'预评函-4'!B4</f>
        <v>1419970001</v>
      </c>
    </row>
    <row r="72" spans="1:2">
      <c r="A72" s="1589" t="s">
        <v>1257</v>
      </c>
      <c r="B72" s="1598" t="str">
        <f>'预评函-4'!A5</f>
        <v>郑燚</v>
      </c>
    </row>
    <row r="73" spans="1:2" s="1585" customFormat="1" ht="15" thickBot="1">
      <c r="A73" s="1592" t="s">
        <v>1258</v>
      </c>
      <c r="B73" s="1593">
        <f ca="1">'预评函-4'!B5</f>
        <v>1120070131</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为估价委托人在向工行九龙山（中国工商银行股份有限公司北京九龙山支行）办理贷款手续过程中，确定房地产抵押贷款额度提供参考依据而评估房地产抵押价值。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力行中天投资有限公司拟使用北京市朝阳区东三环中路乙16号院4号楼2层207号等31套住宅用房及朝阳区东三环中路乙16号院5号楼1至2层101号办公用房房地产作为抵押担保物，向工行九龙山（中国工商银行股份有限公司北京九龙山支行）办理贷款手续。工行九龙山（中国工商银行股份有限公司北京九龙山支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76"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18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76"/>
      <c r="B54" s="2019" t="s">
        <v>860</v>
      </c>
      <c r="C54" s="2016" t="s">
        <v>1276</v>
      </c>
    </row>
    <row r="55" spans="1:4">
      <c r="A55" s="3076"/>
      <c r="B55" s="2019" t="s">
        <v>861</v>
      </c>
      <c r="C55" s="2016" t="s">
        <v>1277</v>
      </c>
    </row>
    <row r="56" spans="1:4">
      <c r="A56" s="3076"/>
      <c r="B56" s="2019" t="s">
        <v>862</v>
      </c>
      <c r="C56" s="2016" t="s">
        <v>1281</v>
      </c>
    </row>
    <row r="57" spans="1:4">
      <c r="A57" s="3076"/>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D15" sqref="D15"/>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1770</v>
      </c>
      <c r="B1" s="3077" t="str">
        <f>IF(B10="北京市","北京市",C10)&amp;F10&amp;IF(结果表!G1="在建","出让国有建设用地使用权及在建建筑物",IF(结果表!G1="土地","出让国有建设用地使用权",))&amp;B9&amp;"预评估"</f>
        <v>北京市朝阳区东三环中路乙16号院4号楼2层207号等31套住宅用房及朝阳区东三环中路乙16号院5号楼1至2层101号办公用房房地产抵押价值预评估</v>
      </c>
      <c r="C1" s="3078"/>
      <c r="D1" s="3078"/>
      <c r="E1" s="3078"/>
      <c r="F1" s="3078"/>
      <c r="G1" s="3078"/>
      <c r="H1" s="3078"/>
      <c r="I1" s="3079"/>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北京市朝阳区东三环中路乙16号院4号楼2层207号等31套住宅用房及朝阳区东三环中路乙16号院5号楼1至2层101号办公用房房地产抵押价值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北京市朝阳区东三环中路乙16号院4号楼2层207号等31套住宅用房及朝阳区东三环中路乙16号院5号楼1至2层101号办公用房房地产</v>
      </c>
    </row>
    <row r="3" spans="1:19" ht="18" customHeight="1">
      <c r="A3" s="2032" t="s">
        <v>1772</v>
      </c>
      <c r="B3" s="2033">
        <v>43969</v>
      </c>
      <c r="C3" s="2034" t="s">
        <v>1773</v>
      </c>
      <c r="D3" s="2033">
        <f>B3</f>
        <v>43969</v>
      </c>
      <c r="E3" s="2023"/>
      <c r="F3" s="2023"/>
      <c r="G3" s="2023"/>
      <c r="H3" s="2023"/>
      <c r="I3" s="2023"/>
      <c r="J3" s="2023"/>
      <c r="K3" s="2024"/>
      <c r="L3" s="2025"/>
      <c r="M3" s="2025"/>
      <c r="N3" s="2026"/>
      <c r="O3" s="2027"/>
      <c r="P3" s="2026"/>
      <c r="Q3" s="2026"/>
      <c r="R3" s="2026"/>
      <c r="S3" s="2028"/>
    </row>
    <row r="4" spans="1:19" ht="18" customHeight="1" thickBot="1">
      <c r="A4" s="2035" t="s">
        <v>1774</v>
      </c>
      <c r="B4" s="2036" t="s">
        <v>3047</v>
      </c>
      <c r="C4" s="1035">
        <f ca="1">SUMIF(注册房地产估价师,B4,估价师及机构信息!B3:B24)</f>
        <v>1419970001</v>
      </c>
      <c r="D4" s="2036" t="s">
        <v>3048</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962" t="s">
        <v>3373</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5" t="s">
        <v>1777</v>
      </c>
      <c r="B7" s="2962" t="s">
        <v>3054</v>
      </c>
      <c r="C7" s="2046"/>
      <c r="D7" s="2047"/>
      <c r="E7" s="2031"/>
      <c r="F7" s="2039"/>
      <c r="G7" s="2039"/>
      <c r="H7" s="2039"/>
      <c r="I7" s="2039"/>
      <c r="J7" s="2039"/>
      <c r="K7" s="2049"/>
      <c r="L7" s="2025"/>
      <c r="M7" s="2025"/>
      <c r="N7" s="2026"/>
      <c r="O7" s="2027"/>
      <c r="P7" s="2026"/>
      <c r="Q7" s="2026"/>
      <c r="R7" s="2026"/>
    </row>
    <row r="8" spans="1:19" ht="18" customHeight="1">
      <c r="A8" s="2045" t="s">
        <v>1778</v>
      </c>
      <c r="B8" s="2050" t="s">
        <v>3050</v>
      </c>
      <c r="C8" s="2051"/>
      <c r="D8" s="3080" t="s">
        <v>1779</v>
      </c>
      <c r="E8" s="2052" t="s">
        <v>3051</v>
      </c>
      <c r="F8" s="2053"/>
      <c r="G8" s="2023"/>
      <c r="H8" s="2023"/>
      <c r="I8" s="2023"/>
      <c r="J8" s="2039"/>
      <c r="K8" s="2040"/>
      <c r="L8" s="2025"/>
      <c r="M8" s="2025"/>
      <c r="N8" s="2026"/>
      <c r="O8" s="2027"/>
      <c r="P8" s="2026"/>
      <c r="Q8" s="2026"/>
      <c r="R8" s="2026"/>
    </row>
    <row r="9" spans="1:19" ht="18" customHeight="1" thickBot="1">
      <c r="A9" s="2037" t="s">
        <v>1780</v>
      </c>
      <c r="B9" s="2054" t="s">
        <v>3051</v>
      </c>
      <c r="C9" s="2055"/>
      <c r="D9" s="3081"/>
      <c r="E9" s="2054" t="s">
        <v>70</v>
      </c>
      <c r="F9" s="2056"/>
      <c r="G9" s="2057"/>
      <c r="H9" s="2057"/>
      <c r="I9" s="2057"/>
      <c r="J9" s="2039"/>
      <c r="K9" s="2049"/>
      <c r="L9" s="2025"/>
      <c r="M9" s="2025"/>
      <c r="N9" s="2026"/>
      <c r="O9" s="2027"/>
      <c r="P9" s="2026"/>
      <c r="Q9" s="2026"/>
      <c r="R9" s="2026"/>
    </row>
    <row r="10" spans="1:19" ht="18" customHeight="1" thickTop="1">
      <c r="A10" s="2058" t="s">
        <v>1781</v>
      </c>
      <c r="B10" s="2059" t="s">
        <v>3052</v>
      </c>
      <c r="C10" s="2060"/>
      <c r="D10" s="2044"/>
      <c r="E10" s="2061" t="s">
        <v>1782</v>
      </c>
      <c r="F10" s="2062" t="s">
        <v>3393</v>
      </c>
      <c r="G10" s="2063"/>
      <c r="H10" s="2064"/>
      <c r="I10" s="2044"/>
      <c r="J10" s="2039"/>
      <c r="K10" s="2049"/>
      <c r="L10" s="2025"/>
      <c r="M10" s="2025"/>
      <c r="N10" s="2026"/>
      <c r="O10" s="2027"/>
      <c r="P10" s="2026"/>
      <c r="Q10" s="2026"/>
      <c r="R10" s="2026"/>
    </row>
    <row r="11" spans="1:19" ht="18" customHeight="1">
      <c r="A11" s="2065" t="s">
        <v>1783</v>
      </c>
      <c r="B11" s="2066" t="s">
        <v>3053</v>
      </c>
      <c r="C11" s="2963" t="s">
        <v>3049</v>
      </c>
      <c r="D11" s="2067"/>
      <c r="E11" s="2039"/>
      <c r="F11" s="2039"/>
      <c r="G11" s="2039"/>
      <c r="H11" s="2039"/>
      <c r="I11" s="2039"/>
      <c r="J11" s="2039"/>
      <c r="K11" s="2049"/>
      <c r="L11" s="2025"/>
      <c r="M11" s="2025"/>
      <c r="N11" s="2026"/>
      <c r="O11" s="2027"/>
      <c r="P11" s="2026"/>
      <c r="Q11" s="2026"/>
      <c r="R11" s="2026"/>
    </row>
    <row r="12" spans="1:19" ht="18" customHeight="1">
      <c r="A12" s="2068" t="s">
        <v>1784</v>
      </c>
      <c r="B12" s="2066" t="s">
        <v>3055</v>
      </c>
      <c r="C12" s="2069" t="s">
        <v>1785</v>
      </c>
      <c r="D12" s="2070" t="s">
        <v>1786</v>
      </c>
      <c r="E12" s="2070" t="s">
        <v>1787</v>
      </c>
      <c r="F12" s="2070" t="s">
        <v>1788</v>
      </c>
      <c r="G12" s="2070" t="s">
        <v>1789</v>
      </c>
      <c r="H12" s="2070" t="s">
        <v>1790</v>
      </c>
      <c r="I12" s="2070" t="s">
        <v>1791</v>
      </c>
      <c r="J12" s="2039"/>
      <c r="K12" s="2049"/>
      <c r="L12" s="2025"/>
      <c r="M12" s="2025"/>
      <c r="N12" s="2026"/>
      <c r="O12" s="2027"/>
      <c r="P12" s="2026"/>
      <c r="Q12" s="2026"/>
      <c r="R12" s="2026"/>
    </row>
    <row r="13" spans="1:19" ht="18" customHeight="1">
      <c r="A13" s="2071"/>
      <c r="B13" s="2072"/>
      <c r="C13" s="2073" t="s">
        <v>1792</v>
      </c>
      <c r="D13" s="2074">
        <v>62710</v>
      </c>
      <c r="E13" s="2074"/>
      <c r="F13" s="2074">
        <v>57293</v>
      </c>
      <c r="G13" s="2074"/>
      <c r="H13" s="2074"/>
      <c r="I13" s="1045"/>
      <c r="J13" s="2039"/>
      <c r="K13" s="2049"/>
      <c r="L13" s="2025"/>
      <c r="M13" s="2025"/>
      <c r="N13" s="2026"/>
      <c r="O13" s="2027"/>
      <c r="P13" s="2026"/>
      <c r="Q13" s="2026"/>
      <c r="R13" s="2026"/>
    </row>
    <row r="14" spans="1:19" ht="18" customHeight="1">
      <c r="A14" s="2071"/>
      <c r="B14" s="2072"/>
      <c r="C14" s="2073" t="s">
        <v>1793</v>
      </c>
      <c r="D14" s="1048">
        <v>70</v>
      </c>
      <c r="E14" s="1048"/>
      <c r="F14" s="1048">
        <v>50</v>
      </c>
      <c r="G14" s="1048"/>
      <c r="H14" s="1048"/>
      <c r="I14" s="1048"/>
      <c r="J14" s="2039"/>
      <c r="K14" s="2075"/>
      <c r="L14" s="2025"/>
      <c r="M14" s="2025"/>
      <c r="N14" s="2026"/>
      <c r="O14" s="2027"/>
      <c r="P14" s="2026"/>
      <c r="Q14" s="2026"/>
      <c r="R14" s="2026"/>
    </row>
    <row r="15" spans="1:19" ht="18" customHeight="1">
      <c r="A15" s="2058"/>
      <c r="B15" s="2076"/>
      <c r="C15" s="2073" t="s">
        <v>1794</v>
      </c>
      <c r="D15" s="1047">
        <f>IF(B12="出让",IF(D13="","",ROUNDDOWN(MIN((D13-$D$3)/365,D14),2)),D14)</f>
        <v>51.34</v>
      </c>
      <c r="E15" s="1047" t="str">
        <f>IF(B12="出让",IF(E13="","",ROUNDDOWN(MIN((E13-$D$3)/365,E14),2)),E14)</f>
        <v/>
      </c>
      <c r="F15" s="1047">
        <f>IF(B12="出让",IF(F13="","",ROUNDDOWN(MIN((F13-$D$3)/365,F14),2)),F14)</f>
        <v>36.5</v>
      </c>
      <c r="G15" s="1047" t="str">
        <f>IF(B12="出让",IF(G13="","",ROUNDDOWN(MIN((G13-$D$3)/365,G14),2)),G14)</f>
        <v/>
      </c>
      <c r="H15" s="1047" t="str">
        <f>IF(B12="出让",IF(H13="","",ROUNDDOWN(MIN((H13-$D$3)/365,H14),2)),H14)</f>
        <v/>
      </c>
      <c r="I15" s="1047" t="str">
        <f>IF(B12="出让",IF(I13="","",ROUNDDOWN(MIN((I13-$D$3)/365,I14),2)),I14)</f>
        <v/>
      </c>
      <c r="J15" s="2039"/>
      <c r="K15" s="2077"/>
      <c r="L15" s="2078"/>
      <c r="M15" s="2078"/>
      <c r="N15" s="2079"/>
      <c r="O15" s="2078"/>
      <c r="P15" s="2079"/>
      <c r="Q15" s="2026"/>
      <c r="R15" s="2026"/>
    </row>
    <row r="16" spans="1:19" ht="30.75" customHeight="1">
      <c r="A16" s="2061" t="s">
        <v>1795</v>
      </c>
      <c r="B16" s="3087" t="s">
        <v>3056</v>
      </c>
      <c r="C16" s="3088"/>
      <c r="D16" s="3089"/>
      <c r="E16" s="2080" t="s">
        <v>1796</v>
      </c>
      <c r="F16" s="3090" t="s">
        <v>3057</v>
      </c>
      <c r="G16" s="3091"/>
      <c r="H16" s="3091"/>
      <c r="I16" s="3092"/>
      <c r="J16" s="2026"/>
      <c r="K16" s="2077"/>
      <c r="L16" s="2078"/>
      <c r="M16" s="2078"/>
      <c r="N16" s="2079"/>
      <c r="O16" s="2078"/>
      <c r="P16" s="2079"/>
      <c r="Q16" s="2026"/>
      <c r="R16" s="2026"/>
    </row>
    <row r="17" spans="1:22" ht="18" customHeight="1">
      <c r="A17" s="2081" t="s">
        <v>1797</v>
      </c>
      <c r="B17" s="2032" t="s">
        <v>1798</v>
      </c>
      <c r="C17" s="1052">
        <f>'数据-汇总表'!E3</f>
        <v>1191.7</v>
      </c>
      <c r="D17" s="2082" t="s">
        <v>1799</v>
      </c>
      <c r="E17" s="3093" t="s">
        <v>3379</v>
      </c>
      <c r="F17" s="3094"/>
      <c r="G17" s="3094"/>
      <c r="H17" s="3094"/>
      <c r="I17" s="3095"/>
      <c r="J17" s="2026"/>
      <c r="K17" s="2083"/>
      <c r="L17" s="2078"/>
      <c r="M17" s="2078"/>
      <c r="N17" s="2079"/>
      <c r="O17" s="2078"/>
      <c r="P17" s="2079"/>
      <c r="Q17" s="2026"/>
      <c r="R17" s="2026"/>
      <c r="S17" s="2026"/>
      <c r="T17" s="2026"/>
      <c r="U17" s="2026"/>
      <c r="V17" s="2026"/>
    </row>
    <row r="18" spans="1:22" ht="36" customHeight="1" thickBot="1">
      <c r="A18" s="2084" t="s">
        <v>1800</v>
      </c>
      <c r="B18" s="2035" t="s">
        <v>1801</v>
      </c>
      <c r="C18" s="1442">
        <f>'数据-汇总表'!D3</f>
        <v>1048.1400000000001</v>
      </c>
      <c r="D18" s="2085" t="s">
        <v>1799</v>
      </c>
      <c r="E18" s="3096" t="s">
        <v>3378</v>
      </c>
      <c r="F18" s="3097"/>
      <c r="G18" s="3097"/>
      <c r="H18" s="3097"/>
      <c r="I18" s="3098"/>
      <c r="J18" s="2026"/>
      <c r="K18" s="2083"/>
      <c r="L18" s="2078"/>
      <c r="M18" s="2078"/>
      <c r="N18" s="2079"/>
      <c r="O18" s="2078"/>
      <c r="P18" s="2079"/>
      <c r="Q18" s="2026"/>
      <c r="R18" s="2026"/>
      <c r="S18" s="2026"/>
      <c r="T18" s="2026"/>
      <c r="U18" s="2026"/>
      <c r="V18" s="2026"/>
    </row>
    <row r="19" spans="1:22" ht="37.5" customHeight="1" thickTop="1" thickBot="1">
      <c r="A19" s="372" t="s">
        <v>1802</v>
      </c>
      <c r="B19" s="351" t="s">
        <v>1803</v>
      </c>
      <c r="C19" s="2086" t="s">
        <v>3058</v>
      </c>
      <c r="D19" s="2087" t="s">
        <v>1804</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1805</v>
      </c>
      <c r="B20" s="3083" t="s">
        <v>1806</v>
      </c>
      <c r="C20" s="3084"/>
      <c r="D20" s="3085" t="s">
        <v>1807</v>
      </c>
      <c r="E20" s="3086"/>
      <c r="F20" s="2092" t="s">
        <v>1808</v>
      </c>
      <c r="G20" s="2039"/>
      <c r="H20" s="2039"/>
      <c r="I20" s="2039"/>
      <c r="J20" s="2039"/>
      <c r="K20" s="3082" t="s">
        <v>1809</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9"/>
      <c r="O20" s="2078"/>
      <c r="P20" s="2079"/>
      <c r="Q20" s="2026"/>
      <c r="R20" s="2026"/>
      <c r="S20" s="2026"/>
      <c r="T20" s="2026"/>
      <c r="U20" s="2026"/>
      <c r="V20" s="2026"/>
    </row>
    <row r="21" spans="1:22" ht="24.75" customHeight="1">
      <c r="A21" s="2091"/>
      <c r="B21" s="2093" t="s">
        <v>1810</v>
      </c>
      <c r="C21" s="2094" t="s">
        <v>3380</v>
      </c>
      <c r="D21" s="2095"/>
      <c r="E21" s="2096"/>
      <c r="F21" s="2097"/>
      <c r="G21" s="2039"/>
      <c r="H21" s="2039"/>
      <c r="I21" s="2039"/>
      <c r="J21" s="2039"/>
      <c r="K21" s="308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1811</v>
      </c>
      <c r="C22" s="2094" t="s">
        <v>1812</v>
      </c>
      <c r="D22" s="2023"/>
      <c r="E22" s="2023"/>
      <c r="F22" s="2099"/>
      <c r="G22" s="2039"/>
      <c r="H22" s="2039"/>
      <c r="I22" s="2039"/>
      <c r="J22" s="2039"/>
      <c r="K22" s="308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1813</v>
      </c>
      <c r="B23" s="182" t="s">
        <v>1814</v>
      </c>
      <c r="C23" s="2101"/>
      <c r="D23" s="2102" t="s">
        <v>1814</v>
      </c>
      <c r="E23" s="2103"/>
      <c r="F23" s="2099"/>
      <c r="G23" s="2039"/>
      <c r="H23" s="2039"/>
      <c r="I23" s="2039"/>
      <c r="J23" s="2039"/>
      <c r="K23" s="2104"/>
      <c r="L23" s="746"/>
      <c r="M23" s="2025"/>
      <c r="N23" s="2079"/>
      <c r="O23" s="2078"/>
      <c r="P23" s="2079"/>
      <c r="Q23" s="2026"/>
      <c r="R23" s="2026"/>
      <c r="S23" s="2026"/>
      <c r="T23" s="2026"/>
      <c r="U23" s="2026"/>
      <c r="V23" s="2026"/>
    </row>
    <row r="24" spans="1:22" ht="18" customHeight="1">
      <c r="A24" s="2105"/>
      <c r="B24" s="182" t="s">
        <v>1815</v>
      </c>
      <c r="C24" s="2106"/>
      <c r="D24" s="2100" t="s">
        <v>1815</v>
      </c>
      <c r="E24" s="2107"/>
      <c r="F24" s="2099"/>
      <c r="G24" s="2039"/>
      <c r="H24" s="2039"/>
      <c r="I24" s="2039"/>
      <c r="J24" s="2039"/>
      <c r="K24" s="2104"/>
      <c r="L24" s="746"/>
      <c r="M24" s="2025"/>
      <c r="N24" s="2079"/>
      <c r="O24" s="2078"/>
      <c r="P24" s="2079"/>
      <c r="Q24" s="2026"/>
      <c r="R24" s="2026"/>
      <c r="S24" s="2026"/>
      <c r="T24" s="2026"/>
      <c r="U24" s="2026"/>
      <c r="V24" s="2026"/>
    </row>
    <row r="25" spans="1:22" ht="18" customHeight="1">
      <c r="A25" s="2105"/>
      <c r="B25" s="182" t="s">
        <v>1816</v>
      </c>
      <c r="C25" s="2106"/>
      <c r="D25" s="2100" t="s">
        <v>1816</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1817</v>
      </c>
      <c r="C26" s="2110"/>
      <c r="D26" s="2111" t="s">
        <v>1818</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100" t="s">
        <v>1819</v>
      </c>
      <c r="B27" s="2058" t="s">
        <v>1820</v>
      </c>
      <c r="C27" s="2114" t="s">
        <v>3067</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100"/>
      <c r="B28" s="2032" t="s">
        <v>1821</v>
      </c>
      <c r="C28" s="2116" t="s">
        <v>3068</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100"/>
      <c r="B29" s="2032" t="s">
        <v>1822</v>
      </c>
      <c r="C29" s="2119" t="s">
        <v>3069</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101"/>
      <c r="B30" s="2032" t="s">
        <v>1823</v>
      </c>
      <c r="C30" s="3102"/>
      <c r="D30" s="3103"/>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104" t="s">
        <v>1824</v>
      </c>
      <c r="B31" s="2121" t="s">
        <v>3059</v>
      </c>
      <c r="C31" s="2122" t="str">
        <f>IF(B31="现房","成新及维护状况正常否",IF(B31="在建","工程状态是否正常",IF(B31="土地","是否闲置","-")))</f>
        <v>成新及维护状况正常否</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105"/>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105"/>
      <c r="B33" s="2125"/>
      <c r="C33" s="2065"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1825</v>
      </c>
      <c r="B34" s="2128" t="s">
        <v>3060</v>
      </c>
      <c r="C34" s="2128" t="s">
        <v>3061</v>
      </c>
      <c r="D34" s="2128" t="s">
        <v>3062</v>
      </c>
      <c r="E34" s="2128" t="s">
        <v>3063</v>
      </c>
      <c r="F34" s="2128" t="s">
        <v>3064</v>
      </c>
      <c r="G34" s="2128" t="s">
        <v>3065</v>
      </c>
      <c r="H34" s="2128" t="s">
        <v>3066</v>
      </c>
      <c r="I34" s="2039"/>
      <c r="J34" s="2039"/>
      <c r="K34" s="1793">
        <f>COUNTIF(B34:H34,"——")</f>
        <v>0</v>
      </c>
      <c r="L34" s="2069" t="s">
        <v>1826</v>
      </c>
      <c r="M34" s="2069" t="s">
        <v>1827</v>
      </c>
      <c r="N34" s="2069" t="s">
        <v>1828</v>
      </c>
      <c r="O34" s="2069" t="s">
        <v>1829</v>
      </c>
      <c r="P34" s="2069" t="s">
        <v>1830</v>
      </c>
      <c r="Q34" s="2069" t="s">
        <v>1831</v>
      </c>
      <c r="R34" s="2069" t="s">
        <v>1832</v>
      </c>
      <c r="S34" s="3099" t="s">
        <v>1833</v>
      </c>
      <c r="T34" s="2129" t="str">
        <f>NUMBERSTRING(7-K34,1)&amp;"通"</f>
        <v>七通</v>
      </c>
      <c r="U34" s="2026"/>
      <c r="V34" s="2026"/>
    </row>
    <row r="35" spans="1:22" ht="18" customHeight="1">
      <c r="A35" s="2130"/>
      <c r="B35" s="3106" t="s">
        <v>1834</v>
      </c>
      <c r="C35" s="3106"/>
      <c r="D35" s="3106"/>
      <c r="E35" s="3106"/>
      <c r="F35" s="2131">
        <f>C10</f>
        <v>0</v>
      </c>
      <c r="G35" s="2039"/>
      <c r="H35" s="2039"/>
      <c r="I35" s="2039"/>
      <c r="J35" s="2039"/>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99"/>
      <c r="T35" s="47" t="str">
        <f>IF(T34="一通",L35,IF(T34="二通",M35,IF(T34="三通",N35,IF(T34="四通",O35,IF(T34="五通",P35,IF(T34="六通",Q35,R35))))))</f>
        <v>通路、通电、通讯、通上水、通下水、通热、燃气</v>
      </c>
      <c r="U35" s="2026"/>
      <c r="V35" s="2026"/>
    </row>
    <row r="36" spans="1:22" ht="18" customHeight="1">
      <c r="A36" s="2132"/>
      <c r="B36" s="2131" t="s">
        <v>1835</v>
      </c>
      <c r="C36" s="2131" t="s">
        <v>1836</v>
      </c>
      <c r="D36" s="2131" t="s">
        <v>1837</v>
      </c>
      <c r="E36" s="2131" t="s">
        <v>1838</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1839</v>
      </c>
      <c r="B37" s="2135"/>
      <c r="C37" s="2135" t="s">
        <v>442</v>
      </c>
      <c r="D37" s="2135" t="s">
        <v>442</v>
      </c>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1840</v>
      </c>
      <c r="B38" s="2137"/>
      <c r="C38" s="2137" t="s">
        <v>312</v>
      </c>
      <c r="D38" s="2137" t="s">
        <v>312</v>
      </c>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1842</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1843</v>
      </c>
      <c r="B42" s="1793" t="s">
        <v>1844</v>
      </c>
      <c r="C42" s="1793" t="s">
        <v>1845</v>
      </c>
      <c r="D42" s="1793" t="s">
        <v>1846</v>
      </c>
      <c r="E42" s="1793" t="s">
        <v>1847</v>
      </c>
      <c r="F42" s="1793" t="s">
        <v>1848</v>
      </c>
      <c r="G42" s="1793" t="s">
        <v>1849</v>
      </c>
      <c r="H42" s="1793" t="s">
        <v>1850</v>
      </c>
      <c r="I42" s="1793" t="s">
        <v>1851</v>
      </c>
      <c r="J42" s="2147" t="s">
        <v>1852</v>
      </c>
      <c r="K42" s="2070" t="s">
        <v>1853</v>
      </c>
      <c r="L42" s="2070" t="s">
        <v>1854</v>
      </c>
      <c r="M42" s="2070" t="s">
        <v>1855</v>
      </c>
      <c r="N42" s="1793" t="s">
        <v>1856</v>
      </c>
      <c r="O42" s="1793" t="s">
        <v>1857</v>
      </c>
      <c r="P42" s="1793" t="s">
        <v>1858</v>
      </c>
      <c r="Q42" s="2069" t="s">
        <v>1859</v>
      </c>
      <c r="R42" s="2069" t="s">
        <v>1860</v>
      </c>
      <c r="S42" s="2026"/>
      <c r="T42" s="2026"/>
      <c r="U42" s="2026"/>
      <c r="V42" s="2026"/>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 sqref="D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1863</v>
      </c>
      <c r="B2" s="11" t="s">
        <v>1864</v>
      </c>
      <c r="C2" s="11" t="s">
        <v>1865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1866</v>
      </c>
      <c r="AZ2" s="1268" t="s">
        <v>1867</v>
      </c>
      <c r="BA2" s="11" t="s">
        <v>1868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373">
        <f>抵押物清单!L38</f>
        <v>5063.2900000000009</v>
      </c>
      <c r="B3" s="13">
        <f>IF(C3="否",G5-AT5,G5)</f>
        <v>5756.7800000000016</v>
      </c>
      <c r="C3" s="2163" t="s">
        <v>1869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1870</v>
      </c>
      <c r="B5" s="1801"/>
      <c r="C5" s="1801"/>
      <c r="D5" s="1804"/>
      <c r="E5" s="15" t="s">
        <v>1</v>
      </c>
      <c r="F5" s="15">
        <f>SUM(F13:F587)</f>
        <v>0</v>
      </c>
      <c r="G5" s="15">
        <f>SUM(G13:G587)</f>
        <v>5756.7800000000016</v>
      </c>
      <c r="H5" s="15">
        <f t="shared" ref="H5:AT5" si="0">SUM(H13:H656)</f>
        <v>5756.7800000000016</v>
      </c>
      <c r="I5" s="15">
        <f t="shared" si="0"/>
        <v>4713.6500000000015</v>
      </c>
      <c r="J5" s="15">
        <f t="shared" si="0"/>
        <v>0</v>
      </c>
      <c r="K5" s="15">
        <f t="shared" si="0"/>
        <v>1043.1300000000001</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1870</v>
      </c>
      <c r="AW5" s="1801"/>
      <c r="AX5" s="1801"/>
      <c r="AY5" s="16" t="s">
        <v>3</v>
      </c>
      <c r="AZ5" s="17">
        <f t="shared" ref="AZ5:BT5" si="1">SUM(AZ13:AZ656)</f>
        <v>1191.7</v>
      </c>
      <c r="BA5" s="17">
        <f t="shared" si="1"/>
        <v>1191.7</v>
      </c>
      <c r="BB5" s="17">
        <f t="shared" si="1"/>
        <v>148.57</v>
      </c>
      <c r="BC5" s="17">
        <f t="shared" si="1"/>
        <v>1043.1300000000001</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1871</v>
      </c>
      <c r="B6" s="2169"/>
      <c r="C6" s="2169"/>
      <c r="D6" s="2170"/>
      <c r="E6" s="15">
        <f>H6+AC6+AT6</f>
        <v>5063.29</v>
      </c>
      <c r="F6" s="15" t="s">
        <v>1</v>
      </c>
      <c r="G6" s="15" t="s">
        <v>2</v>
      </c>
      <c r="H6" s="19">
        <f>SUMIF(I$12:AB$12,"总值",I6:AB6)</f>
        <v>5063.29</v>
      </c>
      <c r="I6" s="15">
        <f t="shared" ref="I6:AB6" si="2">ROUND($A$3*I5/$B$3,2)</f>
        <v>4145.82</v>
      </c>
      <c r="J6" s="15">
        <f t="shared" si="2"/>
        <v>0</v>
      </c>
      <c r="K6" s="15">
        <f t="shared" si="2"/>
        <v>917.47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1871</v>
      </c>
      <c r="AW6" s="2169"/>
      <c r="AX6" s="2169"/>
      <c r="AY6" s="20">
        <f>IF(AY3&gt;0,AY3,ROUND($A$3*AZ5/$B$3,2))</f>
        <v>1048.1400000000001</v>
      </c>
      <c r="AZ6" s="15" t="s">
        <v>3</v>
      </c>
      <c r="BA6" s="15">
        <f>ROUND($AY$6*BA5/$AZ$5,2)</f>
        <v>1048.1400000000001</v>
      </c>
      <c r="BB6" s="15">
        <f>ROUND($AY$6*BB5/$AZ$5,2)</f>
        <v>130.66999999999999</v>
      </c>
      <c r="BC6" s="15">
        <f t="shared" ref="BC6:BH6" si="4">ROUND($AY$6*BC5/$AZ$5,2)</f>
        <v>917.47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1872</v>
      </c>
      <c r="B7" s="2104" t="s">
        <v>1873</v>
      </c>
      <c r="C7" s="2104" t="s">
        <v>1874</v>
      </c>
      <c r="D7" s="2104" t="s">
        <v>1875</v>
      </c>
      <c r="E7" s="2104" t="s">
        <v>1876</v>
      </c>
      <c r="F7" s="2104" t="s">
        <v>1877</v>
      </c>
      <c r="G7" s="2173" t="s">
        <v>1878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1879</v>
      </c>
      <c r="AV7" s="22" t="s">
        <v>1880</v>
      </c>
      <c r="AW7" s="2161" t="s">
        <v>1881</v>
      </c>
      <c r="AX7" s="22" t="s">
        <v>1874</v>
      </c>
      <c r="AY7" s="1801" t="s">
        <v>1882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1883</v>
      </c>
      <c r="H8" s="2179" t="s">
        <v>1884</v>
      </c>
      <c r="I8" s="2180"/>
      <c r="J8" s="1816"/>
      <c r="K8" s="1816"/>
      <c r="L8" s="1816"/>
      <c r="M8" s="1816"/>
      <c r="N8" s="1816"/>
      <c r="O8" s="1816"/>
      <c r="P8" s="1816"/>
      <c r="Q8" s="1816"/>
      <c r="R8" s="1816"/>
      <c r="S8" s="1816"/>
      <c r="T8" s="1816"/>
      <c r="U8" s="1816"/>
      <c r="V8" s="2181"/>
      <c r="W8" s="1816"/>
      <c r="X8" s="1816"/>
      <c r="Y8" s="1816"/>
      <c r="Z8" s="1816"/>
      <c r="AA8" s="2181"/>
      <c r="AB8" s="2182"/>
      <c r="AC8" s="979" t="s">
        <v>1885</v>
      </c>
      <c r="AD8" s="2183"/>
      <c r="AE8" s="2175"/>
      <c r="AF8" s="1816"/>
      <c r="AG8" s="1816"/>
      <c r="AH8" s="1816"/>
      <c r="AI8" s="1816"/>
      <c r="AJ8" s="1816"/>
      <c r="AK8" s="1816"/>
      <c r="AL8" s="1816"/>
      <c r="AM8" s="1816"/>
      <c r="AN8" s="1816"/>
      <c r="AO8" s="1816"/>
      <c r="AP8" s="1816"/>
      <c r="AQ8" s="1816"/>
      <c r="AR8" s="1816"/>
      <c r="AS8" s="1816"/>
      <c r="AT8" s="1290" t="s">
        <v>1886</v>
      </c>
      <c r="AU8" s="2177" t="s">
        <v>1887</v>
      </c>
      <c r="AV8" s="1290"/>
      <c r="AW8" s="2160"/>
      <c r="AX8" s="1290"/>
      <c r="AY8" s="2161"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4" customFormat="1" ht="12.75">
      <c r="A9" s="2177"/>
      <c r="B9" s="2177"/>
      <c r="C9" s="2177"/>
      <c r="D9" s="2177"/>
      <c r="E9" s="2177"/>
      <c r="F9" s="2177"/>
      <c r="G9" s="1290"/>
      <c r="H9" s="2185" t="s">
        <v>1890</v>
      </c>
      <c r="I9" s="2186" t="s">
        <v>3164</v>
      </c>
      <c r="J9" s="979"/>
      <c r="K9" s="2186" t="s">
        <v>3164</v>
      </c>
      <c r="L9" s="979"/>
      <c r="M9" s="2186"/>
      <c r="N9" s="979"/>
      <c r="O9" s="2186"/>
      <c r="P9" s="979"/>
      <c r="Q9" s="2186"/>
      <c r="R9" s="979"/>
      <c r="S9" s="2186"/>
      <c r="T9" s="979"/>
      <c r="U9" s="2186"/>
      <c r="V9" s="979"/>
      <c r="W9" s="2186"/>
      <c r="X9" s="2187"/>
      <c r="Y9" s="2186"/>
      <c r="Z9" s="979"/>
      <c r="AA9" s="2186"/>
      <c r="AB9" s="979"/>
      <c r="AC9" s="2178" t="s">
        <v>1890</v>
      </c>
      <c r="AD9" s="14" t="s">
        <v>1891</v>
      </c>
      <c r="AE9" s="1296"/>
      <c r="AF9" s="14" t="s">
        <v>1892</v>
      </c>
      <c r="AG9" s="1296"/>
      <c r="AH9" s="14" t="s">
        <v>1891</v>
      </c>
      <c r="AI9" s="1296"/>
      <c r="AJ9" s="14" t="s">
        <v>1892</v>
      </c>
      <c r="AK9" s="1296"/>
      <c r="AL9" s="14" t="s">
        <v>1891</v>
      </c>
      <c r="AM9" s="1296"/>
      <c r="AN9" s="14" t="s">
        <v>1892</v>
      </c>
      <c r="AO9" s="1296"/>
      <c r="AP9" s="14" t="s">
        <v>1891</v>
      </c>
      <c r="AQ9" s="1296"/>
      <c r="AR9" s="14" t="s">
        <v>1892</v>
      </c>
      <c r="AS9" s="2188"/>
      <c r="AT9" s="2177"/>
      <c r="AU9" s="2177" t="s">
        <v>1893</v>
      </c>
      <c r="AV9" s="1290"/>
      <c r="AW9" s="2160"/>
      <c r="AX9" s="1290"/>
      <c r="AY9" s="27"/>
      <c r="AZ9" s="27" t="s">
        <v>1883</v>
      </c>
      <c r="BA9" s="2189" t="s">
        <v>1894</v>
      </c>
      <c r="BB9" s="2190"/>
      <c r="BC9" s="1336"/>
      <c r="BD9" s="1336"/>
      <c r="BE9" s="1336"/>
      <c r="BF9" s="1336"/>
      <c r="BG9" s="1336"/>
      <c r="BH9" s="1336"/>
      <c r="BI9" s="1336"/>
      <c r="BJ9" s="1336"/>
      <c r="BK9" s="2191"/>
      <c r="BL9" s="14" t="s">
        <v>1895</v>
      </c>
      <c r="BM9" s="1816"/>
      <c r="BN9" s="2180"/>
      <c r="BO9" s="1816"/>
      <c r="BP9" s="1816"/>
      <c r="BQ9" s="1816"/>
      <c r="BR9" s="1816"/>
      <c r="BS9" s="1816"/>
      <c r="BT9" s="25"/>
    </row>
    <row r="10" spans="1:72" s="2184" customFormat="1" ht="12.75">
      <c r="A10" s="2177"/>
      <c r="B10" s="2177"/>
      <c r="C10" s="2177"/>
      <c r="D10" s="2177"/>
      <c r="E10" s="2177"/>
      <c r="F10" s="2177"/>
      <c r="G10" s="1290"/>
      <c r="H10" s="27"/>
      <c r="I10" s="2186" t="s">
        <v>3077</v>
      </c>
      <c r="J10" s="979"/>
      <c r="K10" s="2192" t="s">
        <v>27</v>
      </c>
      <c r="L10" s="979"/>
      <c r="M10" s="2192"/>
      <c r="N10" s="979"/>
      <c r="O10" s="2192"/>
      <c r="P10" s="979"/>
      <c r="Q10" s="2192"/>
      <c r="R10" s="979"/>
      <c r="S10" s="2192"/>
      <c r="T10" s="979"/>
      <c r="U10" s="2192"/>
      <c r="V10" s="979"/>
      <c r="W10" s="2192"/>
      <c r="X10" s="979"/>
      <c r="Y10" s="2192"/>
      <c r="Z10" s="979"/>
      <c r="AA10" s="2192"/>
      <c r="AB10" s="979"/>
      <c r="AC10" s="1290"/>
      <c r="AD10" s="14" t="s">
        <v>1896</v>
      </c>
      <c r="AE10" s="2193"/>
      <c r="AF10" s="14" t="s">
        <v>1896</v>
      </c>
      <c r="AG10" s="2193"/>
      <c r="AH10" s="14" t="s">
        <v>1897</v>
      </c>
      <c r="AI10" s="2193"/>
      <c r="AJ10" s="14" t="s">
        <v>1897</v>
      </c>
      <c r="AK10" s="2193"/>
      <c r="AL10" s="14" t="s">
        <v>1898</v>
      </c>
      <c r="AM10" s="1296"/>
      <c r="AN10" s="14" t="s">
        <v>1898</v>
      </c>
      <c r="AO10" s="1296"/>
      <c r="AP10" s="14" t="s">
        <v>1899</v>
      </c>
      <c r="AQ10" s="1296"/>
      <c r="AR10" s="14" t="s">
        <v>1899</v>
      </c>
      <c r="AS10" s="1296"/>
      <c r="AT10" s="2177"/>
      <c r="AU10" s="2177"/>
      <c r="AV10" s="1290"/>
      <c r="AW10" s="2160"/>
      <c r="AX10" s="1290"/>
      <c r="AY10" s="27"/>
      <c r="AZ10" s="27"/>
      <c r="BA10" s="2194" t="s">
        <v>1890</v>
      </c>
      <c r="BB10" s="2195" t="str">
        <f>I9</f>
        <v>地上</v>
      </c>
      <c r="BC10" s="28" t="str">
        <f>K9</f>
        <v>地上</v>
      </c>
      <c r="BD10" s="28">
        <f>M9</f>
        <v>0</v>
      </c>
      <c r="BE10" s="28">
        <f>O9</f>
        <v>0</v>
      </c>
      <c r="BF10" s="28">
        <f>Q9</f>
        <v>0</v>
      </c>
      <c r="BG10" s="28">
        <f>S9</f>
        <v>0</v>
      </c>
      <c r="BH10" s="28">
        <f>U9</f>
        <v>0</v>
      </c>
      <c r="BI10" s="28">
        <f>W9</f>
        <v>0</v>
      </c>
      <c r="BJ10" s="28">
        <f>Y9</f>
        <v>0</v>
      </c>
      <c r="BK10" s="28">
        <f>AA9</f>
        <v>0</v>
      </c>
      <c r="BL10" s="24" t="s">
        <v>1890</v>
      </c>
      <c r="BM10" s="1815" t="str">
        <f>AD9</f>
        <v>地上</v>
      </c>
      <c r="BN10" s="28" t="str">
        <f>AF9</f>
        <v>地下</v>
      </c>
      <c r="BO10" s="1815" t="str">
        <f>AH9</f>
        <v>地上</v>
      </c>
      <c r="BP10" s="28" t="str">
        <f>AJ9</f>
        <v>地下</v>
      </c>
      <c r="BQ10" s="1815" t="str">
        <f>AL9</f>
        <v>地上</v>
      </c>
      <c r="BR10" s="28"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1900</v>
      </c>
      <c r="AE11" s="1817"/>
      <c r="AF11" s="2199" t="s">
        <v>1900</v>
      </c>
      <c r="AG11" s="1817"/>
      <c r="AH11" s="2199" t="s">
        <v>1901</v>
      </c>
      <c r="AI11" s="2200"/>
      <c r="AJ11" s="2199" t="s">
        <v>1901</v>
      </c>
      <c r="AK11" s="1817"/>
      <c r="AL11" s="1815"/>
      <c r="AM11" s="1817"/>
      <c r="AN11" s="1815"/>
      <c r="AO11" s="1817"/>
      <c r="AP11" s="1815"/>
      <c r="AQ11" s="1817"/>
      <c r="AR11" s="1815"/>
      <c r="AS11" s="1817"/>
      <c r="AT11" s="2160"/>
      <c r="AU11" s="2177"/>
      <c r="AV11" s="1290"/>
      <c r="AW11" s="2160"/>
      <c r="AX11" s="1290"/>
      <c r="AY11" s="27"/>
      <c r="AZ11" s="27"/>
      <c r="BA11" s="27"/>
      <c r="BB11" s="2182" t="str">
        <f>I10</f>
        <v>住宅</v>
      </c>
      <c r="BC11" s="2182" t="str">
        <f>K10</f>
        <v>办公</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4"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0" t="s">
        <v>1903</v>
      </c>
      <c r="W12" s="11" t="s">
        <v>1902</v>
      </c>
      <c r="X12" s="11" t="s">
        <v>1903</v>
      </c>
      <c r="Y12" s="11" t="s">
        <v>1902</v>
      </c>
      <c r="Z12" s="11" t="s">
        <v>1903</v>
      </c>
      <c r="AA12" s="11" t="s">
        <v>1902</v>
      </c>
      <c r="AB12" s="11" t="s">
        <v>1903</v>
      </c>
      <c r="AC12" s="2204"/>
      <c r="AD12" s="1804"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29" t="s">
        <v>1902</v>
      </c>
      <c r="AS12" s="2202" t="s">
        <v>1903</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1">
        <f>AR11</f>
        <v>0</v>
      </c>
    </row>
    <row r="13" spans="1:72" s="2162" customFormat="1" ht="12.75">
      <c r="A13" s="1270"/>
      <c r="B13" s="1270"/>
      <c r="C13" s="2986">
        <f>抵押物清单!H6</f>
        <v>207</v>
      </c>
      <c r="D13" s="2208" t="s">
        <v>3058</v>
      </c>
      <c r="E13" s="15">
        <f>IF($C$3="是",ROUND($A$3*G13/$B$3,2),ROUND($A$3*(G13-AT13)/$B$3,2))</f>
        <v>130.66999999999999</v>
      </c>
      <c r="F13" s="31"/>
      <c r="G13" s="32">
        <f>H13+AC13+AT13</f>
        <v>148.57</v>
      </c>
      <c r="H13" s="19">
        <f>SUMIF(I$12:AB$12,"总值",I13:AB13)</f>
        <v>148.57</v>
      </c>
      <c r="I13" s="2209">
        <f>抵押物清单!K6</f>
        <v>148.57</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207</v>
      </c>
      <c r="AY13" s="1804">
        <f>ROUND($AY$6*AZ13/$AZ$5,2)</f>
        <v>130.66999999999999</v>
      </c>
      <c r="AZ13" s="15">
        <f>BA13+BL13</f>
        <v>148.57</v>
      </c>
      <c r="BA13" s="15">
        <f>SUM(BB13:BK13)</f>
        <v>148.57</v>
      </c>
      <c r="BB13" s="15">
        <f>IF($D13="是",I13-J13,0)</f>
        <v>148.57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70"/>
      <c r="B14" s="1270"/>
      <c r="C14" s="2986">
        <f>抵押物清单!H7</f>
        <v>501</v>
      </c>
      <c r="D14" s="2208" t="s">
        <v>3069</v>
      </c>
      <c r="E14" s="15">
        <f>IF($C$3="是",ROUND($A$3*G14/$B$3,2),ROUND($A$3*(G14-AT14)/$B$3,2))</f>
        <v>130.66999999999999</v>
      </c>
      <c r="F14" s="31"/>
      <c r="G14" s="32">
        <f>H14+AC14+AT14</f>
        <v>148.57</v>
      </c>
      <c r="H14" s="19">
        <f>SUMIF(I$12:AB$12,"总值",I14:AB14)</f>
        <v>148.57</v>
      </c>
      <c r="I14" s="2209">
        <f>抵押物清单!K7</f>
        <v>148.57</v>
      </c>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501</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70"/>
      <c r="B15" s="1270"/>
      <c r="C15" s="2986">
        <f>抵押物清单!H8</f>
        <v>502</v>
      </c>
      <c r="D15" s="2208" t="s">
        <v>3069</v>
      </c>
      <c r="E15" s="15">
        <f>IF($C$3="是",ROUND($A$3*G15/$B$3,2),ROUND($A$3*(G15-AT15)/$B$3,2))</f>
        <v>142.6</v>
      </c>
      <c r="F15" s="31"/>
      <c r="G15" s="32">
        <f>H15+AC15+AT15</f>
        <v>162.13</v>
      </c>
      <c r="H15" s="19">
        <f>SUMIF(I$12:AB$12,"总值",I15:AB15)</f>
        <v>162.13</v>
      </c>
      <c r="I15" s="2209">
        <f>抵押物清单!K8</f>
        <v>162.13</v>
      </c>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502</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70"/>
      <c r="B16" s="1270"/>
      <c r="C16" s="2986">
        <f>抵押物清单!H9</f>
        <v>505</v>
      </c>
      <c r="D16" s="2208" t="s">
        <v>3069</v>
      </c>
      <c r="E16" s="15">
        <f>IF($C$3="是",ROUND($A$3*G16/$B$3,2),ROUND($A$3*(G16-AT16)/$B$3,2))</f>
        <v>130.63</v>
      </c>
      <c r="F16" s="31"/>
      <c r="G16" s="32">
        <f>H16+AC16+AT16</f>
        <v>148.52000000000001</v>
      </c>
      <c r="H16" s="19">
        <f>SUMIF(I$12:AB$12,"总值",I16:AB16)</f>
        <v>148.52000000000001</v>
      </c>
      <c r="I16" s="2209">
        <f>抵押物清单!K9</f>
        <v>148.52000000000001</v>
      </c>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505</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70"/>
      <c r="B17" s="1270"/>
      <c r="C17" s="2986">
        <f>抵押物清单!H10</f>
        <v>603</v>
      </c>
      <c r="D17" s="2208" t="s">
        <v>3069</v>
      </c>
      <c r="E17" s="15">
        <f>IF($C$3="是",ROUND($A$3*G17/$B$3,2),ROUND($A$3*(G17-AT17)/$B$3,2))</f>
        <v>130.63</v>
      </c>
      <c r="F17" s="31"/>
      <c r="G17" s="32">
        <f>H17+AC17+AT17</f>
        <v>148.52000000000001</v>
      </c>
      <c r="H17" s="19">
        <f>SUMIF(I$12:AB$12,"总值",I17:AB17)</f>
        <v>148.52000000000001</v>
      </c>
      <c r="I17" s="2209">
        <f>抵押物清单!K10</f>
        <v>148.52000000000001</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603</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86">
        <f>抵押物清单!H11</f>
        <v>607</v>
      </c>
      <c r="D18" s="2208" t="s">
        <v>3069</v>
      </c>
      <c r="E18" s="34">
        <f t="shared" ref="E18:E112" si="7">IF($C$3="是",ROUND($A$3*G18/$B$3,2),ROUND($A$3*(G18-AT18)/$B$3,2))</f>
        <v>130.66999999999999</v>
      </c>
      <c r="F18" s="35"/>
      <c r="G18" s="36">
        <f t="shared" ref="G18:G109" si="8">H18+AC18+AT18</f>
        <v>148.57</v>
      </c>
      <c r="H18" s="37">
        <f t="shared" ref="H18:H109" si="9">SUMIF(I$12:AB$12,"总值",I18:AB18)</f>
        <v>148.57</v>
      </c>
      <c r="I18" s="2209">
        <f>抵押物清单!K11</f>
        <v>148.57</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3">
        <f t="shared" ref="AV18:AV112" si="11">A18</f>
        <v>0</v>
      </c>
      <c r="AW18" s="1793">
        <f t="shared" ref="AW18:AW112" si="12">B18</f>
        <v>0</v>
      </c>
      <c r="AX18" s="1793">
        <f t="shared" ref="AX18:AX112" si="13">C18</f>
        <v>607</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86">
        <f>抵押物清单!H12</f>
        <v>702</v>
      </c>
      <c r="D19" s="2208" t="s">
        <v>3069</v>
      </c>
      <c r="E19" s="34">
        <f t="shared" si="7"/>
        <v>142.6</v>
      </c>
      <c r="F19" s="35"/>
      <c r="G19" s="36">
        <f t="shared" si="8"/>
        <v>162.13</v>
      </c>
      <c r="H19" s="37">
        <f t="shared" si="9"/>
        <v>162.13</v>
      </c>
      <c r="I19" s="2209">
        <f>抵押物清单!K12</f>
        <v>162.13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3">
        <f t="shared" si="11"/>
        <v>0</v>
      </c>
      <c r="AW19" s="1793">
        <f t="shared" si="12"/>
        <v>0</v>
      </c>
      <c r="AX19" s="1793">
        <f t="shared" si="13"/>
        <v>702</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2986">
        <f>抵押物清单!H13</f>
        <v>705</v>
      </c>
      <c r="D20" s="2208" t="s">
        <v>3069</v>
      </c>
      <c r="E20" s="34">
        <f t="shared" si="7"/>
        <v>130.63</v>
      </c>
      <c r="F20" s="35"/>
      <c r="G20" s="36">
        <f t="shared" si="8"/>
        <v>148.52000000000001</v>
      </c>
      <c r="H20" s="37">
        <f t="shared" si="9"/>
        <v>148.52000000000001</v>
      </c>
      <c r="I20" s="2209">
        <f>抵押物清单!K13</f>
        <v>148.52000000000001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3">
        <f t="shared" si="11"/>
        <v>0</v>
      </c>
      <c r="AW20" s="1793">
        <f t="shared" si="12"/>
        <v>0</v>
      </c>
      <c r="AX20" s="1793">
        <f t="shared" si="13"/>
        <v>705</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2986">
        <f>抵押物清单!H14</f>
        <v>807</v>
      </c>
      <c r="D21" s="2208" t="s">
        <v>3069</v>
      </c>
      <c r="E21" s="34">
        <f t="shared" si="7"/>
        <v>130.66999999999999</v>
      </c>
      <c r="F21" s="35"/>
      <c r="G21" s="36">
        <f t="shared" si="8"/>
        <v>148.57</v>
      </c>
      <c r="H21" s="37">
        <f t="shared" si="9"/>
        <v>148.57</v>
      </c>
      <c r="I21" s="2209">
        <f>抵押物清单!K14</f>
        <v>148.57</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3">
        <f t="shared" si="11"/>
        <v>0</v>
      </c>
      <c r="AW21" s="1793">
        <f t="shared" si="12"/>
        <v>0</v>
      </c>
      <c r="AX21" s="1793">
        <f t="shared" si="13"/>
        <v>807</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2986">
        <f>抵押物清单!H15</f>
        <v>1105</v>
      </c>
      <c r="D22" s="2208" t="s">
        <v>3069</v>
      </c>
      <c r="E22" s="34">
        <f t="shared" si="7"/>
        <v>130.63</v>
      </c>
      <c r="F22" s="35"/>
      <c r="G22" s="36">
        <f t="shared" si="8"/>
        <v>148.52000000000001</v>
      </c>
      <c r="H22" s="37">
        <f t="shared" si="9"/>
        <v>148.52000000000001</v>
      </c>
      <c r="I22" s="2209">
        <f>抵押物清单!K15</f>
        <v>148.52000000000001</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3">
        <f t="shared" si="11"/>
        <v>0</v>
      </c>
      <c r="AW22" s="1793">
        <f t="shared" si="12"/>
        <v>0</v>
      </c>
      <c r="AX22" s="1793">
        <f t="shared" si="13"/>
        <v>1105</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2986">
        <f>抵押物清单!H16</f>
        <v>1202</v>
      </c>
      <c r="D23" s="2208" t="s">
        <v>3069</v>
      </c>
      <c r="E23" s="34">
        <f t="shared" si="7"/>
        <v>142.6</v>
      </c>
      <c r="F23" s="35"/>
      <c r="G23" s="36">
        <f t="shared" si="8"/>
        <v>162.13</v>
      </c>
      <c r="H23" s="37">
        <f t="shared" si="9"/>
        <v>162.13</v>
      </c>
      <c r="I23" s="2209">
        <f>抵押物清单!K16</f>
        <v>162.13</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3">
        <f t="shared" si="11"/>
        <v>0</v>
      </c>
      <c r="AW23" s="1793">
        <f t="shared" si="12"/>
        <v>0</v>
      </c>
      <c r="AX23" s="1793">
        <f t="shared" si="13"/>
        <v>1202</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2986">
        <f>抵押物清单!H17</f>
        <v>1505</v>
      </c>
      <c r="D24" s="2208" t="s">
        <v>3069</v>
      </c>
      <c r="E24" s="34">
        <f t="shared" si="7"/>
        <v>130.63</v>
      </c>
      <c r="F24" s="35"/>
      <c r="G24" s="36">
        <f t="shared" si="8"/>
        <v>148.52000000000001</v>
      </c>
      <c r="H24" s="37">
        <f t="shared" si="9"/>
        <v>148.52000000000001</v>
      </c>
      <c r="I24" s="2209">
        <f>抵押物清单!K17</f>
        <v>148.52000000000001</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3">
        <f t="shared" si="11"/>
        <v>0</v>
      </c>
      <c r="AW24" s="1793">
        <f t="shared" si="12"/>
        <v>0</v>
      </c>
      <c r="AX24" s="1793">
        <f t="shared" si="13"/>
        <v>1505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2986">
        <f>抵押物清单!H18</f>
        <v>1605</v>
      </c>
      <c r="D25" s="2208" t="s">
        <v>3069</v>
      </c>
      <c r="E25" s="34">
        <f t="shared" si="7"/>
        <v>130.63</v>
      </c>
      <c r="F25" s="35"/>
      <c r="G25" s="36">
        <f t="shared" si="8"/>
        <v>148.52000000000001</v>
      </c>
      <c r="H25" s="37">
        <f t="shared" si="9"/>
        <v>148.52000000000001</v>
      </c>
      <c r="I25" s="2209">
        <f>抵押物清单!K18</f>
        <v>148.52000000000001</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3">
        <f t="shared" si="11"/>
        <v>0</v>
      </c>
      <c r="AW25" s="1793">
        <f t="shared" si="12"/>
        <v>0</v>
      </c>
      <c r="AX25" s="1793">
        <f t="shared" si="13"/>
        <v>1605</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2986">
        <f>抵押物清单!H19</f>
        <v>1607</v>
      </c>
      <c r="D26" s="2208" t="s">
        <v>3069</v>
      </c>
      <c r="E26" s="34">
        <f t="shared" si="7"/>
        <v>130.66999999999999</v>
      </c>
      <c r="F26" s="35"/>
      <c r="G26" s="36">
        <f t="shared" si="8"/>
        <v>148.57</v>
      </c>
      <c r="H26" s="37">
        <f t="shared" si="9"/>
        <v>148.57</v>
      </c>
      <c r="I26" s="2209">
        <f>抵押物清单!K19</f>
        <v>148.57</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3">
        <f t="shared" si="11"/>
        <v>0</v>
      </c>
      <c r="AW26" s="1793">
        <f t="shared" si="12"/>
        <v>0</v>
      </c>
      <c r="AX26" s="1793">
        <f t="shared" si="13"/>
        <v>1607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2986">
        <f>抵押物清单!H20</f>
        <v>1707</v>
      </c>
      <c r="D27" s="2208" t="s">
        <v>3069</v>
      </c>
      <c r="E27" s="34">
        <f t="shared" si="7"/>
        <v>130.66999999999999</v>
      </c>
      <c r="F27" s="35"/>
      <c r="G27" s="36">
        <f t="shared" si="8"/>
        <v>148.57</v>
      </c>
      <c r="H27" s="37">
        <f t="shared" si="9"/>
        <v>148.57</v>
      </c>
      <c r="I27" s="2209">
        <f>抵押物清单!K20</f>
        <v>148.57</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3">
        <f t="shared" si="11"/>
        <v>0</v>
      </c>
      <c r="AW27" s="1793">
        <f t="shared" si="12"/>
        <v>0</v>
      </c>
      <c r="AX27" s="1793">
        <f t="shared" si="13"/>
        <v>1707</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2986">
        <f>抵押物清单!H21</f>
        <v>1807</v>
      </c>
      <c r="D28" s="2208" t="s">
        <v>3069</v>
      </c>
      <c r="E28" s="34">
        <f t="shared" si="7"/>
        <v>130.66999999999999</v>
      </c>
      <c r="F28" s="35"/>
      <c r="G28" s="36">
        <f t="shared" si="8"/>
        <v>148.57</v>
      </c>
      <c r="H28" s="37">
        <f t="shared" si="9"/>
        <v>148.57</v>
      </c>
      <c r="I28" s="2209">
        <f>抵押物清单!K21</f>
        <v>148.57</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3">
        <f t="shared" si="11"/>
        <v>0</v>
      </c>
      <c r="AW28" s="1793">
        <f t="shared" si="12"/>
        <v>0</v>
      </c>
      <c r="AX28" s="1793">
        <f t="shared" si="13"/>
        <v>1807</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2986">
        <f>抵押物清单!H22</f>
        <v>2007</v>
      </c>
      <c r="D29" s="2208" t="s">
        <v>3069</v>
      </c>
      <c r="E29" s="34">
        <f t="shared" si="7"/>
        <v>130.66999999999999</v>
      </c>
      <c r="F29" s="35"/>
      <c r="G29" s="36">
        <f t="shared" si="8"/>
        <v>148.57</v>
      </c>
      <c r="H29" s="37">
        <f t="shared" si="9"/>
        <v>148.57</v>
      </c>
      <c r="I29" s="2209">
        <f>抵押物清单!K22</f>
        <v>148.57</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3">
        <f t="shared" si="11"/>
        <v>0</v>
      </c>
      <c r="AW29" s="1793">
        <f t="shared" si="12"/>
        <v>0</v>
      </c>
      <c r="AX29" s="1793">
        <f t="shared" si="13"/>
        <v>2007</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2986">
        <f>抵押物清单!H23</f>
        <v>1806</v>
      </c>
      <c r="D30" s="2208" t="s">
        <v>3069</v>
      </c>
      <c r="E30" s="34">
        <f t="shared" si="7"/>
        <v>142.6</v>
      </c>
      <c r="F30" s="35"/>
      <c r="G30" s="36">
        <f t="shared" si="8"/>
        <v>162.13</v>
      </c>
      <c r="H30" s="37">
        <f t="shared" si="9"/>
        <v>162.13</v>
      </c>
      <c r="I30" s="2209">
        <f>抵押物清单!K23</f>
        <v>162.13</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3">
        <f t="shared" si="11"/>
        <v>0</v>
      </c>
      <c r="AW30" s="1793">
        <f t="shared" si="12"/>
        <v>0</v>
      </c>
      <c r="AX30" s="1793">
        <f t="shared" si="13"/>
        <v>1806</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2986">
        <f>抵押物清单!H24</f>
        <v>2301</v>
      </c>
      <c r="D31" s="2208" t="s">
        <v>3069</v>
      </c>
      <c r="E31" s="34">
        <f t="shared" si="7"/>
        <v>130.66999999999999</v>
      </c>
      <c r="F31" s="35"/>
      <c r="G31" s="36">
        <f t="shared" si="8"/>
        <v>148.57</v>
      </c>
      <c r="H31" s="37">
        <f t="shared" si="9"/>
        <v>148.57</v>
      </c>
      <c r="I31" s="2209">
        <f>抵押物清单!K24</f>
        <v>148.57</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3">
        <f t="shared" si="11"/>
        <v>0</v>
      </c>
      <c r="AW31" s="1793">
        <f t="shared" si="12"/>
        <v>0</v>
      </c>
      <c r="AX31" s="1793">
        <f t="shared" si="13"/>
        <v>2301</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2986">
        <f>抵押物清单!H25</f>
        <v>2303</v>
      </c>
      <c r="D32" s="2208" t="s">
        <v>3069</v>
      </c>
      <c r="E32" s="34">
        <f t="shared" si="7"/>
        <v>130.63</v>
      </c>
      <c r="F32" s="35"/>
      <c r="G32" s="36">
        <f t="shared" si="8"/>
        <v>148.52000000000001</v>
      </c>
      <c r="H32" s="37">
        <f t="shared" si="9"/>
        <v>148.52000000000001</v>
      </c>
      <c r="I32" s="2209">
        <f>抵押物清单!K25</f>
        <v>148.52000000000001</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3">
        <f t="shared" si="11"/>
        <v>0</v>
      </c>
      <c r="AW32" s="1793">
        <f t="shared" si="12"/>
        <v>0</v>
      </c>
      <c r="AX32" s="1793">
        <f t="shared" si="13"/>
        <v>2303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86">
        <f>抵押物清单!H26</f>
        <v>2305</v>
      </c>
      <c r="D33" s="2208" t="s">
        <v>3069</v>
      </c>
      <c r="E33" s="34">
        <f t="shared" si="7"/>
        <v>130.63</v>
      </c>
      <c r="F33" s="35"/>
      <c r="G33" s="36">
        <f t="shared" si="8"/>
        <v>148.52000000000001</v>
      </c>
      <c r="H33" s="37">
        <f t="shared" si="9"/>
        <v>148.52000000000001</v>
      </c>
      <c r="I33" s="2209">
        <f>抵押物清单!K26</f>
        <v>148.52000000000001</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3">
        <f t="shared" si="11"/>
        <v>0</v>
      </c>
      <c r="AW33" s="1793">
        <f t="shared" si="12"/>
        <v>0</v>
      </c>
      <c r="AX33" s="1793">
        <f t="shared" si="13"/>
        <v>2305</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2986">
        <f>抵押物清单!H27</f>
        <v>2306</v>
      </c>
      <c r="D34" s="2208" t="s">
        <v>3069</v>
      </c>
      <c r="E34" s="34">
        <f t="shared" si="7"/>
        <v>142.6</v>
      </c>
      <c r="F34" s="35"/>
      <c r="G34" s="36">
        <f t="shared" si="8"/>
        <v>162.13</v>
      </c>
      <c r="H34" s="37">
        <f t="shared" si="9"/>
        <v>162.13</v>
      </c>
      <c r="I34" s="2209">
        <f>抵押物清单!K27</f>
        <v>162.13</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3">
        <f t="shared" si="11"/>
        <v>0</v>
      </c>
      <c r="AW34" s="1793">
        <f t="shared" si="12"/>
        <v>0</v>
      </c>
      <c r="AX34" s="1793">
        <f t="shared" si="13"/>
        <v>2306</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2986">
        <f>抵押物清单!H28</f>
        <v>2307</v>
      </c>
      <c r="D35" s="2208" t="s">
        <v>3069</v>
      </c>
      <c r="E35" s="34">
        <f t="shared" si="7"/>
        <v>130.66999999999999</v>
      </c>
      <c r="F35" s="35"/>
      <c r="G35" s="36">
        <f t="shared" si="8"/>
        <v>148.57</v>
      </c>
      <c r="H35" s="37">
        <f t="shared" si="9"/>
        <v>148.57</v>
      </c>
      <c r="I35" s="2209">
        <f>抵押物清单!K28</f>
        <v>148.57</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3">
        <f t="shared" si="11"/>
        <v>0</v>
      </c>
      <c r="AW35" s="1793">
        <f t="shared" si="12"/>
        <v>0</v>
      </c>
      <c r="AX35" s="1793">
        <f t="shared" si="13"/>
        <v>2307</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2986">
        <f>抵押物清单!H29</f>
        <v>2506</v>
      </c>
      <c r="D36" s="2208" t="s">
        <v>3069</v>
      </c>
      <c r="E36" s="34">
        <f t="shared" si="7"/>
        <v>142.6</v>
      </c>
      <c r="F36" s="35"/>
      <c r="G36" s="36">
        <f t="shared" si="8"/>
        <v>162.13</v>
      </c>
      <c r="H36" s="37">
        <f t="shared" si="9"/>
        <v>162.13</v>
      </c>
      <c r="I36" s="2209">
        <f>抵押物清单!K29</f>
        <v>162.13</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3">
        <f t="shared" si="11"/>
        <v>0</v>
      </c>
      <c r="AW36" s="1793">
        <f t="shared" si="12"/>
        <v>0</v>
      </c>
      <c r="AX36" s="1793">
        <f t="shared" si="13"/>
        <v>2506</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2986">
        <f>抵押物清单!H30</f>
        <v>2507</v>
      </c>
      <c r="D37" s="2208" t="s">
        <v>3069</v>
      </c>
      <c r="E37" s="34">
        <f t="shared" si="7"/>
        <v>130.66999999999999</v>
      </c>
      <c r="F37" s="35"/>
      <c r="G37" s="36">
        <f t="shared" si="8"/>
        <v>148.57</v>
      </c>
      <c r="H37" s="37">
        <f t="shared" si="9"/>
        <v>148.57</v>
      </c>
      <c r="I37" s="2209">
        <f>抵押物清单!K30</f>
        <v>148.57</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3">
        <f t="shared" si="11"/>
        <v>0</v>
      </c>
      <c r="AW37" s="1793">
        <f t="shared" si="12"/>
        <v>0</v>
      </c>
      <c r="AX37" s="1793">
        <f t="shared" si="13"/>
        <v>2507</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2986">
        <f>抵押物清单!H31</f>
        <v>2601</v>
      </c>
      <c r="D38" s="2208" t="s">
        <v>3069</v>
      </c>
      <c r="E38" s="34">
        <f t="shared" si="7"/>
        <v>130.66999999999999</v>
      </c>
      <c r="F38" s="35"/>
      <c r="G38" s="36">
        <f t="shared" si="8"/>
        <v>148.57</v>
      </c>
      <c r="H38" s="37">
        <f t="shared" si="9"/>
        <v>148.57</v>
      </c>
      <c r="I38" s="2209">
        <f>抵押物清单!K31</f>
        <v>148.57</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3">
        <f t="shared" si="11"/>
        <v>0</v>
      </c>
      <c r="AW38" s="1793">
        <f t="shared" si="12"/>
        <v>0</v>
      </c>
      <c r="AX38" s="1793">
        <f t="shared" si="13"/>
        <v>2601</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2986">
        <f>抵押物清单!H32</f>
        <v>2602</v>
      </c>
      <c r="D39" s="2208" t="s">
        <v>3069</v>
      </c>
      <c r="E39" s="34">
        <f t="shared" si="7"/>
        <v>142.6</v>
      </c>
      <c r="F39" s="35"/>
      <c r="G39" s="36">
        <f t="shared" si="8"/>
        <v>162.13</v>
      </c>
      <c r="H39" s="37">
        <f t="shared" si="9"/>
        <v>162.13</v>
      </c>
      <c r="I39" s="2209">
        <f>抵押物清单!K32</f>
        <v>162.13</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3">
        <f t="shared" si="11"/>
        <v>0</v>
      </c>
      <c r="AW39" s="1793">
        <f t="shared" si="12"/>
        <v>0</v>
      </c>
      <c r="AX39" s="1793">
        <f t="shared" si="13"/>
        <v>2602</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2986">
        <f>抵押物清单!H33</f>
        <v>2603</v>
      </c>
      <c r="D40" s="2208" t="s">
        <v>3069</v>
      </c>
      <c r="E40" s="34">
        <f t="shared" si="7"/>
        <v>130.63</v>
      </c>
      <c r="F40" s="35"/>
      <c r="G40" s="36">
        <f t="shared" si="8"/>
        <v>148.52000000000001</v>
      </c>
      <c r="H40" s="37">
        <f t="shared" si="9"/>
        <v>148.52000000000001</v>
      </c>
      <c r="I40" s="2209">
        <f>抵押物清单!K33</f>
        <v>148.52000000000001</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3">
        <f t="shared" si="11"/>
        <v>0</v>
      </c>
      <c r="AW40" s="1793">
        <f t="shared" si="12"/>
        <v>0</v>
      </c>
      <c r="AX40" s="1793">
        <f t="shared" si="13"/>
        <v>2603</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2986">
        <f>抵押物清单!H34</f>
        <v>2605</v>
      </c>
      <c r="D41" s="2208" t="s">
        <v>3069</v>
      </c>
      <c r="E41" s="34">
        <f t="shared" si="7"/>
        <v>130.63</v>
      </c>
      <c r="F41" s="35"/>
      <c r="G41" s="36">
        <f t="shared" si="8"/>
        <v>148.52000000000001</v>
      </c>
      <c r="H41" s="37">
        <f t="shared" si="9"/>
        <v>148.52000000000001</v>
      </c>
      <c r="I41" s="2209">
        <f>抵押物清单!K34</f>
        <v>148.52000000000001</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3">
        <f t="shared" si="11"/>
        <v>0</v>
      </c>
      <c r="AW41" s="1793">
        <f t="shared" si="12"/>
        <v>0</v>
      </c>
      <c r="AX41" s="1793">
        <f t="shared" si="13"/>
        <v>2605</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2986">
        <f>抵押物清单!H35</f>
        <v>2606</v>
      </c>
      <c r="D42" s="2208" t="s">
        <v>3069</v>
      </c>
      <c r="E42" s="34">
        <f t="shared" si="7"/>
        <v>142.6</v>
      </c>
      <c r="F42" s="35"/>
      <c r="G42" s="36">
        <f t="shared" si="8"/>
        <v>162.13</v>
      </c>
      <c r="H42" s="37">
        <f t="shared" si="9"/>
        <v>162.13</v>
      </c>
      <c r="I42" s="2209">
        <f>抵押物清单!K35</f>
        <v>162.13</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3">
        <f t="shared" si="11"/>
        <v>0</v>
      </c>
      <c r="AW42" s="1793">
        <f t="shared" si="12"/>
        <v>0</v>
      </c>
      <c r="AX42" s="1793">
        <f t="shared" si="13"/>
        <v>2606</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2986">
        <f>抵押物清单!H36</f>
        <v>2607</v>
      </c>
      <c r="D43" s="2208" t="s">
        <v>3069</v>
      </c>
      <c r="E43" s="34">
        <f t="shared" si="7"/>
        <v>130.66999999999999</v>
      </c>
      <c r="F43" s="35"/>
      <c r="G43" s="36">
        <f t="shared" si="8"/>
        <v>148.57</v>
      </c>
      <c r="H43" s="37">
        <f t="shared" si="9"/>
        <v>148.57</v>
      </c>
      <c r="I43" s="2209">
        <f>抵押物清单!K36</f>
        <v>148.57</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3">
        <f t="shared" si="11"/>
        <v>0</v>
      </c>
      <c r="AW43" s="1793">
        <f t="shared" si="12"/>
        <v>0</v>
      </c>
      <c r="AX43" s="1793">
        <f t="shared" si="13"/>
        <v>2607</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2985" t="s">
        <v>3267</v>
      </c>
      <c r="D44" s="2213" t="s">
        <v>3058</v>
      </c>
      <c r="E44" s="34">
        <f t="shared" si="7"/>
        <v>917.47</v>
      </c>
      <c r="F44" s="35"/>
      <c r="G44" s="36">
        <f t="shared" si="8"/>
        <v>1043.1300000000001</v>
      </c>
      <c r="H44" s="37">
        <f t="shared" si="9"/>
        <v>1043.1300000000001</v>
      </c>
      <c r="I44" s="2209"/>
      <c r="J44" s="38"/>
      <c r="K44" s="38">
        <f>抵押物清单!K4</f>
        <v>1043.1300000000001</v>
      </c>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3">
        <f t="shared" si="11"/>
        <v>0</v>
      </c>
      <c r="AW44" s="1793">
        <f t="shared" si="12"/>
        <v>0</v>
      </c>
      <c r="AX44" s="1793" t="str">
        <f t="shared" si="13"/>
        <v>办公</v>
      </c>
      <c r="AY44" s="41">
        <f t="shared" si="14"/>
        <v>917.47</v>
      </c>
      <c r="AZ44" s="34">
        <f t="shared" si="15"/>
        <v>1043.1300000000001</v>
      </c>
      <c r="BA44" s="34">
        <f t="shared" si="16"/>
        <v>1043.1300000000001</v>
      </c>
      <c r="BB44" s="34">
        <f t="shared" si="17"/>
        <v>0</v>
      </c>
      <c r="BC44" s="34">
        <f t="shared" si="18"/>
        <v>1043.1300000000001</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2209"/>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2209"/>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2209"/>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2209"/>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2209"/>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2209"/>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2209"/>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2209"/>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2209"/>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1929</v>
      </c>
      <c r="B1" s="1390"/>
      <c r="C1" s="1390"/>
      <c r="D1" s="1390"/>
      <c r="E1" s="1390"/>
      <c r="F1" s="1390"/>
      <c r="G1" s="1390"/>
      <c r="H1" s="1390"/>
      <c r="I1" s="1390"/>
      <c r="J1" s="1390"/>
      <c r="K1" s="1390"/>
      <c r="L1" s="1390"/>
      <c r="M1" s="1390"/>
      <c r="N1" s="1390"/>
      <c r="O1" s="1390"/>
      <c r="P1" s="1390"/>
    </row>
    <row r="2" spans="1:16" ht="15">
      <c r="A2" s="3118" t="s">
        <v>1930</v>
      </c>
      <c r="B2" s="3118"/>
      <c r="C2" s="3118"/>
      <c r="D2" s="965" t="s">
        <v>1906</v>
      </c>
      <c r="E2" s="2222" t="s">
        <v>1907</v>
      </c>
      <c r="F2" s="1390"/>
      <c r="G2" s="2223"/>
      <c r="H2" s="2224"/>
      <c r="I2" s="2225" t="s">
        <v>1931</v>
      </c>
      <c r="J2" s="1390"/>
      <c r="K2" s="1390"/>
      <c r="L2" s="1390"/>
      <c r="M2" s="1390"/>
      <c r="N2" s="1425"/>
      <c r="O2" s="1390"/>
      <c r="P2" s="1390"/>
    </row>
    <row r="3" spans="1:16" ht="15.75" thickBot="1">
      <c r="A3" s="3119" t="s">
        <v>1904</v>
      </c>
      <c r="B3" s="3119"/>
      <c r="C3" s="3119"/>
      <c r="D3" s="45">
        <f>'数据-基础表'!AY6</f>
        <v>1048.1400000000001</v>
      </c>
      <c r="E3" s="45">
        <f>'数据-基础表'!AZ5</f>
        <v>1191.7</v>
      </c>
      <c r="F3" s="1390"/>
      <c r="G3" s="1397"/>
      <c r="H3" s="1245" t="s">
        <v>1905</v>
      </c>
      <c r="I3" s="54">
        <f>ROUND('数据-基础表'!B3/'数据-基础表'!A3,2)</f>
        <v>1.1399999999999999</v>
      </c>
      <c r="J3" s="1390"/>
      <c r="K3" s="1390"/>
      <c r="L3" s="1390"/>
      <c r="M3" s="1390"/>
      <c r="N3" s="1425"/>
      <c r="O3" s="1390"/>
      <c r="P3" s="1390"/>
    </row>
    <row r="4" spans="1:16" ht="15">
      <c r="A4" s="3120"/>
      <c r="B4" s="3121"/>
      <c r="C4" s="3122"/>
      <c r="D4" s="2226" t="s">
        <v>1906</v>
      </c>
      <c r="E4" s="2227" t="s">
        <v>1907</v>
      </c>
      <c r="F4" s="1390"/>
      <c r="G4" s="2228" t="s">
        <v>1932</v>
      </c>
      <c r="H4" s="1245" t="s">
        <v>1912</v>
      </c>
      <c r="I4" s="54">
        <f>ROUND(SUMIF('数据-基础表'!I9:AS9,"地上",'数据-基础表'!I5:AS5)/'数据-基础表'!A3,2)</f>
        <v>1.1399999999999999</v>
      </c>
      <c r="J4" s="1390"/>
      <c r="K4" s="1390"/>
      <c r="L4" s="1390"/>
      <c r="M4" s="1390"/>
      <c r="N4" s="1425"/>
      <c r="O4" s="1390"/>
      <c r="P4" s="1390"/>
    </row>
    <row r="5" spans="1:16">
      <c r="A5" s="46" t="s">
        <v>1908</v>
      </c>
      <c r="B5" s="3123" t="s">
        <v>1909</v>
      </c>
      <c r="C5" s="3123"/>
      <c r="D5" s="47">
        <f>ROUND($D$3*E5/$E$3,2)</f>
        <v>130.66999999999999</v>
      </c>
      <c r="E5" s="48">
        <f>SUMIF('数据-基础表'!$11:$11,"住宅",'数据-基础表'!$5:$5)</f>
        <v>148.57</v>
      </c>
      <c r="F5" s="1390"/>
      <c r="G5" s="1397"/>
      <c r="H5" s="1245" t="s">
        <v>1905</v>
      </c>
      <c r="I5" s="54">
        <f>ROUND(E31/D31,2)</f>
        <v>1.1399999999999999</v>
      </c>
      <c r="J5" s="1390"/>
      <c r="K5" s="1390"/>
      <c r="L5" s="1390"/>
      <c r="M5" s="1390"/>
      <c r="N5" s="1390"/>
      <c r="O5" s="1390"/>
      <c r="P5" s="1390"/>
    </row>
    <row r="6" spans="1:16" ht="15" thickBot="1">
      <c r="A6" s="2229"/>
      <c r="B6" s="3123" t="s">
        <v>1910</v>
      </c>
      <c r="C6" s="3123"/>
      <c r="D6" s="47">
        <f>ROUND($D$3*E6/$E$3,2)</f>
        <v>917.47</v>
      </c>
      <c r="E6" s="48">
        <f>E3-E5</f>
        <v>1043.1300000000001</v>
      </c>
      <c r="F6" s="1390"/>
      <c r="G6" s="2230" t="s">
        <v>1911</v>
      </c>
      <c r="H6" s="1397" t="s">
        <v>1912</v>
      </c>
      <c r="I6" s="937">
        <f>ROUND(F31/D31,2)</f>
        <v>1.1399999999999999</v>
      </c>
      <c r="J6" s="1390"/>
      <c r="K6" s="1390"/>
      <c r="L6" s="1390"/>
      <c r="M6" s="1390"/>
      <c r="N6" s="1390"/>
      <c r="O6" s="1390"/>
      <c r="P6" s="1390"/>
    </row>
    <row r="7" spans="1:16" ht="15">
      <c r="A7" s="3115"/>
      <c r="B7" s="3116"/>
      <c r="C7" s="3117"/>
      <c r="D7" s="2226" t="s">
        <v>1906</v>
      </c>
      <c r="E7" s="2231" t="s">
        <v>1913</v>
      </c>
      <c r="F7" s="1390"/>
      <c r="G7" s="2223" t="s">
        <v>1914</v>
      </c>
      <c r="H7" s="63"/>
      <c r="I7" s="419">
        <v>2.2000000000000002</v>
      </c>
      <c r="J7" s="1390"/>
      <c r="K7" s="1390"/>
      <c r="L7" s="1390"/>
      <c r="M7" s="1390"/>
      <c r="N7" s="1390"/>
      <c r="O7" s="1390"/>
      <c r="P7" s="1390"/>
    </row>
    <row r="8" spans="1:16">
      <c r="A8" s="46" t="s">
        <v>1915</v>
      </c>
      <c r="B8" s="49" t="s">
        <v>1916</v>
      </c>
      <c r="C8" s="47" t="s">
        <v>1917</v>
      </c>
      <c r="D8" s="47">
        <f t="shared" ref="D8:D15" si="0">ROUND($D$3*E8/$E$3,2)</f>
        <v>1048.1400000000001</v>
      </c>
      <c r="E8" s="50">
        <f>SUMIF('数据-基础表'!BB10:BK10,"地上",'数据-基础表'!BB5:BK5)</f>
        <v>1191.7</v>
      </c>
      <c r="F8" s="1390"/>
      <c r="G8" s="2232"/>
      <c r="H8" s="2232"/>
      <c r="I8" s="1390"/>
      <c r="J8" s="1390"/>
      <c r="K8" s="1390"/>
      <c r="L8" s="1390"/>
      <c r="M8" s="1390"/>
      <c r="N8" s="1390"/>
      <c r="O8" s="1390"/>
      <c r="P8" s="1390"/>
    </row>
    <row r="9" spans="1:16">
      <c r="A9" s="2233"/>
      <c r="B9" s="2234"/>
      <c r="C9" s="47" t="s">
        <v>1918</v>
      </c>
      <c r="D9" s="47">
        <f t="shared" si="0"/>
        <v>0</v>
      </c>
      <c r="E9" s="51">
        <v>0</v>
      </c>
      <c r="F9" s="1390"/>
      <c r="G9" s="2232"/>
      <c r="H9" s="2232"/>
      <c r="I9" s="1390"/>
      <c r="J9" s="1390"/>
      <c r="K9" s="1390"/>
      <c r="L9" s="1390"/>
      <c r="M9" s="1390"/>
      <c r="N9" s="1390"/>
      <c r="O9" s="1390"/>
      <c r="P9" s="1390"/>
    </row>
    <row r="10" spans="1:16">
      <c r="A10" s="2233"/>
      <c r="B10" s="2234"/>
      <c r="C10" s="47" t="s">
        <v>1927</v>
      </c>
      <c r="D10" s="47">
        <f t="shared" si="0"/>
        <v>0</v>
      </c>
      <c r="E10" s="50">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7" t="s">
        <v>1919</v>
      </c>
      <c r="D11" s="47">
        <f t="shared" si="0"/>
        <v>0</v>
      </c>
      <c r="E11" s="50">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7" t="s">
        <v>1920</v>
      </c>
      <c r="D12" s="47">
        <f t="shared" si="0"/>
        <v>0</v>
      </c>
      <c r="E12" s="50">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7" t="s">
        <v>1921</v>
      </c>
      <c r="D13" s="47">
        <f t="shared" si="0"/>
        <v>0</v>
      </c>
      <c r="E13" s="50">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7" t="s">
        <v>1933</v>
      </c>
      <c r="D14" s="47">
        <f t="shared" si="0"/>
        <v>0</v>
      </c>
      <c r="E14" s="50">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7" t="s">
        <v>1928</v>
      </c>
      <c r="D15" s="47">
        <f t="shared" si="0"/>
        <v>0</v>
      </c>
      <c r="E15" s="50">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49" t="s">
        <v>1922</v>
      </c>
      <c r="D16" s="49">
        <f>SUM(D8:D15)</f>
        <v>1048.1400000000001</v>
      </c>
      <c r="E16" s="52">
        <f>SUM(E8:E15)</f>
        <v>1191.7</v>
      </c>
      <c r="F16" s="1390"/>
      <c r="G16" s="2232"/>
      <c r="H16" s="2235" t="s">
        <v>1934</v>
      </c>
      <c r="I16" s="2236"/>
      <c r="J16" s="1390"/>
      <c r="K16" s="3112" t="s">
        <v>1934</v>
      </c>
      <c r="L16" s="3113"/>
      <c r="M16" s="3113"/>
      <c r="N16" s="3113"/>
      <c r="O16" s="3113"/>
      <c r="P16" s="3114"/>
    </row>
    <row r="17" spans="1:19" ht="15">
      <c r="A17" s="2237" t="s">
        <v>1935</v>
      </c>
      <c r="B17" s="2238" t="s">
        <v>1936</v>
      </c>
      <c r="C17" s="2239" t="s">
        <v>1937</v>
      </c>
      <c r="D17" s="2240" t="s">
        <v>1925</v>
      </c>
      <c r="E17" s="2241" t="s">
        <v>1926</v>
      </c>
      <c r="F17" s="2242"/>
      <c r="G17" s="2243"/>
      <c r="H17" s="2244" t="s">
        <v>1938</v>
      </c>
      <c r="I17" s="2245" t="s">
        <v>1923</v>
      </c>
      <c r="J17" s="1390"/>
      <c r="K17" s="3109" t="s">
        <v>1939</v>
      </c>
      <c r="L17" s="3110"/>
      <c r="M17" s="3111"/>
      <c r="N17" s="3109" t="s">
        <v>1940</v>
      </c>
      <c r="O17" s="3110"/>
      <c r="P17" s="3111"/>
      <c r="R17" s="2223" t="s">
        <v>1941</v>
      </c>
      <c r="S17" s="63"/>
    </row>
    <row r="18" spans="1:19" ht="15">
      <c r="A18" s="2233"/>
      <c r="B18" s="2246"/>
      <c r="C18" s="2247"/>
      <c r="D18" s="2248"/>
      <c r="E18" s="2249" t="s">
        <v>1942</v>
      </c>
      <c r="F18" s="2250" t="s">
        <v>1943</v>
      </c>
      <c r="G18" s="2251" t="s">
        <v>1944</v>
      </c>
      <c r="H18" s="1260" t="s">
        <v>1945</v>
      </c>
      <c r="I18" s="2252" t="s">
        <v>1946</v>
      </c>
      <c r="J18" s="1390"/>
      <c r="K18" s="1260" t="s">
        <v>1947</v>
      </c>
      <c r="L18" s="2253" t="s">
        <v>1948</v>
      </c>
      <c r="M18" s="1044" t="s">
        <v>1949</v>
      </c>
      <c r="N18" s="1260" t="s">
        <v>1947</v>
      </c>
      <c r="O18" s="2253" t="s">
        <v>1948</v>
      </c>
      <c r="P18" s="1044" t="s">
        <v>1949</v>
      </c>
      <c r="R18" s="1245" t="s">
        <v>1950</v>
      </c>
      <c r="S18" s="1245" t="s">
        <v>1951</v>
      </c>
    </row>
    <row r="19" spans="1:19">
      <c r="A19" s="2254"/>
      <c r="B19" s="49" t="s">
        <v>1924</v>
      </c>
      <c r="C19" s="2971" t="s">
        <v>3165</v>
      </c>
      <c r="D19" s="47">
        <f>ROUND($D$3*E19/$E$3,2)</f>
        <v>130.66999999999999</v>
      </c>
      <c r="E19" s="55">
        <f t="shared" ref="E19:E26" si="1">SUM(F19:G19)</f>
        <v>148.57</v>
      </c>
      <c r="F19" s="56">
        <f>'数据-基础表'!I13</f>
        <v>148.57</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130.66999999999999</v>
      </c>
      <c r="S19" s="1246">
        <f t="shared" si="5"/>
        <v>148.57</v>
      </c>
    </row>
    <row r="20" spans="1:19">
      <c r="A20" s="2258"/>
      <c r="B20" s="49" t="s">
        <v>1952</v>
      </c>
      <c r="C20" s="2971" t="s">
        <v>3166</v>
      </c>
      <c r="D20" s="47">
        <f t="shared" ref="D20:D26" si="6">ROUND($D$3*E20/$E$3,2)</f>
        <v>917.47</v>
      </c>
      <c r="E20" s="55">
        <f t="shared" si="1"/>
        <v>1043.1300000000001</v>
      </c>
      <c r="F20" s="56">
        <f>'数据-基础表'!K44</f>
        <v>1043.1300000000001</v>
      </c>
      <c r="G20" s="57"/>
      <c r="H20" s="721">
        <f t="shared" ref="H20:H26" si="7">ROUND($D$3*I20/$E$3,2)</f>
        <v>0</v>
      </c>
      <c r="I20" s="50">
        <f t="shared" si="2"/>
        <v>0</v>
      </c>
      <c r="J20" s="1390"/>
      <c r="K20" s="1389">
        <f t="shared" si="3"/>
        <v>0</v>
      </c>
      <c r="L20" s="1245">
        <f t="shared" si="4"/>
        <v>0</v>
      </c>
      <c r="M20" s="1401">
        <f t="shared" ref="M20:M26" si="8">K20+L20</f>
        <v>0</v>
      </c>
      <c r="N20" s="2256"/>
      <c r="O20" s="2257"/>
      <c r="P20" s="1401">
        <f t="shared" ref="P20:P26" si="9">N20+O20</f>
        <v>0</v>
      </c>
      <c r="R20" s="1245">
        <f t="shared" si="5"/>
        <v>917.47</v>
      </c>
      <c r="S20" s="1246">
        <f t="shared" si="5"/>
        <v>1043.1300000000001</v>
      </c>
    </row>
    <row r="21" spans="1:19">
      <c r="A21" s="2258"/>
      <c r="B21" s="49" t="s">
        <v>1952</v>
      </c>
      <c r="C21" s="2255"/>
      <c r="D21" s="47">
        <f t="shared" si="6"/>
        <v>0</v>
      </c>
      <c r="E21" s="55">
        <f t="shared" si="1"/>
        <v>0</v>
      </c>
      <c r="F21" s="56"/>
      <c r="G21" s="57"/>
      <c r="H21" s="721">
        <f t="shared" si="7"/>
        <v>0</v>
      </c>
      <c r="I21" s="50">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49" t="s">
        <v>1952</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49" t="s">
        <v>1952</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49" t="s">
        <v>1952</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49" t="s">
        <v>1952</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49" t="s">
        <v>1952</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7"/>
      <c r="C27" s="2261" t="s">
        <v>1953</v>
      </c>
      <c r="D27" s="1391">
        <f>SUM(D19:D26)</f>
        <v>1048.1400000000001</v>
      </c>
      <c r="E27" s="1392">
        <f>IF(SUM(E19:E26)='数据-基础表'!BA5,SUM(E19:E26),IF(F27="地上面积有误","面积有误","地下面积有误"))</f>
        <v>1191.7</v>
      </c>
      <c r="F27" s="1391">
        <f>IF(SUM(F19:F26)=E8,SUM(F19:F26),"地上面积有误")</f>
        <v>1191.7</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1048.1400000000001</v>
      </c>
      <c r="S27" s="1245">
        <f>IF(SUM(S19:S26)=$E$3,SUM(S19:S26),SUM(S19:S26)&amp;"误差"&amp;ROUND(SUM(S19:S26)-E3,2))</f>
        <v>1191.7</v>
      </c>
    </row>
    <row r="28" spans="1:19">
      <c r="A28" s="2258"/>
      <c r="B28" s="49" t="s">
        <v>1954</v>
      </c>
      <c r="C28" s="1257" t="s">
        <v>1955</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49" t="s">
        <v>1954</v>
      </c>
      <c r="C29" s="2262" t="s">
        <v>1956</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49"/>
      <c r="C30" s="2263" t="s">
        <v>1953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1957</v>
      </c>
      <c r="D31" s="727">
        <f>D27+D30</f>
        <v>1048.1400000000001</v>
      </c>
      <c r="E31" s="727">
        <f>E27+E30</f>
        <v>1191.7</v>
      </c>
      <c r="F31" s="728">
        <f>F27+F30</f>
        <v>1191.7</v>
      </c>
      <c r="G31" s="729">
        <f>G27+G30</f>
        <v>0</v>
      </c>
      <c r="H31" s="1390"/>
      <c r="I31" s="1390"/>
      <c r="J31" s="1390"/>
      <c r="K31" s="1390"/>
      <c r="L31" s="1390"/>
      <c r="M31" s="1390"/>
      <c r="N31" s="1390"/>
      <c r="O31" s="1390"/>
      <c r="P31" s="1390"/>
    </row>
    <row r="32" spans="1:19">
      <c r="A32" s="2228"/>
      <c r="B32" s="2228" t="s">
        <v>1958</v>
      </c>
      <c r="C32" s="2228"/>
      <c r="D32" s="2228"/>
      <c r="E32" s="1272">
        <f>SUMIF(C19:C26,"*住宅*",E19:E26)</f>
        <v>148.57</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56" sqref="B5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1959</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1" t="s">
        <v>1960</v>
      </c>
      <c r="B2" s="1264">
        <f>项目基本情况!D3</f>
        <v>43969</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7" t="s">
        <v>1961</v>
      </c>
      <c r="B4" s="2276"/>
      <c r="C4" s="2277"/>
      <c r="D4" s="2278"/>
      <c r="E4" s="2277" t="s">
        <v>1962</v>
      </c>
      <c r="F4" s="2277"/>
      <c r="G4" s="2277"/>
      <c r="H4" s="2277"/>
      <c r="I4" s="2277"/>
      <c r="J4" s="2279"/>
      <c r="K4" s="2280"/>
      <c r="L4" s="2281"/>
      <c r="M4" s="2277"/>
      <c r="N4" s="2277" t="s">
        <v>1963</v>
      </c>
      <c r="O4" s="2277"/>
      <c r="P4" s="2277"/>
      <c r="Q4" s="2277"/>
      <c r="R4" s="2277"/>
      <c r="S4" s="2279"/>
      <c r="T4" s="2282" t="str">
        <f>'数据-汇总表'!I17</f>
        <v>按面积比例</v>
      </c>
      <c r="U4" s="2276" t="s">
        <v>1964</v>
      </c>
      <c r="V4" s="2277"/>
      <c r="W4" s="2277"/>
      <c r="X4" s="2277"/>
      <c r="Y4" s="2279"/>
      <c r="Z4" s="2239" t="s">
        <v>1965</v>
      </c>
      <c r="AA4" s="2239"/>
      <c r="AB4" s="2239"/>
      <c r="AC4" s="2239"/>
      <c r="AD4" s="2239"/>
      <c r="AE4" s="2237" t="s">
        <v>1966</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1967</v>
      </c>
      <c r="B5" s="2285" t="s">
        <v>1968</v>
      </c>
      <c r="C5" s="2286" t="s">
        <v>1969</v>
      </c>
      <c r="D5" s="2287" t="s">
        <v>1970</v>
      </c>
      <c r="E5" s="1266" t="s">
        <v>1971</v>
      </c>
      <c r="F5" s="2288" t="s">
        <v>1972</v>
      </c>
      <c r="G5" s="1266" t="s">
        <v>1973</v>
      </c>
      <c r="H5" s="1266" t="s">
        <v>1974</v>
      </c>
      <c r="I5" s="1266" t="s">
        <v>1975</v>
      </c>
      <c r="J5" s="2289" t="s">
        <v>1976</v>
      </c>
      <c r="K5" s="2290" t="s">
        <v>1977</v>
      </c>
      <c r="L5" s="2291" t="s">
        <v>1978</v>
      </c>
      <c r="M5" s="2292" t="s">
        <v>1979</v>
      </c>
      <c r="N5" s="2293" t="s">
        <v>3182</v>
      </c>
      <c r="O5" s="2291" t="s">
        <v>1980</v>
      </c>
      <c r="P5" s="2294" t="s">
        <v>1981</v>
      </c>
      <c r="Q5" s="68" t="s">
        <v>1982</v>
      </c>
      <c r="R5" s="2295" t="s">
        <v>1983</v>
      </c>
      <c r="S5" s="2296" t="s">
        <v>1984</v>
      </c>
      <c r="T5" s="2297" t="s">
        <v>1985</v>
      </c>
      <c r="U5" s="1265" t="s">
        <v>1986</v>
      </c>
      <c r="V5" s="1266" t="s">
        <v>1987</v>
      </c>
      <c r="W5" s="1266" t="s">
        <v>1988</v>
      </c>
      <c r="X5" s="70"/>
      <c r="Y5" s="69" t="s">
        <v>1989</v>
      </c>
      <c r="Z5" s="2298" t="s">
        <v>1986</v>
      </c>
      <c r="AA5" s="1266" t="s">
        <v>1987</v>
      </c>
      <c r="AB5" s="1266" t="s">
        <v>1988</v>
      </c>
      <c r="AC5" s="70"/>
      <c r="AD5" s="70" t="s">
        <v>1989</v>
      </c>
      <c r="AE5" s="1265" t="s">
        <v>1990</v>
      </c>
      <c r="AF5" s="1266" t="s">
        <v>1991</v>
      </c>
      <c r="AG5" s="69" t="s">
        <v>1992</v>
      </c>
      <c r="AH5" s="1265" t="s">
        <v>1993</v>
      </c>
      <c r="AI5" s="2298" t="s">
        <v>1994</v>
      </c>
      <c r="AJ5" s="2298" t="s">
        <v>1995</v>
      </c>
      <c r="AK5" s="1266" t="s">
        <v>1996</v>
      </c>
      <c r="AL5" s="1266" t="s">
        <v>1997</v>
      </c>
      <c r="AM5" s="69" t="s">
        <v>1998</v>
      </c>
      <c r="AN5" s="2299" t="s">
        <v>1999</v>
      </c>
      <c r="AO5" s="2069" t="s">
        <v>2000</v>
      </c>
      <c r="AP5" s="1247" t="s">
        <v>2001</v>
      </c>
      <c r="AQ5" s="2300" t="s">
        <v>2002</v>
      </c>
      <c r="AR5" s="2300" t="s">
        <v>2003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住宅</v>
      </c>
      <c r="B6" s="2302" t="str">
        <f>IF(A6=0,"","经营性")</f>
        <v>经营性</v>
      </c>
      <c r="C6" s="2303" t="s">
        <v>3077</v>
      </c>
      <c r="D6" s="1049">
        <f>SUMIF(项目基本情况!D$12:I$12,C6,项目基本情况!D$14:I$14)</f>
        <v>70</v>
      </c>
      <c r="E6" s="1046">
        <f>IF(B6="","",SUMIF(项目基本情况!D$12:I$12,C6,项目基本情况!D$13:I$13))</f>
        <v>62710</v>
      </c>
      <c r="F6" s="71">
        <f>SUMIF(项目基本情况!D$12:I$12,C6,项目基本情况!D$15:I$15)</f>
        <v>51.34</v>
      </c>
      <c r="G6" s="72">
        <f>IF(ISERROR(ROUND(POWER(1+H6,D6-F6)*(POWER(1+H6,F6)-1)/(POWER(1+H6,D6)-1),3)),0,ROUND(POWER(1+H6,D6-F6)*(POWER(1+H6,F6)-1)/(POWER(1+H6,D6)-1),3))</f>
        <v>0.93899999999999995</v>
      </c>
      <c r="H6" s="800">
        <v>4.4999999999999998E-2</v>
      </c>
      <c r="I6" s="800">
        <v>0.05</v>
      </c>
      <c r="J6" s="73">
        <v>8.5000000000000006E-2</v>
      </c>
      <c r="K6" s="1249">
        <f>SUMIF('数据-汇总表'!C$19:C$33,A6,'数据-汇总表'!E$19:E$33)</f>
        <v>148.57</v>
      </c>
      <c r="L6" s="801">
        <v>3500</v>
      </c>
      <c r="M6" s="74">
        <f t="shared" ref="M6:M14" si="0">ROUND(K6*L6/10000,0)</f>
        <v>52</v>
      </c>
      <c r="N6" s="799">
        <f>N20</f>
        <v>0.8</v>
      </c>
      <c r="O6" s="74" t="str">
        <f>IF($N$5="成新度","——",ROUND(M6*N6,0))</f>
        <v>——</v>
      </c>
      <c r="P6" s="75" t="str">
        <f>IF($N$5="成新度","——",M6-O6)</f>
        <v>——</v>
      </c>
      <c r="Q6" s="802">
        <v>0.2</v>
      </c>
      <c r="R6" s="76">
        <f ca="1">SUMIF('数据-汇总表'!C$19:C$33,A6,'数据-汇总表'!R$19:R$27)</f>
        <v>130.66999999999999</v>
      </c>
      <c r="S6" s="53">
        <f>IF('数据-汇总表'!$I$17="按面积比例",SUMIF('数据-汇总表'!C$19:C$33,A6,'数据-汇总表'!K$19:K$33),SUMIF('数据-汇总表'!C$19:C$33,A6,'数据-汇总表'!N$19:N$33))</f>
        <v>0</v>
      </c>
      <c r="T6" s="1441">
        <f>ROUND($L$14*S6/10000,0)</f>
        <v>0</v>
      </c>
      <c r="U6" s="77">
        <v>4</v>
      </c>
      <c r="V6" s="78">
        <v>2.5000000000000001E-2</v>
      </c>
      <c r="W6" s="78">
        <v>0.1</v>
      </c>
      <c r="X6" s="1259"/>
      <c r="Y6" s="79">
        <f>N6</f>
        <v>0.8</v>
      </c>
      <c r="Z6" s="80"/>
      <c r="AA6" s="73"/>
      <c r="AB6" s="73"/>
      <c r="AC6" s="1259"/>
      <c r="AD6" s="81"/>
      <c r="AE6" s="1260">
        <f ca="1">IF(AN6="",0,SUMIF(INDIRECT("'"&amp;AN6&amp;"'"&amp;"!E:E"),$AE$5,INDIRECT("'"&amp;AN6&amp;"'"&amp;"!F:F")))</f>
        <v>51.34</v>
      </c>
      <c r="AF6" s="1802"/>
      <c r="AG6" s="146">
        <f>IF(AF6="",0,AE6-AF6)</f>
        <v>0</v>
      </c>
      <c r="AH6" s="82"/>
      <c r="AI6" s="84">
        <v>365</v>
      </c>
      <c r="AJ6" s="85"/>
      <c r="AK6" s="86">
        <v>1.4999999999999999E-2</v>
      </c>
      <c r="AL6" s="87">
        <v>1.5E-3</v>
      </c>
      <c r="AM6" s="88">
        <v>0.01</v>
      </c>
      <c r="AN6" s="2304" t="s">
        <v>3186</v>
      </c>
      <c r="AO6" s="54">
        <f ca="1">SUMIF(INDIRECT("'"&amp;AN6&amp;"'"&amp;"!A:A"),"总价",INDIRECT("'"&amp;AN6&amp;"'"&amp;"!B:B"))</f>
        <v>412</v>
      </c>
      <c r="AP6" s="2305">
        <f>IF(C6="住宅",K6*L6,0)</f>
        <v>519995</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办公</v>
      </c>
      <c r="B7" s="2302" t="str">
        <f t="shared" ref="B7:B13" si="1">IF(A7=0,"","经营性")</f>
        <v>经营性</v>
      </c>
      <c r="C7" s="2303" t="s">
        <v>27</v>
      </c>
      <c r="D7" s="1049">
        <f>SUMIF(项目基本情况!D$12:I$12,C7,项目基本情况!D$14:I$14)</f>
        <v>50</v>
      </c>
      <c r="E7" s="1046">
        <f>IF(B7="","",SUMIF(项目基本情况!D$12:I$12,C7,项目基本情况!D$13:I$13))</f>
        <v>57293</v>
      </c>
      <c r="F7" s="71">
        <f>SUMIF(项目基本情况!D$12:I$12,C7,项目基本情况!D$15:I$15)</f>
        <v>36.5</v>
      </c>
      <c r="G7" s="72">
        <f t="shared" ref="G7:G11" si="2">IF(ISERROR(ROUND(POWER(1+H7,D7-F7)*(POWER(1+H7,F7)-1)/(POWER(1+H7,D7)-1),3)),0,ROUND(POWER(1+H7,D7-F7)*(POWER(1+H7,F7)-1)/(POWER(1+H7,D7)-1),3))</f>
        <v>0.91100000000000003</v>
      </c>
      <c r="H7" s="800">
        <v>0.05</v>
      </c>
      <c r="I7" s="800">
        <v>5.5E-2</v>
      </c>
      <c r="J7" s="73">
        <f>J6</f>
        <v>8.5000000000000006E-2</v>
      </c>
      <c r="K7" s="1249">
        <f>SUMIF('数据-汇总表'!C$19:C$33,A7,'数据-汇总表'!E$19:E$33)</f>
        <v>1043.1300000000001</v>
      </c>
      <c r="L7" s="801">
        <f>L6</f>
        <v>3500</v>
      </c>
      <c r="M7" s="74">
        <f t="shared" si="0"/>
        <v>365</v>
      </c>
      <c r="N7" s="799">
        <f>O18</f>
        <v>0.9</v>
      </c>
      <c r="O7" s="74" t="str">
        <f t="shared" ref="O7:O14" si="3">IF($N$5="成新度","——",ROUND(M7*N7,0))</f>
        <v>——</v>
      </c>
      <c r="P7" s="75" t="str">
        <f t="shared" ref="P7:P14" si="4">IF($N$5="成新度","——",M7-O7)</f>
        <v>——</v>
      </c>
      <c r="Q7" s="802">
        <f>Q6</f>
        <v>0.2</v>
      </c>
      <c r="R7" s="76">
        <f ca="1">SUMIF('数据-汇总表'!C$19:C$33,A7,'数据-汇总表'!R$19:R$27)</f>
        <v>917.47</v>
      </c>
      <c r="S7" s="53">
        <f>IF('数据-汇总表'!$I$17="按面积比例",SUMIF('数据-汇总表'!C$19:C$33,A7,'数据-汇总表'!K$19:K$33),SUMIF('数据-汇总表'!C$19:C$33,A7,'数据-汇总表'!N$19:N$33))</f>
        <v>0</v>
      </c>
      <c r="T7" s="1441">
        <f t="shared" ref="T7:T13" si="5">ROUND($L$14*S7/10000,0)</f>
        <v>0</v>
      </c>
      <c r="U7" s="77">
        <v>7</v>
      </c>
      <c r="V7" s="78">
        <v>2.5000000000000001E-2</v>
      </c>
      <c r="W7" s="78">
        <f>W6</f>
        <v>0.1</v>
      </c>
      <c r="X7" s="1259"/>
      <c r="Y7" s="79">
        <f>N7</f>
        <v>0.9</v>
      </c>
      <c r="Z7" s="80"/>
      <c r="AA7" s="73"/>
      <c r="AB7" s="73"/>
      <c r="AC7" s="1259"/>
      <c r="AD7" s="81"/>
      <c r="AE7" s="1260">
        <f t="shared" ref="AE7:AE13" ca="1" si="6">IF(AN7="",0,SUMIF(INDIRECT("'"&amp;AN7&amp;"'"&amp;"!E:E"),$AE$5,INDIRECT("'"&amp;AN7&amp;"'"&amp;"!F:F")))</f>
        <v>36.5</v>
      </c>
      <c r="AF7" s="1802"/>
      <c r="AG7" s="146">
        <f t="shared" ref="AG7:AG13" si="7">IF(AF7="",0,AE7-AF7)</f>
        <v>0</v>
      </c>
      <c r="AH7" s="82"/>
      <c r="AI7" s="84">
        <v>365</v>
      </c>
      <c r="AJ7" s="85"/>
      <c r="AK7" s="86">
        <f>AK6</f>
        <v>1.4999999999999999E-2</v>
      </c>
      <c r="AL7" s="87">
        <f>AL6</f>
        <v>1.5E-3</v>
      </c>
      <c r="AM7" s="88">
        <f>AM6</f>
        <v>0.01</v>
      </c>
      <c r="AN7" s="2304" t="s">
        <v>3180</v>
      </c>
      <c r="AO7" s="54">
        <f t="shared" ref="AO7:AO13" ca="1" si="8">SUMIF(INDIRECT("'"&amp;AN7&amp;"'"&amp;"!A:A"),"总价",INDIRECT("'"&amp;AN7&amp;"'"&amp;"!B:B"))</f>
        <v>4058</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f>'数据-汇总表'!C21</f>
        <v>0</v>
      </c>
      <c r="B8" s="2302" t="str">
        <f t="shared" si="1"/>
        <v/>
      </c>
      <c r="C8" s="2303"/>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07"/>
      <c r="AL8" s="808"/>
      <c r="AM8" s="809"/>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2004</v>
      </c>
      <c r="B14" s="2302" t="s">
        <v>2005</v>
      </c>
      <c r="C14" s="2307" t="s">
        <v>2004</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2006</v>
      </c>
      <c r="B15" s="2302" t="s">
        <v>2005</v>
      </c>
      <c r="C15" s="2307" t="s">
        <v>2007</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2008</v>
      </c>
      <c r="B16" s="96"/>
      <c r="C16" s="1003"/>
      <c r="D16" s="2309"/>
      <c r="E16" s="96"/>
      <c r="F16" s="96"/>
      <c r="G16" s="97">
        <f>ROUND(SUMPRODUCT(G6:G13,K6:K13)/SUMPRODUCT((G6:G13&gt;0)*(K6:K13)),3)</f>
        <v>0.91400000000000003</v>
      </c>
      <c r="H16" s="98">
        <f>ROUND(SUMPRODUCT(H6:H13,K6:K13)/SUMPRODUCT((H6:H13&gt;0)*(K6:K13)),3)</f>
        <v>4.9000000000000002E-2</v>
      </c>
      <c r="I16" s="99"/>
      <c r="J16" s="99"/>
      <c r="K16" s="100">
        <f>SUM(K6:K15)</f>
        <v>1191.7</v>
      </c>
      <c r="L16" s="101">
        <f>ROUND(M16*10000/SUM(K6:K14),0)</f>
        <v>3499</v>
      </c>
      <c r="M16" s="101">
        <f>SUM(M6:M14)</f>
        <v>417</v>
      </c>
      <c r="N16" s="102">
        <f>ROUND(SUMPRODUCT(M6:M14,N6:N14)/M16,3)</f>
        <v>0.88800000000000001</v>
      </c>
      <c r="O16" s="101">
        <f>SUM(O6:O14)</f>
        <v>0</v>
      </c>
      <c r="P16" s="101">
        <f>SUM(P6:P14)</f>
        <v>0</v>
      </c>
      <c r="Q16" s="103">
        <f>ROUND(SUMPRODUCT(Q6:Q13,K6:K13)/SUMPRODUCT((Q6:Q13&gt;0)*(K6:K13)),2)</f>
        <v>0.2</v>
      </c>
      <c r="R16" s="1253">
        <f ca="1">SUM(R6:R13)</f>
        <v>1048.1400000000001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2009</v>
      </c>
      <c r="B18" s="2275"/>
      <c r="C18" s="2272"/>
      <c r="D18" s="2273"/>
      <c r="E18" s="2272"/>
      <c r="F18" s="2272"/>
      <c r="G18" s="2272"/>
      <c r="H18" s="2272"/>
      <c r="I18" s="2272"/>
      <c r="J18" s="2272"/>
      <c r="K18" s="167"/>
      <c r="L18" s="167"/>
      <c r="M18" s="1579"/>
      <c r="N18" s="1579">
        <f>ROUND(1-(2020-2003)/60,2)</f>
        <v>0.72</v>
      </c>
      <c r="O18" s="3374">
        <f>ROUND(1-(2020-2014)/60,2)</f>
        <v>0.9</v>
      </c>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2010</v>
      </c>
      <c r="B19" s="111">
        <v>0</v>
      </c>
      <c r="C19" s="2272" t="s">
        <v>2011</v>
      </c>
      <c r="D19" s="2273"/>
      <c r="E19" s="2272"/>
      <c r="F19" s="2272"/>
      <c r="G19" s="2272"/>
      <c r="H19" s="2272"/>
      <c r="I19" s="2272"/>
      <c r="J19" s="2272"/>
      <c r="K19" s="167"/>
      <c r="L19" s="167"/>
      <c r="M19" s="1579"/>
      <c r="N19" s="3374">
        <v>0.88</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2012</v>
      </c>
      <c r="B20" s="112">
        <v>2</v>
      </c>
      <c r="C20" s="2272" t="s">
        <v>2013</v>
      </c>
      <c r="D20" s="2273"/>
      <c r="E20" s="2272"/>
      <c r="F20" s="2272"/>
      <c r="G20" s="2272"/>
      <c r="H20" s="2272"/>
      <c r="I20" s="2272"/>
      <c r="J20" s="2272"/>
      <c r="K20" s="167"/>
      <c r="L20" s="167"/>
      <c r="M20" s="1579"/>
      <c r="N20" s="1579">
        <f>ROUND((N18+N19)/2,2)</f>
        <v>0.8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2014</v>
      </c>
      <c r="B21" s="112">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2015</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2016</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2017</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2018</v>
      </c>
      <c r="B26" s="2315" t="s">
        <v>2019</v>
      </c>
      <c r="C26" s="2316" t="s">
        <v>2020</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2021</v>
      </c>
      <c r="B27" s="115">
        <v>160</v>
      </c>
      <c r="C27" s="1762" t="s">
        <v>2022</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2023</v>
      </c>
      <c r="B28" s="118">
        <v>200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2024</v>
      </c>
      <c r="B29" s="120"/>
      <c r="C29" s="1762" t="s">
        <v>2025</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2026</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2027</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2028</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2029</v>
      </c>
      <c r="B33" s="724">
        <v>0.03</v>
      </c>
      <c r="C33" s="1761" t="s">
        <v>2030</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2031</v>
      </c>
      <c r="B34" s="121">
        <v>0.05</v>
      </c>
      <c r="C34" s="1761" t="s">
        <v>2032</v>
      </c>
      <c r="D34" s="2273" t="s">
        <v>2033</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2034</v>
      </c>
      <c r="B35" s="118">
        <v>200</v>
      </c>
      <c r="C35" s="1761" t="s">
        <v>2035</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2036</v>
      </c>
      <c r="B36" s="122">
        <v>1.4999999999999999E-2</v>
      </c>
      <c r="C36" s="1761" t="s">
        <v>2037</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2038</v>
      </c>
      <c r="B37" s="123">
        <v>0.02</v>
      </c>
      <c r="C37" s="1761" t="s">
        <v>2039</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2040</v>
      </c>
      <c r="B38" s="121">
        <v>0.02</v>
      </c>
      <c r="C38" s="1761" t="s">
        <v>2039</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2041</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2042</v>
      </c>
      <c r="B40" s="1298">
        <f ca="1">存贷款利率!G1</f>
        <v>4.7500000000000001E-2</v>
      </c>
      <c r="C40" s="1761" t="s">
        <v>2043</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2044</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2045</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2046</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2047</v>
      </c>
      <c r="B44" s="127">
        <v>7.0000000000000007E-2</v>
      </c>
      <c r="C44" s="1761" t="s">
        <v>2048</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2049</v>
      </c>
      <c r="B45" s="125">
        <v>0.03</v>
      </c>
      <c r="C45" s="1762" t="s">
        <v>2050</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2051</v>
      </c>
      <c r="B46" s="125">
        <v>0.02</v>
      </c>
      <c r="C46" s="1762" t="s">
        <v>2052</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2053</v>
      </c>
      <c r="B47" s="128"/>
      <c r="C47" s="1762" t="s">
        <v>2054</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2055</v>
      </c>
      <c r="B48" s="129">
        <v>0.03</v>
      </c>
      <c r="C48" s="1769" t="s">
        <v>2056</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2057</v>
      </c>
      <c r="B49" s="125">
        <v>5.0000000000000001E-4</v>
      </c>
      <c r="C49" s="1769" t="s">
        <v>2058</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2059</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2060</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2061</v>
      </c>
      <c r="B52" s="132">
        <f>SUMIF(A54:A63,B53,B54:B63)</f>
        <v>18</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2062</v>
      </c>
      <c r="B53" s="2331" t="s">
        <v>442</v>
      </c>
      <c r="C53" s="1425" t="s">
        <v>2063</v>
      </c>
      <c r="D53" s="2332" t="s">
        <v>2064</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2065</v>
      </c>
      <c r="B54" s="83"/>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2066</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2067</v>
      </c>
      <c r="B56" s="83">
        <v>18</v>
      </c>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2068</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2069</v>
      </c>
      <c r="B58" s="83"/>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2070</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2071</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2072</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2073</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2074</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24" t="s">
        <v>2075</v>
      </c>
      <c r="B1" s="3125"/>
      <c r="C1" s="3125"/>
      <c r="D1" s="3125"/>
      <c r="E1" s="3125"/>
      <c r="F1" s="3125"/>
      <c r="G1" s="312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2076</v>
      </c>
      <c r="D2" s="2360"/>
      <c r="E2" s="2361"/>
      <c r="F2" s="2281"/>
      <c r="G2" s="2359" t="s">
        <v>2077</v>
      </c>
      <c r="H2" s="2362"/>
      <c r="I2" s="2362"/>
      <c r="J2" s="2362"/>
      <c r="K2" s="2362"/>
      <c r="L2" s="2362"/>
      <c r="M2" s="2362"/>
      <c r="N2" s="2362"/>
      <c r="O2" s="2362"/>
      <c r="P2" s="2362"/>
      <c r="Q2" s="2362"/>
      <c r="R2" s="2362"/>
    </row>
    <row r="3" spans="1:29" ht="42.75">
      <c r="A3" s="414" t="s">
        <v>2078</v>
      </c>
      <c r="B3" s="1266" t="s">
        <v>2079</v>
      </c>
      <c r="C3" s="2973" t="s">
        <v>3174</v>
      </c>
      <c r="D3" s="2364"/>
      <c r="E3" s="430" t="s">
        <v>2078</v>
      </c>
      <c r="F3" s="2365" t="s">
        <v>2080</v>
      </c>
      <c r="G3" s="2366" t="s">
        <v>2081</v>
      </c>
      <c r="H3" s="2362"/>
      <c r="I3" s="2362"/>
      <c r="J3" s="2362"/>
      <c r="K3" s="2362"/>
      <c r="L3" s="2362"/>
      <c r="M3" s="2362"/>
      <c r="N3" s="2362"/>
      <c r="O3" s="2362"/>
      <c r="P3" s="2362"/>
      <c r="Q3" s="2362"/>
      <c r="R3" s="2362"/>
    </row>
    <row r="4" spans="1:29" ht="41.25">
      <c r="A4" s="430"/>
      <c r="B4" s="1793" t="s">
        <v>2082</v>
      </c>
      <c r="C4" s="2367" t="s">
        <v>2083</v>
      </c>
      <c r="D4" s="2364"/>
      <c r="E4" s="2368"/>
      <c r="F4" s="41" t="s">
        <v>2084</v>
      </c>
      <c r="G4" s="2369" t="s">
        <v>2085</v>
      </c>
      <c r="H4" s="2362"/>
      <c r="I4" s="2362"/>
      <c r="J4" s="2362"/>
      <c r="K4" s="2362"/>
      <c r="L4" s="2362"/>
      <c r="M4" s="2362"/>
      <c r="N4" s="2362"/>
      <c r="O4" s="2362"/>
      <c r="P4" s="2362"/>
      <c r="Q4" s="2362"/>
      <c r="R4" s="2362"/>
    </row>
    <row r="5" spans="1:29" ht="27">
      <c r="A5" s="430"/>
      <c r="B5" s="1793" t="s">
        <v>2086</v>
      </c>
      <c r="C5" s="2974" t="s">
        <v>3175</v>
      </c>
      <c r="D5" s="2364"/>
      <c r="E5" s="2368"/>
      <c r="F5" s="1793" t="s">
        <v>2087</v>
      </c>
      <c r="G5" s="2369" t="s">
        <v>2088</v>
      </c>
      <c r="H5" s="2362"/>
      <c r="I5" s="2362"/>
      <c r="J5" s="2362"/>
      <c r="K5" s="2362"/>
      <c r="L5" s="2362"/>
      <c r="M5" s="2362"/>
      <c r="N5" s="2362"/>
      <c r="O5" s="2362"/>
      <c r="P5" s="2362"/>
      <c r="Q5" s="2362"/>
      <c r="R5" s="2362"/>
    </row>
    <row r="6" spans="1:29" ht="15">
      <c r="A6" s="430"/>
      <c r="B6" s="1793" t="s">
        <v>2089</v>
      </c>
      <c r="C6" s="2975" t="s">
        <v>3176</v>
      </c>
      <c r="D6" s="2364"/>
      <c r="E6" s="2368"/>
      <c r="F6" s="1793" t="s">
        <v>2090</v>
      </c>
      <c r="G6" s="2369" t="s">
        <v>2091</v>
      </c>
      <c r="H6" s="2362"/>
      <c r="I6" s="2362"/>
      <c r="J6" s="2362"/>
      <c r="K6" s="2362"/>
      <c r="L6" s="2362"/>
      <c r="M6" s="2362"/>
      <c r="N6" s="2362"/>
      <c r="O6" s="2362"/>
      <c r="P6" s="2362"/>
      <c r="Q6" s="2362"/>
      <c r="R6" s="2362"/>
    </row>
    <row r="7" spans="1:29" ht="41.25" thickBot="1">
      <c r="A7" s="430"/>
      <c r="B7" s="1793" t="s">
        <v>2087</v>
      </c>
      <c r="C7" s="2975" t="s">
        <v>3176</v>
      </c>
      <c r="D7" s="2370"/>
      <c r="E7" s="2371"/>
      <c r="F7" s="2372" t="s">
        <v>2092</v>
      </c>
      <c r="G7" s="2373" t="s">
        <v>2093</v>
      </c>
      <c r="H7" s="2362"/>
      <c r="I7" s="2362"/>
      <c r="J7" s="2362"/>
      <c r="K7" s="2362"/>
      <c r="L7" s="2362"/>
      <c r="M7" s="2362"/>
      <c r="N7" s="2362"/>
      <c r="O7" s="2362"/>
      <c r="P7" s="2362"/>
      <c r="Q7" s="2362"/>
      <c r="R7" s="2362"/>
    </row>
    <row r="8" spans="1:29" ht="15">
      <c r="A8" s="430"/>
      <c r="B8" s="1793" t="s">
        <v>2090</v>
      </c>
      <c r="C8" s="2975" t="s">
        <v>3178</v>
      </c>
      <c r="D8" s="2370"/>
      <c r="E8" s="2370"/>
      <c r="F8" s="1131"/>
      <c r="G8" s="1131"/>
      <c r="H8" s="2362"/>
      <c r="I8" s="2362"/>
      <c r="J8" s="2362"/>
      <c r="K8" s="2362"/>
      <c r="L8" s="2362"/>
      <c r="M8" s="2362"/>
      <c r="N8" s="2362"/>
      <c r="O8" s="2362"/>
      <c r="P8" s="2362"/>
      <c r="Q8" s="2362"/>
      <c r="R8" s="2362"/>
    </row>
    <row r="9" spans="1:29" ht="15">
      <c r="A9" s="430"/>
      <c r="B9" s="1793" t="s">
        <v>2094</v>
      </c>
      <c r="C9" s="2974" t="s">
        <v>3176</v>
      </c>
      <c r="D9" s="2364"/>
      <c r="E9" s="2370"/>
      <c r="F9" s="1131"/>
      <c r="G9" s="1131"/>
      <c r="H9" s="2362"/>
      <c r="I9" s="2362"/>
      <c r="J9" s="2362"/>
      <c r="K9" s="2362"/>
      <c r="L9" s="2362"/>
      <c r="M9" s="2362"/>
      <c r="N9" s="2362"/>
      <c r="O9" s="2362"/>
      <c r="P9" s="2362"/>
      <c r="Q9" s="2362"/>
      <c r="R9" s="2362"/>
    </row>
    <row r="10" spans="1:29" s="116" customFormat="1" ht="15.75" thickBot="1">
      <c r="A10" s="2374"/>
      <c r="B10" s="2375" t="s">
        <v>2095</v>
      </c>
      <c r="C10" s="2376" t="s">
        <v>3179</v>
      </c>
      <c r="D10" s="2364"/>
      <c r="E10" s="2364"/>
      <c r="F10" s="1131"/>
      <c r="G10" s="1131"/>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ht="15">
      <c r="A11" s="2380"/>
      <c r="B11" s="2370"/>
      <c r="C11" s="2364"/>
      <c r="D11" s="2364"/>
      <c r="E11" s="2364"/>
      <c r="F11" s="2370"/>
      <c r="G11" s="1149"/>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49"/>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2096</v>
      </c>
      <c r="B13" s="2381"/>
      <c r="C13" s="2381"/>
      <c r="D13" s="2388"/>
      <c r="E13" s="2381"/>
      <c r="F13" s="2381"/>
      <c r="G13" s="2381"/>
    </row>
    <row r="14" spans="1:29" ht="15.75" thickBot="1">
      <c r="A14" s="2392"/>
      <c r="B14" s="2393"/>
      <c r="C14" s="2394" t="s">
        <v>2097</v>
      </c>
      <c r="D14" s="2364"/>
      <c r="E14" s="2395"/>
      <c r="F14" s="2395"/>
      <c r="G14" s="2359" t="s">
        <v>2098</v>
      </c>
    </row>
    <row r="15" spans="1:29" ht="42.75">
      <c r="A15" s="67" t="s">
        <v>2099</v>
      </c>
      <c r="B15" s="1265" t="s">
        <v>2079</v>
      </c>
      <c r="C15" s="2396" t="str">
        <f>C3</f>
        <v>较好</v>
      </c>
      <c r="D15" s="2364"/>
      <c r="E15" s="2397" t="s">
        <v>2100</v>
      </c>
      <c r="F15" s="1265" t="s">
        <v>2101</v>
      </c>
      <c r="G15" s="134" t="str">
        <f>G3</f>
        <v>估价对象位于XX开发区，园区建设成熟度XX，产业集聚程度XX</v>
      </c>
    </row>
    <row r="16" spans="1:29" ht="42.75">
      <c r="A16" s="644"/>
      <c r="B16" s="2398" t="s">
        <v>2082</v>
      </c>
      <c r="C16" s="2399" t="str">
        <f>C4</f>
        <v>估价对象位于XX商圈，周边商业氛围成熟，人流量大，商业繁华度好</v>
      </c>
      <c r="D16" s="2364"/>
      <c r="E16" s="2400"/>
      <c r="F16" s="2401" t="s">
        <v>2084</v>
      </c>
      <c r="G16" s="135" t="str">
        <f>G4</f>
        <v>估价对象周边道路状况、公共交通通达情况、停车便捷程度，综合评价交通便捷度较好</v>
      </c>
    </row>
    <row r="17" spans="1:18" ht="15">
      <c r="A17" s="644"/>
      <c r="B17" s="2398" t="s">
        <v>2086</v>
      </c>
      <c r="C17" s="2399" t="str">
        <f>C5</f>
        <v>较好</v>
      </c>
      <c r="D17" s="2370"/>
      <c r="E17" s="2400"/>
      <c r="F17" s="2401" t="s">
        <v>2102</v>
      </c>
      <c r="G17" s="1567"/>
    </row>
    <row r="18" spans="1:18" ht="42.75">
      <c r="A18" s="644"/>
      <c r="B18" s="2401" t="s">
        <v>2089</v>
      </c>
      <c r="C18" s="135" t="str">
        <f>C6</f>
        <v>较好</v>
      </c>
      <c r="D18" s="2370"/>
      <c r="E18" s="2400"/>
      <c r="F18" s="2401" t="s">
        <v>2092</v>
      </c>
      <c r="G18" s="135" t="str">
        <f>G7</f>
        <v>该园区内是否有污染型企业，绿化情况，卫生条件，整体环境状况判断</v>
      </c>
    </row>
    <row r="19" spans="1:18" ht="28.5">
      <c r="A19" s="644"/>
      <c r="B19" s="2401" t="s">
        <v>2103</v>
      </c>
      <c r="C19" s="1567"/>
      <c r="D19" s="2364"/>
      <c r="E19" s="2400"/>
      <c r="F19" s="1793" t="s">
        <v>2087</v>
      </c>
      <c r="G19" s="135" t="str">
        <f>G5</f>
        <v>估价对象所在区域公共配套设施齐备情况</v>
      </c>
    </row>
    <row r="20" spans="1:18" ht="15">
      <c r="A20" s="644"/>
      <c r="B20" s="2401" t="s">
        <v>2104</v>
      </c>
      <c r="C20" s="2399" t="str">
        <f>C9</f>
        <v>较好</v>
      </c>
      <c r="D20" s="2370"/>
      <c r="E20" s="2400"/>
      <c r="F20" s="1793" t="s">
        <v>2105</v>
      </c>
      <c r="G20" s="135" t="str">
        <f>G6</f>
        <v>估价对象所在区域基础设施水平</v>
      </c>
    </row>
    <row r="21" spans="1:18" ht="15">
      <c r="A21" s="644"/>
      <c r="B21" s="1793" t="s">
        <v>2087</v>
      </c>
      <c r="C21" s="135" t="str">
        <f>C7</f>
        <v>较好</v>
      </c>
      <c r="D21" s="2364"/>
      <c r="E21" s="2400"/>
      <c r="F21" s="2401" t="s">
        <v>2106</v>
      </c>
      <c r="G21" s="2402"/>
    </row>
    <row r="22" spans="1:18" ht="13.5" customHeight="1">
      <c r="A22" s="644"/>
      <c r="B22" s="1793" t="s">
        <v>2090</v>
      </c>
      <c r="C22" s="135" t="str">
        <f>C8</f>
        <v>七通</v>
      </c>
      <c r="D22" s="2364"/>
      <c r="E22" s="2400"/>
      <c r="F22" s="2401" t="s">
        <v>2095</v>
      </c>
      <c r="G22" s="1567"/>
    </row>
    <row r="23" spans="1:18" s="2362" customFormat="1" ht="15.75" thickBot="1">
      <c r="A23" s="644"/>
      <c r="B23" s="2401" t="s">
        <v>2106</v>
      </c>
      <c r="C23" s="2402"/>
      <c r="D23" s="2389"/>
      <c r="E23" s="2403"/>
      <c r="F23" s="2404" t="s">
        <v>2107</v>
      </c>
      <c r="G23" s="2405"/>
      <c r="H23" s="2389"/>
      <c r="I23" s="2390"/>
      <c r="J23" s="2389"/>
      <c r="K23" s="2389"/>
      <c r="L23" s="2390"/>
      <c r="M23" s="2389"/>
      <c r="N23" s="2389"/>
      <c r="O23" s="2390"/>
      <c r="P23" s="2389"/>
      <c r="Q23" s="2389"/>
      <c r="R23" s="2391"/>
    </row>
    <row r="24" spans="1:18" s="2362" customFormat="1" ht="15.75" thickBot="1">
      <c r="A24" s="2406"/>
      <c r="B24" s="2404" t="s">
        <v>2108</v>
      </c>
      <c r="C24" s="136" t="str">
        <f>C10</f>
        <v>主干道-东三环中路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5756.7800000000016</v>
      </c>
      <c r="C1" s="1740"/>
      <c r="D1" s="1740"/>
      <c r="E1" s="1740"/>
      <c r="F1" s="1740"/>
      <c r="G1" s="1738"/>
    </row>
    <row r="2" spans="1:10" ht="16.5">
      <c r="A2" s="1741" t="s">
        <v>1348</v>
      </c>
      <c r="B2" s="1741">
        <f>SUM(C14:C23)</f>
        <v>130.66999999999999</v>
      </c>
      <c r="C2" s="1740"/>
      <c r="D2" s="1740"/>
      <c r="E2" s="1740"/>
      <c r="F2" s="1740"/>
      <c r="G2" s="1738"/>
    </row>
    <row r="3" spans="1:10" ht="16.5">
      <c r="A3" s="1741" t="s">
        <v>1357</v>
      </c>
      <c r="B3" s="1742">
        <f>项目基本情况!D3</f>
        <v>43969</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33480</v>
      </c>
      <c r="C5" s="1741">
        <f ca="1">ROUND(B5*10000/$B$1,0)</f>
        <v>58158</v>
      </c>
      <c r="D5" s="1741">
        <f ca="1">ROUND(B5*10000/$B$2,0)</f>
        <v>2562180</v>
      </c>
      <c r="E5" s="1740"/>
      <c r="F5" s="1738"/>
      <c r="G5" s="1738"/>
    </row>
    <row r="6" spans="1:10" ht="16.5">
      <c r="A6" s="1741" t="s">
        <v>1351</v>
      </c>
      <c r="B6" s="1741">
        <f ca="1">SUM(G14:G23)</f>
        <v>33480</v>
      </c>
      <c r="C6" s="1741">
        <f ca="1">ROUND(B6*10000/$B$1,0)</f>
        <v>58158</v>
      </c>
      <c r="D6" s="1741">
        <f ca="1">ROUND(B6*10000/$B$2,0)</f>
        <v>2562180</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148.57</v>
      </c>
      <c r="C14" s="1739">
        <f>结果表!C118</f>
        <v>130.66999999999999</v>
      </c>
      <c r="D14" s="1739">
        <f ca="1">结果表!H118</f>
        <v>909</v>
      </c>
      <c r="E14" s="1739">
        <f ca="1">ROUND(D14*10000/B14,0)</f>
        <v>61183</v>
      </c>
      <c r="F14" s="1739">
        <f ca="1">ROUND(D14*10000/C14,0)</f>
        <v>69565</v>
      </c>
      <c r="G14" s="1739">
        <f ca="1">结果表!D122</f>
        <v>909</v>
      </c>
      <c r="H14" s="1739" t="str">
        <f>结果表!D124</f>
        <v>——</v>
      </c>
      <c r="I14" s="1739" t="str">
        <f>结果表!D126</f>
        <v>——</v>
      </c>
      <c r="J14" s="1738"/>
    </row>
    <row r="15" spans="1:10" ht="16.5">
      <c r="A15" s="1737" t="s">
        <v>1344</v>
      </c>
      <c r="B15" s="2984">
        <f>典型户型修正!B22-典型户型修正!B24</f>
        <v>4565.0800000000017</v>
      </c>
      <c r="C15" s="2984"/>
      <c r="D15" s="2984">
        <f ca="1">典型户型修正!S22-典型户型修正!S24</f>
        <v>28259</v>
      </c>
      <c r="E15" s="1739">
        <f t="shared" ref="E15:E23" ca="1" si="0">ROUND(D15*10000/B15,0)</f>
        <v>61903</v>
      </c>
      <c r="F15" s="1739" t="e">
        <f t="shared" ref="F15:F23" ca="1" si="1">ROUND(D15*10000/C15,0)</f>
        <v>#DIV/0!</v>
      </c>
      <c r="G15" s="2984">
        <f ca="1">D15</f>
        <v>28259</v>
      </c>
      <c r="H15" s="1745"/>
      <c r="I15" s="1744"/>
      <c r="J15" s="1738"/>
    </row>
    <row r="16" spans="1:10" ht="16.5">
      <c r="A16" s="1737" t="s">
        <v>1343</v>
      </c>
      <c r="B16" s="2984">
        <f>'数据-汇总表'!F20</f>
        <v>1043.1300000000001</v>
      </c>
      <c r="C16" s="2984"/>
      <c r="D16" s="2984">
        <f ca="1">'结果表 (办公)'!G19</f>
        <v>4312</v>
      </c>
      <c r="E16" s="1739">
        <f t="shared" ca="1" si="0"/>
        <v>41337</v>
      </c>
      <c r="F16" s="1739" t="e">
        <f t="shared" ca="1" si="1"/>
        <v>#DIV/0!</v>
      </c>
      <c r="G16" s="2984">
        <f ca="1">D16</f>
        <v>4312</v>
      </c>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4" sqref="C14:D16"/>
    </sheetView>
  </sheetViews>
  <sheetFormatPr defaultColWidth="12.625" defaultRowHeight="21.75" customHeight="1"/>
  <cols>
    <col min="1" max="2" width="12.625" style="2418"/>
    <col min="3" max="4" width="12.625" style="2418" customWidth="1"/>
    <col min="5"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20" t="s">
        <v>2109</v>
      </c>
      <c r="B1" s="2412"/>
      <c r="C1" s="2413" t="s">
        <v>3077</v>
      </c>
      <c r="D1" s="2412"/>
      <c r="E1" s="2412"/>
      <c r="F1" s="2414" t="s">
        <v>2110</v>
      </c>
      <c r="G1" s="2066" t="s">
        <v>3059</v>
      </c>
      <c r="H1" s="2415" t="str">
        <f>IF(G1="现房","——","估价对象范围")</f>
        <v>——</v>
      </c>
      <c r="I1" s="2416"/>
    </row>
    <row r="2" spans="1:12" ht="21.75" customHeight="1" thickBot="1">
      <c r="A2" s="3198" t="str">
        <f>项目基本情况!S2</f>
        <v>北京市朝阳区东三环中路乙16号院4号楼2层207号等31套住宅用房及朝阳区东三环中路乙16号院5号楼1至2层101号办公用房房地产</v>
      </c>
      <c r="B2" s="3199"/>
      <c r="C2" s="3199"/>
      <c r="D2" s="3199"/>
      <c r="E2" s="3199"/>
      <c r="F2" s="3199"/>
      <c r="G2" s="3199"/>
      <c r="H2" s="3199"/>
      <c r="I2" s="3200"/>
    </row>
    <row r="3" spans="1:12" ht="12.75">
      <c r="A3" s="3201" t="s">
        <v>2111</v>
      </c>
      <c r="B3" s="3202"/>
      <c r="C3" s="3202"/>
      <c r="D3" s="3202"/>
      <c r="E3" s="3202"/>
      <c r="F3" s="3202"/>
      <c r="G3" s="3202"/>
      <c r="H3" s="3202"/>
      <c r="I3" s="3202"/>
    </row>
    <row r="4" spans="1:12" ht="14.25">
      <c r="A4" s="2419" t="s">
        <v>2112</v>
      </c>
      <c r="B4" s="2420" t="s">
        <v>2113</v>
      </c>
      <c r="C4" s="2421" t="s">
        <v>3186</v>
      </c>
      <c r="D4" s="2421" t="s">
        <v>3181</v>
      </c>
      <c r="E4" s="3182" t="s">
        <v>2114</v>
      </c>
      <c r="F4" s="3195"/>
      <c r="G4" s="3195"/>
      <c r="H4" s="3195"/>
      <c r="I4" s="3183"/>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173" t="s">
        <v>2115</v>
      </c>
      <c r="B5" s="3099">
        <v>25</v>
      </c>
      <c r="C5" s="3203"/>
      <c r="D5" s="3191"/>
      <c r="E5" s="139" t="s">
        <v>2116</v>
      </c>
      <c r="F5" s="2423"/>
      <c r="G5" s="2423"/>
      <c r="H5" s="2423"/>
      <c r="I5" s="1829"/>
    </row>
    <row r="6" spans="1:12" ht="12.75">
      <c r="A6" s="3173"/>
      <c r="B6" s="3099"/>
      <c r="C6" s="3205"/>
      <c r="D6" s="3191"/>
      <c r="E6" s="139" t="s">
        <v>2117</v>
      </c>
      <c r="F6" s="2423"/>
      <c r="G6" s="2423"/>
      <c r="H6" s="2423"/>
      <c r="I6" s="1829"/>
    </row>
    <row r="7" spans="1:12" ht="12.75">
      <c r="A7" s="3173"/>
      <c r="B7" s="3099"/>
      <c r="C7" s="3204"/>
      <c r="D7" s="3191"/>
      <c r="E7" s="139" t="s">
        <v>2118</v>
      </c>
      <c r="F7" s="2423"/>
      <c r="G7" s="2423"/>
      <c r="H7" s="2423"/>
      <c r="I7" s="1829"/>
    </row>
    <row r="8" spans="1:12" ht="12.75">
      <c r="A8" s="3173" t="s">
        <v>2119</v>
      </c>
      <c r="B8" s="3099">
        <v>15</v>
      </c>
      <c r="C8" s="3203"/>
      <c r="D8" s="3191"/>
      <c r="E8" s="139" t="s">
        <v>2120</v>
      </c>
      <c r="F8" s="2423"/>
      <c r="G8" s="2423"/>
      <c r="H8" s="2423"/>
      <c r="I8" s="1829"/>
    </row>
    <row r="9" spans="1:12" ht="12.75">
      <c r="A9" s="3173"/>
      <c r="B9" s="3099"/>
      <c r="C9" s="3204"/>
      <c r="D9" s="3191"/>
      <c r="E9" s="139" t="s">
        <v>2121</v>
      </c>
      <c r="F9" s="2423"/>
      <c r="G9" s="2423"/>
      <c r="H9" s="2423"/>
      <c r="I9" s="1829"/>
    </row>
    <row r="10" spans="1:12" ht="12.75">
      <c r="A10" s="3173" t="s">
        <v>2122</v>
      </c>
      <c r="B10" s="3099">
        <v>15</v>
      </c>
      <c r="C10" s="3203"/>
      <c r="D10" s="3191"/>
      <c r="E10" s="139" t="s">
        <v>2123</v>
      </c>
      <c r="F10" s="2423"/>
      <c r="G10" s="2423"/>
      <c r="H10" s="2423"/>
      <c r="I10" s="1829"/>
    </row>
    <row r="11" spans="1:12" ht="12.75">
      <c r="A11" s="3173"/>
      <c r="B11" s="3099"/>
      <c r="C11" s="3204"/>
      <c r="D11" s="3191"/>
      <c r="E11" s="139" t="s">
        <v>2124</v>
      </c>
      <c r="F11" s="2423"/>
      <c r="G11" s="2423"/>
      <c r="H11" s="2423"/>
      <c r="I11" s="1829"/>
    </row>
    <row r="12" spans="1:12" ht="12.75">
      <c r="A12" s="3173" t="s">
        <v>2125</v>
      </c>
      <c r="B12" s="3099">
        <v>15</v>
      </c>
      <c r="C12" s="3203"/>
      <c r="D12" s="3191"/>
      <c r="E12" s="139" t="s">
        <v>2126</v>
      </c>
      <c r="F12" s="2423"/>
      <c r="G12" s="2423"/>
      <c r="H12" s="2423"/>
      <c r="I12" s="1829"/>
    </row>
    <row r="13" spans="1:12" ht="12.75">
      <c r="A13" s="3173"/>
      <c r="B13" s="3099"/>
      <c r="C13" s="3204"/>
      <c r="D13" s="3191"/>
      <c r="E13" s="139" t="s">
        <v>2127</v>
      </c>
      <c r="F13" s="2423"/>
      <c r="G13" s="2423"/>
      <c r="H13" s="2423"/>
      <c r="I13" s="1829"/>
    </row>
    <row r="14" spans="1:12" ht="12.75">
      <c r="A14" s="3173" t="s">
        <v>2128</v>
      </c>
      <c r="B14" s="3099">
        <v>30</v>
      </c>
      <c r="C14" s="3375">
        <v>2</v>
      </c>
      <c r="D14" s="3376">
        <v>8</v>
      </c>
      <c r="E14" s="139" t="s">
        <v>2129</v>
      </c>
      <c r="F14" s="2423"/>
      <c r="G14" s="2423"/>
      <c r="H14" s="2423"/>
      <c r="I14" s="1829"/>
    </row>
    <row r="15" spans="1:12" ht="12.75">
      <c r="A15" s="3173"/>
      <c r="B15" s="3099"/>
      <c r="C15" s="3377"/>
      <c r="D15" s="3376"/>
      <c r="E15" s="139" t="s">
        <v>2130</v>
      </c>
      <c r="F15" s="2423"/>
      <c r="G15" s="2423"/>
      <c r="H15" s="2423"/>
      <c r="I15" s="1829"/>
    </row>
    <row r="16" spans="1:12" ht="12.75">
      <c r="A16" s="3173"/>
      <c r="B16" s="3099"/>
      <c r="C16" s="3378"/>
      <c r="D16" s="3376"/>
      <c r="E16" s="139" t="s">
        <v>2131</v>
      </c>
      <c r="F16" s="2423"/>
      <c r="G16" s="2423"/>
      <c r="H16" s="2423"/>
      <c r="I16" s="1829"/>
    </row>
    <row r="17" spans="1:35" ht="15">
      <c r="A17" s="2424" t="s">
        <v>2132</v>
      </c>
      <c r="B17" s="63"/>
      <c r="C17" s="140">
        <f>SUM(C5:C16)</f>
        <v>2</v>
      </c>
      <c r="D17" s="140">
        <f>SUM(D5:D16)</f>
        <v>8</v>
      </c>
      <c r="E17" s="137"/>
      <c r="F17" s="137"/>
      <c r="G17" s="137"/>
      <c r="H17" s="137"/>
      <c r="I17" s="137"/>
      <c r="K17" s="2422"/>
      <c r="L17" s="2425" t="s">
        <v>2133</v>
      </c>
      <c r="M17" s="2425" t="s">
        <v>2134</v>
      </c>
    </row>
    <row r="18" spans="1:35" ht="15.75" thickBot="1">
      <c r="A18" s="2426" t="s">
        <v>2135</v>
      </c>
      <c r="B18" s="2427"/>
      <c r="C18" s="141">
        <f>ROUND(C17/SUM(C17:D17),2)</f>
        <v>0.2</v>
      </c>
      <c r="D18" s="141">
        <f>1-C18</f>
        <v>0.8</v>
      </c>
      <c r="E18" s="137"/>
      <c r="F18" s="137"/>
      <c r="G18" s="137"/>
      <c r="H18" s="137"/>
      <c r="I18" s="137"/>
      <c r="K18" s="2422" t="s">
        <v>2136</v>
      </c>
      <c r="L18" s="2422">
        <f>IF(C1="",'数据-汇总表'!E3,SUMIF(项目类型,C1,'数据-汇总表'!E17:E26)+SUMIF(项目类型,C1,'数据-汇总表'!I17:I26))</f>
        <v>148.57</v>
      </c>
      <c r="M18" s="2422">
        <f>IF(C1="",'数据-汇总表'!E3,SUMIF(项目类型,C1,'数据-汇总表'!E17:E26))</f>
        <v>148.57</v>
      </c>
    </row>
    <row r="19" spans="1:35" ht="15">
      <c r="A19" s="2428" t="s">
        <v>2137</v>
      </c>
      <c r="B19" s="2429" t="s">
        <v>2138</v>
      </c>
      <c r="C19" s="142">
        <f ca="1">SUMIF(INDIRECT("'"&amp;C4&amp;"'"&amp;"!A:A"),结果表!B19,INDIRECT("'"&amp;C4&amp;"'"&amp;"!B:B"))</f>
        <v>412</v>
      </c>
      <c r="D19" s="143">
        <f ca="1">SUMIF(INDIRECT("'"&amp;D4&amp;"'"&amp;"!A:A"),结果表!B19,INDIRECT("'"&amp;D4&amp;"'"&amp;"!B:B"))</f>
        <v>1033</v>
      </c>
      <c r="E19" s="2428" t="s">
        <v>2139</v>
      </c>
      <c r="F19" s="2429" t="s">
        <v>2138</v>
      </c>
      <c r="G19" s="144">
        <f ca="1">ROUND(C19*$C$18+D19*$D$18,0)</f>
        <v>909</v>
      </c>
      <c r="H19" s="2430" t="s">
        <v>2140</v>
      </c>
      <c r="I19" s="137"/>
      <c r="K19" s="2422" t="s">
        <v>2141</v>
      </c>
      <c r="L19" s="2422">
        <f>IF(C1="",'数据-汇总表'!D3,SUMIF(项目类型,C1,'数据-汇总表'!D17:D26)+SUMIF(项目类型,C1,'数据-汇总表'!H17:H27))</f>
        <v>130.66999999999999</v>
      </c>
      <c r="M19" s="2422">
        <f>IF(C1="",'数据-汇总表'!D3,SUMIF(项目类型,C1,'数据-汇总表'!D17:D26))</f>
        <v>130.66999999999999</v>
      </c>
    </row>
    <row r="20" spans="1:35" ht="15">
      <c r="A20" s="2431"/>
      <c r="B20" s="1245" t="s">
        <v>2142</v>
      </c>
      <c r="C20" s="145">
        <f ca="1">SUMIF(INDIRECT("'"&amp;C4&amp;"'"&amp;"!A:A"),结果表!B20,INDIRECT("'"&amp;C4&amp;"'"&amp;"!B:B"))</f>
        <v>27716</v>
      </c>
      <c r="D20" s="146">
        <f ca="1">SUMIF(INDIRECT("'"&amp;D4&amp;"'"&amp;"!A:A"),结果表!B20,INDIRECT("'"&amp;D4&amp;"'"&amp;"!B:B"))</f>
        <v>69536</v>
      </c>
      <c r="E20" s="2431"/>
      <c r="F20" s="1245" t="s">
        <v>2142</v>
      </c>
      <c r="G20" s="147">
        <f ca="1">ROUND(C20*$C$18+D20*$D$18,0)</f>
        <v>61172</v>
      </c>
      <c r="H20" s="978" t="s">
        <v>2143</v>
      </c>
      <c r="I20" s="137"/>
    </row>
    <row r="21" spans="1:35" ht="15" customHeight="1" thickBot="1">
      <c r="A21" s="998"/>
      <c r="B21" s="2432" t="s">
        <v>2144</v>
      </c>
      <c r="C21" s="787">
        <f ca="1">ROUND(C19*10000/L19,0)</f>
        <v>31530</v>
      </c>
      <c r="D21" s="788">
        <f ca="1">ROUND(D19*10000/L19,0)</f>
        <v>79054</v>
      </c>
      <c r="E21" s="998"/>
      <c r="F21" s="2432" t="s">
        <v>2144</v>
      </c>
      <c r="G21" s="148">
        <f ca="1">ROUND(G19*10000/L19,0)</f>
        <v>69565</v>
      </c>
      <c r="H21" s="2433" t="s">
        <v>2143</v>
      </c>
      <c r="I21" s="137"/>
    </row>
    <row r="22" spans="1:35" ht="15" thickBot="1">
      <c r="A22" s="2276" t="s">
        <v>2145</v>
      </c>
      <c r="B22" s="2434"/>
      <c r="C22" s="2435"/>
      <c r="D22" s="789">
        <f ca="1">IF(C19&lt;D19,D19/C19-1,C19/D19-1)</f>
        <v>1.5072815533980584</v>
      </c>
      <c r="E22" s="137"/>
      <c r="F22" s="137"/>
      <c r="G22" s="137"/>
      <c r="H22" s="137"/>
      <c r="I22" s="137"/>
    </row>
    <row r="23" spans="1:35" ht="13.5" thickBot="1">
      <c r="A23" s="2412"/>
      <c r="B23" s="2412"/>
      <c r="C23" s="2412"/>
      <c r="D23" s="2412"/>
      <c r="E23" s="137"/>
      <c r="F23" s="137"/>
      <c r="G23" s="137"/>
      <c r="H23" s="137"/>
      <c r="I23" s="137"/>
    </row>
    <row r="24" spans="1:35" ht="14.25">
      <c r="A24" s="3212" t="s">
        <v>2146</v>
      </c>
      <c r="B24" s="2429" t="s">
        <v>2138</v>
      </c>
      <c r="C24" s="144">
        <f>IF(B30=0,0,D30)</f>
        <v>0</v>
      </c>
      <c r="D24" s="2436"/>
      <c r="E24" s="137"/>
      <c r="F24" s="137"/>
      <c r="G24" s="137"/>
      <c r="H24" s="137"/>
      <c r="I24" s="137"/>
    </row>
    <row r="25" spans="1:35" ht="14.25">
      <c r="A25" s="3213"/>
      <c r="B25" s="1245" t="s">
        <v>2142</v>
      </c>
      <c r="C25" s="149">
        <f>IF(B30=0,0,C30)</f>
        <v>0</v>
      </c>
      <c r="D25" s="2437"/>
      <c r="E25" s="137"/>
      <c r="F25" s="137"/>
      <c r="G25" s="137"/>
      <c r="H25" s="137"/>
      <c r="I25" s="137"/>
    </row>
    <row r="26" spans="1:35" ht="13.5" customHeight="1">
      <c r="A26" s="2438" t="s">
        <v>2147</v>
      </c>
      <c r="B26" s="150" t="s">
        <v>2148</v>
      </c>
      <c r="C26" s="150" t="s">
        <v>2149</v>
      </c>
      <c r="D26" s="151" t="s">
        <v>2150</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2151</v>
      </c>
      <c r="B30" s="150"/>
      <c r="C30" s="150"/>
      <c r="D30" s="150"/>
      <c r="E30" s="2909" t="s">
        <v>3024</v>
      </c>
      <c r="F30" s="137"/>
      <c r="G30" s="137"/>
      <c r="H30" s="137"/>
      <c r="I30" s="137"/>
    </row>
    <row r="31" spans="1:35" s="2440" customFormat="1" ht="15" thickBot="1">
      <c r="A31" s="2439"/>
      <c r="B31" s="2439"/>
      <c r="C31" s="2439"/>
      <c r="D31" s="2439"/>
      <c r="E31" s="137"/>
      <c r="F31" s="137"/>
      <c r="G31" s="137"/>
      <c r="H31" s="137"/>
      <c r="I31" s="137"/>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2152</v>
      </c>
      <c r="B32" s="2442"/>
      <c r="C32" s="152">
        <f ca="1">IF(D32="总价",G19-C24,G20-C25)</f>
        <v>909</v>
      </c>
      <c r="D32" s="2443" t="s">
        <v>2153</v>
      </c>
      <c r="E32" s="137"/>
      <c r="F32" s="137"/>
      <c r="G32" s="137"/>
      <c r="H32" s="137"/>
      <c r="I32" s="137"/>
    </row>
    <row r="33" spans="1:15" ht="15">
      <c r="A33" s="955" t="s">
        <v>2154</v>
      </c>
      <c r="B33" s="2444"/>
      <c r="C33" s="2445"/>
      <c r="D33" s="2446"/>
      <c r="E33" s="2447" t="s">
        <v>2155</v>
      </c>
      <c r="F33" s="2448" t="str">
        <f>IF(D32="楼面单价","取值（单价）","取值（总价）")</f>
        <v>取值（总价）</v>
      </c>
      <c r="G33" s="137"/>
      <c r="H33" s="137"/>
      <c r="I33" s="137"/>
    </row>
    <row r="34" spans="1:15" ht="15">
      <c r="A34" s="2449"/>
      <c r="B34" s="2450"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1" t="s">
        <v>2157</v>
      </c>
      <c r="F34" s="1734"/>
      <c r="G34" s="137"/>
      <c r="H34" s="137"/>
      <c r="I34" s="137"/>
    </row>
    <row r="35" spans="1:15" ht="15.75" thickBot="1">
      <c r="A35" s="2452"/>
      <c r="B35" s="2453"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2159</v>
      </c>
      <c r="F35" s="162"/>
      <c r="G35" s="137"/>
      <c r="H35" s="137"/>
      <c r="I35" s="137"/>
    </row>
    <row r="36" spans="1:15" ht="15.75" thickBot="1">
      <c r="A36" s="3192" t="s">
        <v>2160</v>
      </c>
      <c r="B36" s="2455" t="s">
        <v>2161</v>
      </c>
      <c r="C36" s="153"/>
      <c r="D36" s="2456"/>
      <c r="E36" s="2457"/>
      <c r="F36" s="2458"/>
      <c r="G36" s="137"/>
      <c r="H36" s="137"/>
      <c r="I36" s="137"/>
    </row>
    <row r="37" spans="1:15" ht="15.75" thickBot="1">
      <c r="A37" s="3193"/>
      <c r="B37" s="2262" t="s">
        <v>2162</v>
      </c>
      <c r="C37" s="155"/>
      <c r="D37" s="1390"/>
      <c r="E37" s="1390"/>
      <c r="F37" s="2458"/>
      <c r="G37" s="137"/>
      <c r="H37" s="137"/>
      <c r="I37" s="137"/>
    </row>
    <row r="38" spans="1:15" ht="15.75" thickBot="1">
      <c r="A38" s="3194"/>
      <c r="B38" s="2459" t="s">
        <v>2163</v>
      </c>
      <c r="C38" s="725"/>
      <c r="D38" s="2460" t="s">
        <v>2164</v>
      </c>
      <c r="E38" s="1390"/>
      <c r="F38" s="2458"/>
      <c r="G38" s="137"/>
      <c r="H38" s="137"/>
      <c r="I38" s="137"/>
    </row>
    <row r="39" spans="1:15" ht="15">
      <c r="A39" s="2431" t="s">
        <v>2165</v>
      </c>
      <c r="B39" s="2461" t="s">
        <v>2166</v>
      </c>
      <c r="C39" s="2462" t="s">
        <v>2167</v>
      </c>
      <c r="D39" s="2462" t="s">
        <v>2168</v>
      </c>
      <c r="E39" s="2463" t="s">
        <v>2169</v>
      </c>
      <c r="F39" s="2458"/>
      <c r="G39" s="137"/>
      <c r="H39" s="137"/>
      <c r="I39" s="137"/>
    </row>
    <row r="40" spans="1:15" ht="14.25">
      <c r="A40" s="2464" t="s">
        <v>2170</v>
      </c>
      <c r="B40" s="157"/>
      <c r="C40" s="158"/>
      <c r="D40" s="158"/>
      <c r="E40" s="159"/>
      <c r="F40" s="2458"/>
      <c r="G40" s="137"/>
      <c r="H40" s="137"/>
      <c r="I40" s="137"/>
    </row>
    <row r="41" spans="1:15" ht="14.25">
      <c r="A41" s="2464" t="s">
        <v>2171</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2172</v>
      </c>
      <c r="B44" s="2469"/>
      <c r="C44" s="2469"/>
      <c r="D44" s="2470"/>
      <c r="E44" s="2470"/>
      <c r="F44" s="2471"/>
      <c r="G44" s="2471"/>
      <c r="H44" s="2471"/>
      <c r="I44" s="2471"/>
      <c r="J44" s="2472" t="s">
        <v>2173</v>
      </c>
      <c r="K44" s="2473"/>
      <c r="L44" s="2473"/>
      <c r="M44" s="2473"/>
      <c r="N44" s="2473"/>
      <c r="O44" s="2473"/>
    </row>
    <row r="45" spans="1:15" ht="14.25" customHeight="1" thickBot="1">
      <c r="A45" s="3209" t="s">
        <v>2174</v>
      </c>
      <c r="B45" s="3210"/>
      <c r="C45" s="3211"/>
      <c r="D45" s="163">
        <f ca="1">ROUND(H101*F45,0)</f>
        <v>909</v>
      </c>
      <c r="E45" s="164" t="s">
        <v>2175</v>
      </c>
      <c r="F45" s="165">
        <v>1</v>
      </c>
      <c r="G45" s="166" t="s">
        <v>2176</v>
      </c>
      <c r="H45" s="137"/>
      <c r="I45" s="137"/>
      <c r="J45" s="3128" t="s">
        <v>2177</v>
      </c>
      <c r="K45" s="3128"/>
      <c r="L45" s="3128"/>
      <c r="M45" s="3128"/>
      <c r="N45" s="3128"/>
      <c r="O45" s="3128"/>
    </row>
    <row r="46" spans="1:15" ht="14.25" customHeight="1">
      <c r="A46" s="3206" t="s">
        <v>2178</v>
      </c>
      <c r="B46" s="3207"/>
      <c r="C46" s="3207"/>
      <c r="D46" s="3207"/>
      <c r="E46" s="3207"/>
      <c r="F46" s="3207"/>
      <c r="G46" s="3208"/>
      <c r="H46" s="2474"/>
      <c r="I46" s="167"/>
      <c r="J46" s="1807">
        <v>1</v>
      </c>
      <c r="K46" s="3128" t="s">
        <v>2179</v>
      </c>
      <c r="L46" s="3128"/>
      <c r="M46" s="3129"/>
      <c r="N46" s="3129"/>
      <c r="O46" s="3129"/>
    </row>
    <row r="47" spans="1:15" ht="12" customHeight="1">
      <c r="A47" s="168" t="s">
        <v>2180</v>
      </c>
      <c r="B47" s="169"/>
      <c r="C47" s="170"/>
      <c r="D47" s="171" t="s">
        <v>2181</v>
      </c>
      <c r="E47" s="23" t="s">
        <v>2182</v>
      </c>
      <c r="F47" s="172" t="s">
        <v>2183</v>
      </c>
      <c r="G47" s="173" t="s">
        <v>2184</v>
      </c>
      <c r="H47" s="2474"/>
      <c r="I47" s="167"/>
      <c r="J47" s="1807">
        <v>2</v>
      </c>
      <c r="K47" s="3128" t="s">
        <v>2185</v>
      </c>
      <c r="L47" s="3128"/>
      <c r="M47" s="3130">
        <f>'数据-取费表'!B2</f>
        <v>43969</v>
      </c>
      <c r="N47" s="3130"/>
      <c r="O47" s="3130"/>
    </row>
    <row r="48" spans="1:15" ht="25.5">
      <c r="A48" s="3196" t="s">
        <v>2186</v>
      </c>
      <c r="B48" s="3197"/>
      <c r="C48" s="3197"/>
      <c r="D48" s="139">
        <f>IF(H48="情况1",0,IF(H48="情况2",D52,IF(H48="情况3",D53,IF(H48="情况4",D54))))</f>
        <v>0</v>
      </c>
      <c r="E48" s="1796" t="str">
        <f>IF(H48="情况4","(销售额-原购置价)×税（费）率","销售额×税（费）率")</f>
        <v>销售额×税（费）率</v>
      </c>
      <c r="F48" s="174" t="str">
        <f>IF(H48="情况1","免征",'数据-取费表'!B41)</f>
        <v>免征</v>
      </c>
      <c r="G48" s="2475" t="s">
        <v>2187</v>
      </c>
      <c r="H48" s="2476" t="s">
        <v>2188</v>
      </c>
      <c r="I48" s="2474"/>
      <c r="J48" s="1807">
        <v>3</v>
      </c>
      <c r="K48" s="3128" t="s">
        <v>2189</v>
      </c>
      <c r="L48" s="3128"/>
      <c r="M48" s="3131">
        <f ca="1">H101</f>
        <v>909</v>
      </c>
      <c r="N48" s="3131"/>
      <c r="O48" s="3131"/>
    </row>
    <row r="49" spans="1:35" ht="25.5" customHeight="1">
      <c r="A49" s="175" t="s">
        <v>2190</v>
      </c>
      <c r="B49" s="3176" t="s">
        <v>2191</v>
      </c>
      <c r="C49" s="3176"/>
      <c r="D49" s="176">
        <v>0</v>
      </c>
      <c r="E49" s="22" t="s">
        <v>2192</v>
      </c>
      <c r="F49" s="27" t="s">
        <v>34</v>
      </c>
      <c r="G49" s="3157"/>
      <c r="H49" s="137"/>
      <c r="I49" s="2477"/>
      <c r="J49" s="1807">
        <v>4</v>
      </c>
      <c r="K49" s="3128" t="str">
        <f>IF(项目基本情况!E8="房地产抵押价值","房地产抵押价值","抵押担保权已注销时的房地产抵押价值")</f>
        <v>房地产抵押价值</v>
      </c>
      <c r="L49" s="3128"/>
      <c r="M49" s="3131">
        <f ca="1">IF(项目基本情况!E8="房地产抵押价值",H107,H109)</f>
        <v>909</v>
      </c>
      <c r="N49" s="3131"/>
      <c r="O49" s="3131"/>
    </row>
    <row r="50" spans="1:35" ht="25.5" customHeight="1">
      <c r="A50" s="177"/>
      <c r="B50" s="3176" t="s">
        <v>2193</v>
      </c>
      <c r="C50" s="3176"/>
      <c r="D50" s="178"/>
      <c r="E50" s="30"/>
      <c r="F50" s="179"/>
      <c r="G50" s="3158"/>
      <c r="H50" s="137"/>
      <c r="I50" s="2477"/>
      <c r="J50" s="3128" t="s">
        <v>2194</v>
      </c>
      <c r="K50" s="3128"/>
      <c r="L50" s="3128"/>
      <c r="M50" s="3128"/>
      <c r="N50" s="3128"/>
      <c r="O50" s="3128"/>
    </row>
    <row r="51" spans="1:35" ht="12" customHeight="1">
      <c r="A51" s="180"/>
      <c r="B51" s="3176" t="s">
        <v>2195</v>
      </c>
      <c r="C51" s="3176"/>
      <c r="D51" s="181"/>
      <c r="E51" s="29"/>
      <c r="F51" s="179"/>
      <c r="G51" s="3159"/>
      <c r="H51" s="137"/>
      <c r="I51" s="2477"/>
      <c r="J51" s="2478" t="s">
        <v>2196</v>
      </c>
      <c r="K51" s="3128" t="s">
        <v>2197</v>
      </c>
      <c r="L51" s="3128"/>
      <c r="M51" s="2478" t="s">
        <v>2198</v>
      </c>
      <c r="N51" s="2478" t="s">
        <v>2199</v>
      </c>
      <c r="O51" s="2478" t="s">
        <v>2200</v>
      </c>
    </row>
    <row r="52" spans="1:35" ht="24" customHeight="1">
      <c r="A52" s="182" t="s">
        <v>2201</v>
      </c>
      <c r="B52" s="3176" t="s">
        <v>2202</v>
      </c>
      <c r="C52" s="3176"/>
      <c r="D52" s="181">
        <f ca="1">ROUND(D45*'数据-取费表'!B41/(1+'数据-取费表'!C42),0)</f>
        <v>48</v>
      </c>
      <c r="E52" s="11" t="s">
        <v>2203</v>
      </c>
      <c r="F52" s="183">
        <f>'数据-取费表'!B41</f>
        <v>5.6000000000000001E-2</v>
      </c>
      <c r="G52" s="2479"/>
      <c r="H52" s="137"/>
      <c r="I52" s="2477"/>
      <c r="J52" s="1807">
        <v>1</v>
      </c>
      <c r="K52" s="3151" t="s">
        <v>2204</v>
      </c>
      <c r="L52" s="3151"/>
      <c r="M52" s="1749">
        <f>D48</f>
        <v>0</v>
      </c>
      <c r="N52" s="1807" t="str">
        <f>E48</f>
        <v>销售额×税（费）率</v>
      </c>
      <c r="O52" s="1750" t="str">
        <f>F48</f>
        <v>免征</v>
      </c>
    </row>
    <row r="53" spans="1:35" ht="12" customHeight="1">
      <c r="A53" s="182" t="s">
        <v>2205</v>
      </c>
      <c r="B53" s="3177" t="s">
        <v>2206</v>
      </c>
      <c r="C53" s="3178"/>
      <c r="D53" s="181">
        <f ca="1">ROUND(D45*'数据-取费表'!B41/(1+'数据-取费表'!C42),0)</f>
        <v>48</v>
      </c>
      <c r="E53" s="11" t="s">
        <v>2203</v>
      </c>
      <c r="F53" s="183">
        <f>'数据-取费表'!B41</f>
        <v>5.6000000000000001E-2</v>
      </c>
      <c r="G53" s="2479"/>
      <c r="H53" s="137"/>
      <c r="I53" s="2477"/>
      <c r="J53" s="1807">
        <v>2</v>
      </c>
      <c r="K53" s="3151" t="s">
        <v>2207</v>
      </c>
      <c r="L53" s="3151"/>
      <c r="M53" s="1749">
        <f t="shared" ref="M53:O54" ca="1" si="0">D55</f>
        <v>0</v>
      </c>
      <c r="N53" s="1807" t="str">
        <f t="shared" si="0"/>
        <v>销售额×税（费）率</v>
      </c>
      <c r="O53" s="1750">
        <f t="shared" si="0"/>
        <v>5.0000000000000001E-4</v>
      </c>
    </row>
    <row r="54" spans="1:35" ht="12" customHeight="1">
      <c r="A54" s="182" t="s">
        <v>2208</v>
      </c>
      <c r="B54" s="3177" t="s">
        <v>2209</v>
      </c>
      <c r="C54" s="3178"/>
      <c r="D54" s="181">
        <f ca="1">C68</f>
        <v>48</v>
      </c>
      <c r="E54" s="29" t="s">
        <v>2210</v>
      </c>
      <c r="F54" s="183">
        <f>'数据-取费表'!B41</f>
        <v>5.6000000000000001E-2</v>
      </c>
      <c r="G54" s="2479"/>
      <c r="H54" s="2480"/>
      <c r="I54" s="2477"/>
      <c r="J54" s="1807">
        <v>3</v>
      </c>
      <c r="K54" s="3151" t="s">
        <v>2211</v>
      </c>
      <c r="L54" s="3151"/>
      <c r="M54" s="1749">
        <f t="shared" ca="1" si="0"/>
        <v>515</v>
      </c>
      <c r="N54" s="1807" t="str">
        <f t="shared" si="0"/>
        <v>增值额×税（费）率</v>
      </c>
      <c r="O54" s="1751" t="str">
        <f t="shared" si="0"/>
        <v>——</v>
      </c>
    </row>
    <row r="55" spans="1:35" ht="24" customHeight="1">
      <c r="A55" s="3215" t="s">
        <v>2212</v>
      </c>
      <c r="B55" s="3197"/>
      <c r="C55" s="3197"/>
      <c r="D55" s="184">
        <f ca="1">IF(H55="个人住宅",0,ROUND(D45*I55,0))</f>
        <v>0</v>
      </c>
      <c r="E55" s="11" t="s">
        <v>2213</v>
      </c>
      <c r="F55" s="183">
        <f>IF(H55="正常",I55,"免征")</f>
        <v>5.0000000000000001E-4</v>
      </c>
      <c r="G55" s="2479"/>
      <c r="H55" s="2476" t="s">
        <v>2214</v>
      </c>
      <c r="I55" s="185">
        <f>'数据-取费表'!B49</f>
        <v>5.0000000000000001E-4</v>
      </c>
      <c r="J55" s="1807" t="str">
        <f>IF(H59="非个人房产","",4)</f>
        <v/>
      </c>
      <c r="K55" s="3151" t="str">
        <f>IF(H59="非个人房产","——","个人所得税")</f>
        <v>——</v>
      </c>
      <c r="L55" s="3151"/>
      <c r="M55" s="1752" t="str">
        <f>D59</f>
        <v>——</v>
      </c>
      <c r="N55" s="1805" t="str">
        <f>E59</f>
        <v>——</v>
      </c>
      <c r="O55" s="1753" t="str">
        <f>F59</f>
        <v>——</v>
      </c>
    </row>
    <row r="56" spans="1:35" ht="24.75">
      <c r="A56" s="3215" t="s">
        <v>2215</v>
      </c>
      <c r="B56" s="3197"/>
      <c r="C56" s="3197"/>
      <c r="D56" s="184">
        <f ca="1">IF(H56="个人住宅",D57,D58)</f>
        <v>515</v>
      </c>
      <c r="E56" s="11" t="s">
        <v>2216</v>
      </c>
      <c r="F56" s="183" t="str">
        <f>IF(H56="正常",F58,"免征")</f>
        <v>——</v>
      </c>
      <c r="G56" s="2481" t="s">
        <v>2217</v>
      </c>
      <c r="H56" s="2482" t="s">
        <v>2214</v>
      </c>
      <c r="I56" s="2483"/>
      <c r="J56" s="1807" t="str">
        <f>IF(项目基本情况!K6="上海银行",IF(J55="",4,J55+1),"")</f>
        <v/>
      </c>
      <c r="K56" s="3134" t="str">
        <f>IF(项目基本情况!K6="上海银行","其他处置费用","")</f>
        <v/>
      </c>
      <c r="L56" s="3135"/>
      <c r="M56" s="1749" t="str">
        <f>IF(项目基本情况!K6="上海银行",M69,"")</f>
        <v/>
      </c>
      <c r="N56" s="3137" t="str">
        <f>IF(项目基本情况!K6="上海银行","包含处置中涉及的律师、诉讼、拍卖、评估等费用","")</f>
        <v/>
      </c>
      <c r="O56" s="3138"/>
    </row>
    <row r="57" spans="1:35" ht="12.75">
      <c r="A57" s="182" t="s">
        <v>2190</v>
      </c>
      <c r="B57" s="3182" t="s">
        <v>2218</v>
      </c>
      <c r="C57" s="3183"/>
      <c r="D57" s="186">
        <v>0</v>
      </c>
      <c r="E57" s="22" t="s">
        <v>2192</v>
      </c>
      <c r="F57" s="154"/>
      <c r="G57" s="2479"/>
      <c r="H57" s="2483"/>
      <c r="I57" s="2483"/>
      <c r="J57" s="3151">
        <f>IF(AND(J55="",J56=""),4,IF(项目基本情况!K6="上海银行",结果表!J56+1,结果表!J55+1))</f>
        <v>4</v>
      </c>
      <c r="K57" s="3151" t="s">
        <v>2219</v>
      </c>
      <c r="L57" s="2484" t="s">
        <v>2220</v>
      </c>
      <c r="M57" s="1754"/>
      <c r="N57" s="1755">
        <f ca="1">SUMIF(M52:M56,"&lt;9e307")</f>
        <v>515</v>
      </c>
      <c r="O57" s="2485"/>
      <c r="P57" s="1748">
        <f ca="1">N57/M49</f>
        <v>0.56655665566556657</v>
      </c>
    </row>
    <row r="58" spans="1:35" ht="24.75">
      <c r="A58" s="182" t="s">
        <v>2201</v>
      </c>
      <c r="B58" s="3182" t="s">
        <v>2221</v>
      </c>
      <c r="C58" s="3195"/>
      <c r="D58" s="184">
        <f ca="1">IF(H58="转让取得",C81,C97)</f>
        <v>515</v>
      </c>
      <c r="E58" s="11" t="s">
        <v>2216</v>
      </c>
      <c r="F58" s="23" t="s">
        <v>34</v>
      </c>
      <c r="G58" s="2479"/>
      <c r="H58" s="2482" t="s">
        <v>2222</v>
      </c>
      <c r="I58" s="2483"/>
      <c r="J58" s="3151"/>
      <c r="K58" s="3151"/>
      <c r="L58" s="2484" t="s">
        <v>2223</v>
      </c>
      <c r="M58" s="1756"/>
      <c r="N58" s="2486" t="str">
        <f ca="1">NUMBERSTRING(INT(N57*10000),2)&amp;"元整"</f>
        <v>伍佰壹拾伍万元整</v>
      </c>
      <c r="O58" s="2487"/>
    </row>
    <row r="59" spans="1:35" ht="24.75" thickBot="1">
      <c r="A59" s="3155" t="s">
        <v>2224</v>
      </c>
      <c r="B59" s="3156"/>
      <c r="C59" s="3156"/>
      <c r="D59" s="187" t="str">
        <f>IF(H59="非个人房产","——",IF(H59="个人住宅",0,ROUND(D45*I59,0)))</f>
        <v>——</v>
      </c>
      <c r="E59" s="188" t="str">
        <f>IF(H59="非个人房产","——","销售额×税（费）率")</f>
        <v>——</v>
      </c>
      <c r="F59" s="189" t="str">
        <f>IF(H59="非个人房产","——",IF(H59="个人住宅","免征",I59))</f>
        <v>——</v>
      </c>
      <c r="G59" s="2488" t="s">
        <v>2217</v>
      </c>
      <c r="H59" s="2482" t="s">
        <v>2225</v>
      </c>
      <c r="I59" s="190">
        <v>0.01</v>
      </c>
      <c r="J59" s="3153">
        <f>J57+1</f>
        <v>5</v>
      </c>
      <c r="K59" s="3151" t="s">
        <v>2226</v>
      </c>
      <c r="L59" s="1807" t="s">
        <v>2220</v>
      </c>
      <c r="M59" s="1757"/>
      <c r="N59" s="1758">
        <f ca="1">M49-N57</f>
        <v>394</v>
      </c>
      <c r="O59" s="2489"/>
    </row>
    <row r="60" spans="1:35" ht="12" customHeight="1">
      <c r="A60" s="2490"/>
      <c r="B60" s="2412"/>
      <c r="C60" s="2412"/>
      <c r="D60" s="2412"/>
      <c r="E60" s="2161"/>
      <c r="F60" s="2483"/>
      <c r="G60" s="2483"/>
      <c r="H60" s="2491"/>
      <c r="I60" s="137"/>
      <c r="J60" s="3154"/>
      <c r="K60" s="3151"/>
      <c r="L60" s="2484" t="s">
        <v>2223</v>
      </c>
      <c r="M60" s="1756"/>
      <c r="N60" s="2486" t="str">
        <f ca="1">NUMBERSTRING(INT(N59*10000),2)&amp;"元整"</f>
        <v>叁佰玖拾肆万元整</v>
      </c>
      <c r="O60" s="2487"/>
    </row>
    <row r="61" spans="1:35" ht="13.5" thickBot="1">
      <c r="A61" s="3214" t="s">
        <v>2227</v>
      </c>
      <c r="B61" s="3214"/>
      <c r="C61" s="3214"/>
      <c r="D61" s="3214"/>
      <c r="E61" s="3214"/>
      <c r="F61" s="2483"/>
      <c r="G61" s="2483"/>
      <c r="H61" s="2491"/>
      <c r="I61" s="137"/>
      <c r="J61" s="1807">
        <f>J59+1</f>
        <v>6</v>
      </c>
      <c r="K61" s="3151" t="s">
        <v>2228</v>
      </c>
      <c r="L61" s="3151"/>
      <c r="M61" s="1759"/>
      <c r="N61" s="1760">
        <f ca="1">ROUND(N59*10000/'数据-汇总表'!E3,0)</f>
        <v>3306</v>
      </c>
      <c r="O61" s="2492"/>
    </row>
    <row r="62" spans="1:35" ht="12.75">
      <c r="A62" s="3171" t="s">
        <v>2229</v>
      </c>
      <c r="B62" s="3172"/>
      <c r="C62" s="1799"/>
      <c r="D62" s="1799" t="s">
        <v>2230</v>
      </c>
      <c r="E62" s="191" t="s">
        <v>2231</v>
      </c>
      <c r="F62" s="2483"/>
      <c r="G62" s="2483"/>
      <c r="H62" s="2491"/>
      <c r="I62" s="137"/>
    </row>
    <row r="63" spans="1:35" ht="12.75">
      <c r="A63" s="202" t="s">
        <v>775</v>
      </c>
      <c r="B63" s="192" t="s">
        <v>2232</v>
      </c>
      <c r="C63" s="193">
        <f ca="1">ROUND((C64+C65)/(1+'数据-取费表'!C42),0)</f>
        <v>866</v>
      </c>
      <c r="D63" s="194"/>
      <c r="E63" s="195"/>
      <c r="F63" s="2483"/>
      <c r="G63" s="2483"/>
      <c r="H63" s="2491"/>
      <c r="I63" s="137"/>
      <c r="J63" s="3136" t="s">
        <v>2233</v>
      </c>
      <c r="K63" s="2493" t="s">
        <v>2234</v>
      </c>
      <c r="L63" s="1747">
        <f ca="1">IF(M49&gt;10000,M49*0.5%,IF(AND(M49&gt;1000,M49&lt;=10000),M49*1%,IF(AND(M49&gt;100,M49&lt;=1000),M49*3%,IF(AND(M49&gt;10,M49&lt;=100),M49*5%,M49*8%))))</f>
        <v>27.27</v>
      </c>
      <c r="M63" s="23">
        <f ca="1">ROUND(L63,1)</f>
        <v>27.3</v>
      </c>
      <c r="Z63" s="2417"/>
      <c r="AI63" s="2418"/>
    </row>
    <row r="64" spans="1:35" ht="14.25" customHeight="1">
      <c r="A64" s="196" t="s">
        <v>770</v>
      </c>
      <c r="B64" s="197" t="s">
        <v>2235</v>
      </c>
      <c r="C64" s="198">
        <f ca="1">D45</f>
        <v>909</v>
      </c>
      <c r="D64" s="199" t="s">
        <v>32</v>
      </c>
      <c r="E64" s="200"/>
      <c r="F64" s="2483"/>
      <c r="G64" s="2483"/>
      <c r="H64" s="2491"/>
      <c r="I64" s="137"/>
      <c r="J64" s="3136"/>
      <c r="K64" s="2493" t="s">
        <v>2236</v>
      </c>
      <c r="L64" s="1747">
        <f ca="1">IF(M49&gt;2000,M49*0.5%,IF(AND(M49&gt;1000,M49&lt;=2000),M49*0.6%,IF(AND(M49&gt;500,M49&lt;=1000),M49*0.7%,IF(AND(M49&gt;200,M49&lt;=500),M49*0.8%,IF(AND(M49&gt;100,M49&lt;=200),M49*0.9%,IF(AND(M49&gt;50,M49&lt;=100),M49*1%,IF(AND(M49&gt;20,M49&lt;=50),M49*1.5%,IF(AND(M49&gt;10,M49&lt;=20),M49*2%,IF(AND(M49&gt;1,M49&lt;=10),M49*2.5%)))))))))</f>
        <v>6.3629999999999995</v>
      </c>
      <c r="M64" s="23">
        <f t="shared" ref="M64:M65" ca="1" si="1">ROUND(L64,1)</f>
        <v>6.4</v>
      </c>
      <c r="N64" s="137" t="s">
        <v>2237</v>
      </c>
      <c r="Z64" s="2417"/>
      <c r="AI64" s="2418"/>
    </row>
    <row r="65" spans="1:35" ht="14.25" customHeight="1">
      <c r="A65" s="196" t="s">
        <v>771</v>
      </c>
      <c r="B65" s="197" t="s">
        <v>2238</v>
      </c>
      <c r="C65" s="201"/>
      <c r="D65" s="199"/>
      <c r="E65" s="200"/>
      <c r="F65" s="2483"/>
      <c r="G65" s="2483"/>
      <c r="H65" s="2491"/>
      <c r="I65" s="137"/>
      <c r="J65" s="3136"/>
      <c r="K65" s="2493" t="s">
        <v>2239</v>
      </c>
      <c r="L65" s="1747">
        <f ca="1">IF(M49&gt;1000,M49*0.1%,IF(AND(M49&gt;500,M49&lt;=1000),M49*0.5%,IF(AND(M49&gt;50,M49&lt;=500),M49*1%,IF(AND(M49&gt;1,M49&lt;=50),M49*1.5%))))</f>
        <v>4.5449999999999999</v>
      </c>
      <c r="M65" s="23">
        <f t="shared" ca="1" si="1"/>
        <v>4.5</v>
      </c>
      <c r="N65" s="137" t="s">
        <v>2237</v>
      </c>
      <c r="Z65" s="2417"/>
      <c r="AI65" s="2418"/>
    </row>
    <row r="66" spans="1:35" ht="14.25" customHeight="1">
      <c r="A66" s="202" t="s">
        <v>772</v>
      </c>
      <c r="B66" s="203" t="s">
        <v>2240</v>
      </c>
      <c r="C66" s="204"/>
      <c r="D66" s="205" t="s">
        <v>32</v>
      </c>
      <c r="E66" s="1771" t="s">
        <v>1366</v>
      </c>
      <c r="F66" s="2483"/>
      <c r="G66" s="2483"/>
      <c r="H66" s="2491"/>
      <c r="I66" s="137"/>
      <c r="J66" s="3136"/>
      <c r="K66" s="2493" t="s">
        <v>2241</v>
      </c>
      <c r="L66" s="1747">
        <f ca="1">M49*0.5%</f>
        <v>4.5449999999999999</v>
      </c>
      <c r="M66" s="23">
        <f ca="1">IF(L66&gt;0.5,0.5,ROUND(L66,0))</f>
        <v>0.5</v>
      </c>
      <c r="N66" s="137" t="s">
        <v>2242</v>
      </c>
      <c r="Z66" s="2417"/>
      <c r="AI66" s="2418"/>
    </row>
    <row r="67" spans="1:35" ht="14.25" customHeight="1">
      <c r="A67" s="202" t="s">
        <v>773</v>
      </c>
      <c r="B67" s="203" t="s">
        <v>2243</v>
      </c>
      <c r="C67" s="206">
        <f ca="1">C63-C66</f>
        <v>866</v>
      </c>
      <c r="D67" s="199" t="s">
        <v>32</v>
      </c>
      <c r="E67" s="200"/>
      <c r="F67" s="2483"/>
      <c r="G67" s="2483"/>
      <c r="H67" s="2491"/>
      <c r="I67" s="137"/>
      <c r="J67" s="3136"/>
      <c r="K67" s="2493" t="s">
        <v>2244</v>
      </c>
      <c r="L67" s="1747">
        <f ca="1">IF(M49&gt;=10000,(8.25+(M49-10000)*0.01%),IF(AND(M49&gt;=8000,M49&lt;10000),(7.85+(M49-8000)*0.02%),IF(AND(M49&gt;=5000,M49&lt;8000),(6.65+(M49-5000)*0.04%),IF(AND(M49&gt;=2000,M49&lt;5000),(4.25+(PM49-2000)*0.08%),IF(AND(M49&gt;=1000,M49&lt;2000),(2.75+(M49-1000)*0.15%),IF(AND(M49&gt;=100,M49&lt;1000),(0.5+(M49-100)*0.25%),IF(AND(M49&gt;0,M49&lt;100),M49*0.5%)))))))</f>
        <v>2.5225</v>
      </c>
      <c r="M67" s="23">
        <f ca="1">ROUND(L67*0.9,1)</f>
        <v>2.2999999999999998</v>
      </c>
      <c r="Z67" s="2417"/>
      <c r="AI67" s="2418"/>
    </row>
    <row r="68" spans="1:35" ht="14.25" customHeight="1" thickBot="1">
      <c r="A68" s="207" t="s">
        <v>774</v>
      </c>
      <c r="B68" s="208" t="s">
        <v>2245</v>
      </c>
      <c r="C68" s="209">
        <f ca="1">IF(C67&lt;=0,0,ROUND(C67*D68,0))</f>
        <v>48</v>
      </c>
      <c r="D68" s="210">
        <f>'数据-取费表'!B41</f>
        <v>5.6000000000000001E-2</v>
      </c>
      <c r="E68" s="211"/>
      <c r="F68" s="2483"/>
      <c r="G68" s="2483"/>
      <c r="H68" s="2491"/>
      <c r="I68" s="137"/>
      <c r="J68" s="3136"/>
      <c r="K68" s="2493" t="s">
        <v>2246</v>
      </c>
      <c r="L68" s="1747">
        <f ca="1">IF(M49&gt;10000,M49*0.5%,IF(AND(M49&gt;5000,M49&lt;=10000),M49*1%,IF(AND(M49&gt;1000,M49&lt;=5000),M49*2%,IF(AND(M49&gt;200,M49&lt;=1000),M49*3%,M49*5%))))</f>
        <v>27.27</v>
      </c>
      <c r="M68" s="23">
        <f ca="1">ROUND(L68,1)</f>
        <v>27.3</v>
      </c>
      <c r="Z68" s="2417"/>
      <c r="AI68" s="2418"/>
    </row>
    <row r="69" spans="1:35" s="2440" customFormat="1" ht="16.5" customHeight="1">
      <c r="A69" s="2494"/>
      <c r="B69" s="2495"/>
      <c r="C69" s="2496"/>
      <c r="D69" s="2497"/>
      <c r="E69" s="2498"/>
      <c r="F69" s="2161"/>
      <c r="G69" s="2161"/>
      <c r="H69" s="2160"/>
      <c r="I69" s="2412"/>
      <c r="J69" s="3136"/>
      <c r="K69" s="2493" t="s">
        <v>2247</v>
      </c>
      <c r="L69" s="2499"/>
      <c r="M69" s="23">
        <f ca="1">ROUND(SUM(M63:M68),0)</f>
        <v>68</v>
      </c>
      <c r="N69" s="1748">
        <f ca="1">M69/M49</f>
        <v>7.4807480748074806E-2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thickBot="1">
      <c r="A70" s="3180" t="s">
        <v>2248</v>
      </c>
      <c r="B70" s="3181"/>
      <c r="C70" s="3181"/>
      <c r="D70" s="3181"/>
      <c r="E70" s="3181"/>
      <c r="F70" s="3181"/>
      <c r="G70" s="3181"/>
      <c r="H70" s="318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71" t="s">
        <v>2229</v>
      </c>
      <c r="B71" s="3172"/>
      <c r="C71" s="1799"/>
      <c r="D71" s="1799" t="s">
        <v>2230</v>
      </c>
      <c r="E71" s="212" t="s">
        <v>2231</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2249</v>
      </c>
      <c r="C72" s="206">
        <f ca="1">ROUND(D45/(1+'数据-取费表'!C42),0)</f>
        <v>866</v>
      </c>
      <c r="D72" s="199" t="s">
        <v>32</v>
      </c>
      <c r="E72" s="1798"/>
      <c r="F72" s="1792"/>
      <c r="G72" s="1792"/>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2250</v>
      </c>
      <c r="C73" s="206">
        <f ca="1">C74+C78</f>
        <v>5</v>
      </c>
      <c r="D73" s="199" t="s">
        <v>32</v>
      </c>
      <c r="E73" s="1798"/>
      <c r="F73" s="1792"/>
      <c r="G73" s="1792"/>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2251</v>
      </c>
      <c r="C74" s="199">
        <f>ROUND(IF(G77="2016年5月1日后购买",C75/(1+'数据-取费表'!C42)+C76+C77,C75+C76+C77),0)</f>
        <v>0</v>
      </c>
      <c r="D74" s="199" t="s">
        <v>32</v>
      </c>
      <c r="E74" s="1798"/>
      <c r="F74" s="1792"/>
      <c r="G74" s="1792"/>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2252</v>
      </c>
      <c r="C75" s="217"/>
      <c r="D75" s="199" t="s">
        <v>32</v>
      </c>
      <c r="E75" s="218" t="s">
        <v>2253</v>
      </c>
      <c r="F75" s="2505" t="s">
        <v>2254</v>
      </c>
      <c r="G75" s="218" t="s">
        <v>2255</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2256</v>
      </c>
      <c r="C76" s="199">
        <f>IF(F75="购房发票",ROUND(C75*H75*D76,0),0)</f>
        <v>0</v>
      </c>
      <c r="D76" s="221">
        <v>0.05</v>
      </c>
      <c r="E76" s="3177" t="s">
        <v>2257</v>
      </c>
      <c r="F76" s="3176"/>
      <c r="G76" s="3176"/>
      <c r="H76" s="317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07" t="s">
        <v>2260</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2261</v>
      </c>
      <c r="C78" s="224">
        <f ca="1">ROUND(D45*D78/(1+'数据-取费表'!C42),0)</f>
        <v>5</v>
      </c>
      <c r="D78" s="225">
        <f>'数据-取费表'!B43</f>
        <v>6.000000000000001E-3</v>
      </c>
      <c r="E78" s="3168" t="s">
        <v>2262</v>
      </c>
      <c r="F78" s="3169"/>
      <c r="G78" s="3169"/>
      <c r="H78" s="317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2263</v>
      </c>
      <c r="C79" s="206">
        <f ca="1">C72-C73</f>
        <v>861</v>
      </c>
      <c r="D79" s="199" t="s">
        <v>32</v>
      </c>
      <c r="E79" s="1798"/>
      <c r="F79" s="1792"/>
      <c r="G79" s="1792"/>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2264</v>
      </c>
      <c r="C80" s="226">
        <f ca="1">IF(C79&lt;=0,0,C79/C73)</f>
        <v>172.2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2265</v>
      </c>
      <c r="C81" s="227">
        <f ca="1">ROUND(IF(C79&lt;=0,0,IF(C80&gt;=200%,C79*60%-C73*35%,IF(C80&gt;=100%,C79*50%-C73*15%,IF(C80&gt;=50%,C79*40%-C73*5%,IF(C80&lt;50%,C79*30%,0))))),0)</f>
        <v>515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80" t="s">
        <v>2266</v>
      </c>
      <c r="B83" s="3181"/>
      <c r="C83" s="3181"/>
      <c r="D83" s="3181"/>
      <c r="E83" s="3181"/>
      <c r="F83" s="3181"/>
      <c r="G83" s="3181"/>
      <c r="H83" s="318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71" t="s">
        <v>2229</v>
      </c>
      <c r="B84" s="3172"/>
      <c r="C84" s="1799"/>
      <c r="D84" s="1799" t="s">
        <v>2230</v>
      </c>
      <c r="E84" s="212" t="s">
        <v>2231</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2249</v>
      </c>
      <c r="C85" s="206">
        <f ca="1">ROUND(D45/(1+'数据-取费表'!C42),0)</f>
        <v>866</v>
      </c>
      <c r="D85" s="199" t="s">
        <v>32</v>
      </c>
      <c r="E85" s="1798"/>
      <c r="F85" s="1792"/>
      <c r="G85" s="1792"/>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2250</v>
      </c>
      <c r="C86" s="206">
        <f ca="1">IF(H88="仅含出让金",C87+C90+C91+C92+C93+C94,C87+C91+C92+C93+C94)</f>
        <v>5</v>
      </c>
      <c r="D86" s="234"/>
      <c r="E86" s="1798"/>
      <c r="F86" s="1792"/>
      <c r="G86" s="1792"/>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2267</v>
      </c>
      <c r="C87" s="224">
        <f>C88+C89</f>
        <v>0</v>
      </c>
      <c r="D87" s="225"/>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2268</v>
      </c>
      <c r="C88" s="235"/>
      <c r="D88" s="225"/>
      <c r="E88" s="236" t="s">
        <v>2269</v>
      </c>
      <c r="F88" s="1795"/>
      <c r="G88" s="237"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2258</v>
      </c>
      <c r="C89" s="224">
        <f>ROUND(C88*D89,0)</f>
        <v>0</v>
      </c>
      <c r="D89" s="225">
        <f>'数据-取费表'!B48+'数据-取费表'!B49</f>
        <v>3.0499999999999999E-2</v>
      </c>
      <c r="E89" s="236" t="s">
        <v>2271</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2272</v>
      </c>
      <c r="C90" s="235"/>
      <c r="D90" s="225"/>
      <c r="E90" s="236"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2273</v>
      </c>
      <c r="B91" s="197" t="s">
        <v>2274</v>
      </c>
      <c r="C91" s="224">
        <f>IF(H91="——",成本法!C33,I91)</f>
        <v>0</v>
      </c>
      <c r="D91" s="225"/>
      <c r="E91" s="3168" t="s">
        <v>2275</v>
      </c>
      <c r="F91" s="3169"/>
      <c r="G91" s="3169"/>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2277</v>
      </c>
      <c r="B92" s="197" t="s">
        <v>2278</v>
      </c>
      <c r="C92" s="224">
        <f>ROUND((C87+C90+C91)*D92,0)</f>
        <v>0</v>
      </c>
      <c r="D92" s="225">
        <v>0.1</v>
      </c>
      <c r="E92" s="3168" t="s">
        <v>2279</v>
      </c>
      <c r="F92" s="3169"/>
      <c r="G92" s="3169"/>
      <c r="H92" s="317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2280</v>
      </c>
      <c r="B93" s="197" t="s">
        <v>2261</v>
      </c>
      <c r="C93" s="224">
        <f ca="1">ROUND(D45*D93/(1+'数据-取费表'!C42),0)</f>
        <v>5</v>
      </c>
      <c r="D93" s="225">
        <f>'数据-取费表'!B43</f>
        <v>6.000000000000001E-3</v>
      </c>
      <c r="E93" s="3168" t="s">
        <v>2262</v>
      </c>
      <c r="F93" s="3169"/>
      <c r="G93" s="3169"/>
      <c r="H93" s="317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2281</v>
      </c>
      <c r="B94" s="197" t="s">
        <v>2282</v>
      </c>
      <c r="C94" s="235">
        <f>ROUND((C87+C90+C91)*D94,0)</f>
        <v>0</v>
      </c>
      <c r="D94" s="225">
        <v>0.2</v>
      </c>
      <c r="E94" s="3216" t="s">
        <v>2283</v>
      </c>
      <c r="F94" s="3217"/>
      <c r="G94" s="3217"/>
      <c r="H94" s="321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2263</v>
      </c>
      <c r="C95" s="206">
        <f ca="1">ROUND(C85-C86,0)</f>
        <v>861</v>
      </c>
      <c r="D95" s="199" t="s">
        <v>32</v>
      </c>
      <c r="E95" s="1798"/>
      <c r="F95" s="1792"/>
      <c r="G95" s="1792"/>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2264</v>
      </c>
      <c r="C96" s="226">
        <f ca="1">IF(C95&lt;=0,0,C95/C86)</f>
        <v>172.2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2265</v>
      </c>
      <c r="C97" s="227">
        <f ca="1">ROUND(IF(C95&lt;=0,0,IF(C96&gt;=200%,C95*60%-C86*35%,IF(C96&gt;=100%,C95*50%-C86*15%,IF(C96&gt;=50%,C95*40%-C86*5%,IF(C96&lt;50%,C95*30%,0))))),0)</f>
        <v>515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2284</v>
      </c>
      <c r="B99" s="2412"/>
      <c r="C99" s="2412"/>
      <c r="D99" s="2412"/>
      <c r="E99" s="2161"/>
      <c r="F99" s="2161"/>
      <c r="G99" s="2161"/>
      <c r="H99" s="2160"/>
      <c r="I99" s="137"/>
    </row>
    <row r="100" spans="1:35" ht="18.75" customHeight="1">
      <c r="A100" s="3120" t="s">
        <v>2285</v>
      </c>
      <c r="B100" s="3121"/>
      <c r="C100" s="3121"/>
      <c r="D100" s="3152"/>
      <c r="E100" s="3121" t="s">
        <v>2286</v>
      </c>
      <c r="F100" s="3121"/>
      <c r="G100" s="3121"/>
      <c r="H100" s="3152"/>
      <c r="I100" s="137"/>
    </row>
    <row r="101" spans="1:35" ht="18.75" customHeight="1">
      <c r="A101" s="3160" t="s">
        <v>2287</v>
      </c>
      <c r="B101" s="3161"/>
      <c r="C101" s="734" t="str">
        <f>C4</f>
        <v>收益法 (元)</v>
      </c>
      <c r="D101" s="735" t="str">
        <f>D4</f>
        <v>比较法-住宅</v>
      </c>
      <c r="E101" s="3132" t="s">
        <v>2288</v>
      </c>
      <c r="F101" s="3133"/>
      <c r="G101" s="2514" t="s">
        <v>2289</v>
      </c>
      <c r="H101" s="1043">
        <f ca="1">H118</f>
        <v>909</v>
      </c>
      <c r="I101" s="137"/>
    </row>
    <row r="102" spans="1:35" ht="18.75" customHeight="1">
      <c r="A102" s="3162" t="s">
        <v>2290</v>
      </c>
      <c r="B102" s="2514" t="s">
        <v>2289</v>
      </c>
      <c r="C102" s="734">
        <f ca="1">C19</f>
        <v>412</v>
      </c>
      <c r="D102" s="735">
        <f ca="1">D19</f>
        <v>1033</v>
      </c>
      <c r="E102" s="3132"/>
      <c r="F102" s="3133"/>
      <c r="G102" s="2514" t="s">
        <v>2291</v>
      </c>
      <c r="H102" s="370">
        <f ca="1">I118</f>
        <v>61183</v>
      </c>
      <c r="I102" s="137"/>
    </row>
    <row r="103" spans="1:35" ht="42.75" customHeight="1">
      <c r="A103" s="3162"/>
      <c r="B103" s="2514" t="s">
        <v>2291</v>
      </c>
      <c r="C103" s="736">
        <f ca="1">C20</f>
        <v>27716</v>
      </c>
      <c r="D103" s="737">
        <f ca="1">D20</f>
        <v>69536</v>
      </c>
      <c r="E103" s="3126" t="s">
        <v>2292</v>
      </c>
      <c r="F103" s="3127"/>
      <c r="G103" s="2515" t="s">
        <v>2293</v>
      </c>
      <c r="H103" s="1043">
        <f>IF(D36="正常操作",H104+H105+H106,H105+H106)</f>
        <v>0</v>
      </c>
      <c r="I103" s="137"/>
    </row>
    <row r="104" spans="1:35" ht="18.75" customHeight="1">
      <c r="A104" s="3162" t="s">
        <v>2294</v>
      </c>
      <c r="B104" s="2516" t="s">
        <v>2289</v>
      </c>
      <c r="C104" s="738">
        <f ca="1">H118</f>
        <v>909</v>
      </c>
      <c r="D104" s="739"/>
      <c r="E104" s="2262" t="s">
        <v>2295</v>
      </c>
      <c r="F104" s="2253"/>
      <c r="G104" s="2515" t="s">
        <v>2293</v>
      </c>
      <c r="H104" s="1044">
        <f>IF(D36="同一抵押权人同一抵押物续贷",C36&amp;"（未扣减，详见特别提示）",C36)</f>
        <v>0</v>
      </c>
      <c r="I104" s="137"/>
    </row>
    <row r="105" spans="1:35" ht="18.75" customHeight="1" thickBot="1">
      <c r="A105" s="3174"/>
      <c r="B105" s="2517" t="s">
        <v>2291</v>
      </c>
      <c r="C105" s="740">
        <f ca="1">I118</f>
        <v>61183</v>
      </c>
      <c r="D105" s="741"/>
      <c r="E105" s="2262" t="s">
        <v>2296</v>
      </c>
      <c r="F105" s="2253"/>
      <c r="G105" s="2515" t="s">
        <v>2293</v>
      </c>
      <c r="H105" s="1044">
        <f>C37</f>
        <v>0</v>
      </c>
      <c r="I105" s="137"/>
    </row>
    <row r="106" spans="1:35" ht="18.75" customHeight="1">
      <c r="A106" s="2412" t="s">
        <v>2297</v>
      </c>
      <c r="B106" s="2412"/>
      <c r="C106" s="2412"/>
      <c r="D106" s="2412"/>
      <c r="E106" s="2518" t="s">
        <v>2298</v>
      </c>
      <c r="F106" s="2253"/>
      <c r="G106" s="2515" t="s">
        <v>2293</v>
      </c>
      <c r="H106" s="1044">
        <f>C38</f>
        <v>0</v>
      </c>
      <c r="I106" s="137"/>
    </row>
    <row r="107" spans="1:35" ht="18.75" customHeight="1">
      <c r="A107" s="137"/>
      <c r="B107" s="137"/>
      <c r="C107" s="137"/>
      <c r="D107" s="137"/>
      <c r="E107" s="3163" t="str">
        <f>IF(项目基本情况!E8="已注销","——","3.房地产抵押价值")</f>
        <v>3.房地产抵押价值</v>
      </c>
      <c r="F107" s="3133"/>
      <c r="G107" s="2514" t="s">
        <v>2289</v>
      </c>
      <c r="H107" s="1043">
        <f ca="1">IF(E107="——","——",H101-H103)</f>
        <v>909</v>
      </c>
      <c r="I107" s="137"/>
    </row>
    <row r="108" spans="1:35" ht="18.75" customHeight="1">
      <c r="A108" s="137"/>
      <c r="B108" s="137"/>
      <c r="C108" s="137"/>
      <c r="D108" s="137"/>
      <c r="E108" s="3163"/>
      <c r="F108" s="3133"/>
      <c r="G108" s="2514" t="s">
        <v>2291</v>
      </c>
      <c r="H108" s="370">
        <f ca="1">ROUND(H107*10000/'数据-汇总表'!E3,0)</f>
        <v>7628</v>
      </c>
      <c r="I108" s="137"/>
    </row>
    <row r="109" spans="1:35" ht="18.75" customHeight="1">
      <c r="A109" s="137"/>
      <c r="B109" s="137"/>
      <c r="C109" s="137"/>
      <c r="D109" s="137"/>
      <c r="E109" s="3163" t="str">
        <f>IF(项目基本情况!E8="已注销及未注销","4.抵押担保权已注销时的房地产抵押价值",IF(项目基本情况!E8="已注销","3.抵押担保权已注销时的房地产抵押价值","——"))</f>
        <v>——</v>
      </c>
      <c r="F109" s="3133"/>
      <c r="G109" s="2514" t="s">
        <v>2289</v>
      </c>
      <c r="H109" s="347" t="str">
        <f>IF(E109="——","——",H101-H105-H106)</f>
        <v>——</v>
      </c>
      <c r="I109" s="137"/>
    </row>
    <row r="110" spans="1:35" ht="18.75" customHeight="1">
      <c r="A110" s="137"/>
      <c r="B110" s="137"/>
      <c r="C110" s="137"/>
      <c r="D110" s="137"/>
      <c r="E110" s="3163"/>
      <c r="F110" s="3133"/>
      <c r="G110" s="2514" t="s">
        <v>2291</v>
      </c>
      <c r="H110" s="370" t="str">
        <f>IF(H109="——","——",ROUND(H109*10000/'数据-汇总表'!E3,0))</f>
        <v>——</v>
      </c>
      <c r="I110" s="137"/>
    </row>
    <row r="111" spans="1:35" ht="18.75" customHeight="1">
      <c r="A111" s="137"/>
      <c r="B111" s="137"/>
      <c r="C111" s="137"/>
      <c r="D111" s="137"/>
      <c r="E111" s="3164" t="str">
        <f>IF(项目基本情况!E9="抵押净值",IF(OR(项目基本情况!E8="已注销",项目基本情况!E8="房地产抵押价值"),"4.抵押净值","5.抵押净值"),"——")</f>
        <v>——</v>
      </c>
      <c r="F111" s="3165"/>
      <c r="G111" s="2514" t="s">
        <v>2289</v>
      </c>
      <c r="H111" s="1043" t="str">
        <f>IF(E111="——","——",N59)</f>
        <v>——</v>
      </c>
      <c r="I111" s="137"/>
    </row>
    <row r="112" spans="1:35" ht="18.75" customHeight="1" thickBot="1">
      <c r="A112" s="137"/>
      <c r="B112" s="137"/>
      <c r="C112" s="137"/>
      <c r="D112" s="137"/>
      <c r="E112" s="3166"/>
      <c r="F112" s="3167"/>
      <c r="G112" s="2519" t="s">
        <v>2291</v>
      </c>
      <c r="H112" s="788" t="str">
        <f>IF(E111="——","——",N61)</f>
        <v>——</v>
      </c>
      <c r="I112" s="137"/>
    </row>
    <row r="113" spans="1:11" ht="18.75" customHeight="1">
      <c r="A113" s="137"/>
      <c r="B113" s="137"/>
      <c r="C113" s="137"/>
      <c r="D113" s="137"/>
      <c r="E113" s="3175" t="s">
        <v>2297</v>
      </c>
      <c r="F113" s="3175"/>
      <c r="G113" s="3175"/>
      <c r="H113" s="3175"/>
      <c r="I113" s="137"/>
    </row>
    <row r="114" spans="1:11" ht="3.75" customHeight="1">
      <c r="A114" s="2412"/>
      <c r="B114" s="2412"/>
      <c r="C114" s="2412"/>
      <c r="D114" s="2412"/>
      <c r="E114" s="2490"/>
      <c r="F114" s="2490"/>
      <c r="G114" s="2490"/>
      <c r="H114" s="2490"/>
      <c r="I114" s="2412"/>
    </row>
    <row r="115" spans="1:11" ht="18.75" customHeight="1">
      <c r="A115" s="3188" t="s">
        <v>2299</v>
      </c>
      <c r="B115" s="3189"/>
      <c r="C115" s="3189"/>
      <c r="D115" s="3189"/>
      <c r="E115" s="3189"/>
      <c r="F115" s="3189"/>
      <c r="G115" s="3189"/>
      <c r="H115" s="3189"/>
      <c r="I115" s="3190"/>
    </row>
    <row r="116" spans="1:11" ht="27" customHeight="1">
      <c r="A116" s="3099" t="s">
        <v>2300</v>
      </c>
      <c r="B116" s="3142" t="s">
        <v>2301</v>
      </c>
      <c r="C116" s="3142" t="s">
        <v>2302</v>
      </c>
      <c r="D116" s="3148" t="s">
        <v>2303</v>
      </c>
      <c r="E116" s="3149"/>
      <c r="F116" s="3184" t="s">
        <v>2304</v>
      </c>
      <c r="G116" s="3184"/>
      <c r="H116" s="3099" t="s">
        <v>2305</v>
      </c>
      <c r="I116" s="3099"/>
    </row>
    <row r="117" spans="1:11" ht="18.75" customHeight="1">
      <c r="A117" s="3099"/>
      <c r="B117" s="3143"/>
      <c r="C117" s="3143"/>
      <c r="D117" s="1793" t="s">
        <v>2306</v>
      </c>
      <c r="E117" s="1793" t="s">
        <v>2307</v>
      </c>
      <c r="F117" s="1793" t="s">
        <v>2306</v>
      </c>
      <c r="G117" s="1793" t="s">
        <v>2308</v>
      </c>
      <c r="H117" s="1793" t="s">
        <v>2306</v>
      </c>
      <c r="I117" s="1793" t="s">
        <v>2308</v>
      </c>
    </row>
    <row r="118" spans="1:11" ht="24.75" customHeight="1">
      <c r="A118" s="2520" t="str">
        <f>项目基本情况!S2</f>
        <v>北京市朝阳区东三环中路乙16号院4号楼2层207号等31套住宅用房及朝阳区东三环中路乙16号院5号楼1至2层101号办公用房房地产</v>
      </c>
      <c r="B118" s="1793">
        <f>M18</f>
        <v>148.57</v>
      </c>
      <c r="C118" s="1793">
        <f>M19</f>
        <v>130.66999999999999</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909</v>
      </c>
      <c r="I118" s="1793">
        <f ca="1">ROUND(IF(D32="楼面单价",C32,H118*10000/B118),0)</f>
        <v>61183</v>
      </c>
    </row>
    <row r="119" spans="1:11" ht="18.75" customHeight="1">
      <c r="A119" s="3099" t="s">
        <v>2309</v>
      </c>
      <c r="B119" s="3099"/>
      <c r="C119" s="3099"/>
      <c r="D119" s="3144" t="e">
        <f ca="1">NUMBERSTRING(INT(D118*10000),2)&amp;"元整"</f>
        <v>#REF!</v>
      </c>
      <c r="E119" s="3145"/>
      <c r="F119" s="3144" t="e">
        <f ca="1">NUMBERSTRING(INT(F118*10000),2)&amp;"元整"</f>
        <v>#REF!</v>
      </c>
      <c r="G119" s="3145"/>
      <c r="H119" s="3144" t="str">
        <f ca="1">NUMBERSTRING(INT(H118*10000),2)&amp;"元整"</f>
        <v>玖佰零玖万元整</v>
      </c>
      <c r="I119" s="3145"/>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7" t="str">
        <f>IF(D120=0,"故，本次评估不存在"&amp;A120,"故，本次评估"&amp;A120&amp;"为人民币"&amp;D120&amp;"万元整。")</f>
        <v>故，本次评估不存在估价师知悉的法定优先受偿款</v>
      </c>
    </row>
    <row r="121" spans="1:11" ht="18.75" customHeight="1">
      <c r="A121" s="3185" t="s">
        <v>2309</v>
      </c>
      <c r="B121" s="3186"/>
      <c r="C121" s="3187"/>
      <c r="D121" s="3144" t="str">
        <f>IF(D120=0,"零元整",NUMBERSTRING(INT(D120*10000),2)&amp;"元整")</f>
        <v>零元整</v>
      </c>
      <c r="E121" s="3146"/>
      <c r="F121" s="3146"/>
      <c r="G121" s="3146"/>
      <c r="H121" s="3146"/>
      <c r="I121" s="3145"/>
    </row>
    <row r="122" spans="1:11" ht="18.75" customHeight="1">
      <c r="A122" s="3150" t="str">
        <f>IF(项目基本情况!B9="房地产市场价值","",MID(E107,3,LEN(E107)-2))</f>
        <v>房地产抵押价值</v>
      </c>
      <c r="B122" s="3150"/>
      <c r="C122" s="3150"/>
      <c r="D122" s="3139">
        <f ca="1">H107</f>
        <v>909</v>
      </c>
      <c r="E122" s="3140"/>
      <c r="F122" s="3140"/>
      <c r="G122" s="3140"/>
      <c r="H122" s="3140"/>
      <c r="I122" s="3141"/>
    </row>
    <row r="123" spans="1:11" ht="18.75" customHeight="1">
      <c r="A123" s="3099" t="s">
        <v>2309</v>
      </c>
      <c r="B123" s="3099"/>
      <c r="C123" s="3099"/>
      <c r="D123" s="3144" t="str">
        <f ca="1">NUMBERSTRING(INT(D122*10000),2)&amp;"元整"</f>
        <v>玖佰零玖万元整</v>
      </c>
      <c r="E123" s="3146"/>
      <c r="F123" s="3146"/>
      <c r="G123" s="3146"/>
      <c r="H123" s="3146"/>
      <c r="I123" s="3145"/>
    </row>
    <row r="124" spans="1:11" ht="18.75" customHeight="1">
      <c r="A124" s="3150" t="str">
        <f>IF(项目基本情况!B9="房地产市场价值","",MID(E109,3,LEN(E109)-2))</f>
        <v/>
      </c>
      <c r="B124" s="3150"/>
      <c r="C124" s="3150"/>
      <c r="D124" s="3139" t="str">
        <f>H109</f>
        <v>——</v>
      </c>
      <c r="E124" s="3140"/>
      <c r="F124" s="3140"/>
      <c r="G124" s="3140"/>
      <c r="H124" s="3140"/>
      <c r="I124" s="3141"/>
    </row>
    <row r="125" spans="1:11" ht="18.75" customHeight="1">
      <c r="A125" s="3099" t="s">
        <v>2309</v>
      </c>
      <c r="B125" s="3099"/>
      <c r="C125" s="3099"/>
      <c r="D125" s="3144" t="e">
        <f>NUMBERSTRING(INT(D124*10000),2)&amp;"元整"</f>
        <v>#VALUE!</v>
      </c>
      <c r="E125" s="3146"/>
      <c r="F125" s="3146"/>
      <c r="G125" s="3146"/>
      <c r="H125" s="3146"/>
      <c r="I125" s="3145"/>
    </row>
    <row r="126" spans="1:11" ht="18.75" customHeight="1">
      <c r="A126" s="3150" t="str">
        <f>IF(项目基本情况!B9="房地产市场价值","",MID(E111,3,LEN(E111)-2))</f>
        <v/>
      </c>
      <c r="B126" s="3150"/>
      <c r="C126" s="3150"/>
      <c r="D126" s="3139" t="str">
        <f>H111</f>
        <v>——</v>
      </c>
      <c r="E126" s="3140"/>
      <c r="F126" s="3140"/>
      <c r="G126" s="3140"/>
      <c r="H126" s="3140"/>
      <c r="I126" s="3141"/>
    </row>
    <row r="127" spans="1:11" ht="18.75" customHeight="1">
      <c r="A127" s="3099" t="s">
        <v>2309</v>
      </c>
      <c r="B127" s="3099"/>
      <c r="C127" s="3099"/>
      <c r="D127" s="3144" t="e">
        <f>NUMBERSTRING(INT(D126*10000),2)&amp;"元整"</f>
        <v>#VALUE!</v>
      </c>
      <c r="E127" s="3146"/>
      <c r="F127" s="3146"/>
      <c r="G127" s="3146"/>
      <c r="H127" s="3146"/>
      <c r="I127" s="3145"/>
    </row>
    <row r="128" spans="1:11" ht="21.75" customHeight="1">
      <c r="A128" s="3147" t="s">
        <v>2310</v>
      </c>
      <c r="B128" s="3147"/>
      <c r="C128" s="3147"/>
      <c r="D128" s="3147"/>
      <c r="E128" s="3147"/>
      <c r="F128" s="3147"/>
      <c r="G128" s="3147"/>
      <c r="H128" s="3147"/>
      <c r="I128" s="3147"/>
    </row>
    <row r="129" spans="1:35" ht="21.75" customHeight="1">
      <c r="A129" s="2521" t="s">
        <v>2311</v>
      </c>
      <c r="B129" s="2522"/>
      <c r="C129" s="2523" t="s">
        <v>2312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2313</v>
      </c>
      <c r="G135" s="2538"/>
      <c r="H135" s="2538"/>
      <c r="I135" s="2539" t="s">
        <v>2314</v>
      </c>
    </row>
    <row r="136" spans="1:35" ht="21.75" customHeight="1">
      <c r="A136" s="793"/>
      <c r="B136" s="2540"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2316</v>
      </c>
    </row>
    <row r="139" spans="1:35" ht="21.75" customHeight="1">
      <c r="A139" s="793"/>
      <c r="B139" s="2540" t="s">
        <v>2317</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2316</v>
      </c>
    </row>
    <row r="142" spans="1:35" ht="21.75" customHeight="1">
      <c r="A142" s="793"/>
      <c r="B142" s="2540"/>
      <c r="C142" s="2541"/>
      <c r="D142" s="2542"/>
      <c r="E142" s="2542"/>
      <c r="F142" s="2336"/>
      <c r="G142" s="793"/>
      <c r="H142" s="793"/>
      <c r="I142" s="793"/>
    </row>
    <row r="143" spans="1:35" s="138" customFormat="1" ht="21.75" customHeight="1">
      <c r="A143" s="793"/>
      <c r="B143" s="2540"/>
      <c r="C143" s="2541"/>
      <c r="D143" s="2542"/>
      <c r="E143" s="2542"/>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7" sqref="F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4"/>
      <c r="C1" s="241"/>
      <c r="D1" s="241"/>
      <c r="E1" s="241"/>
      <c r="F1" s="241"/>
      <c r="G1" s="1377">
        <f>MATCH(B1,'数据-取费表'!A6:A16,0)+5</f>
        <v>8</v>
      </c>
    </row>
    <row r="2" spans="1:9" s="243" customFormat="1" ht="18" customHeight="1">
      <c r="A2" s="244" t="s">
        <v>2319</v>
      </c>
      <c r="B2" s="245">
        <f ca="1">IF(D2="——",C52,C52-E2)</f>
        <v>601</v>
      </c>
      <c r="C2" s="242" t="s">
        <v>2320</v>
      </c>
      <c r="D2" s="2543" t="s">
        <v>70</v>
      </c>
      <c r="E2" s="1438" t="e">
        <f ca="1">SUMIF(INDIRECT("'"&amp;G2&amp;"'"&amp;"!A:A"),"承租人权益价值",INDIRECT("'"&amp;G2&amp;"'"&amp;"!c:c"))</f>
        <v>#REF!</v>
      </c>
      <c r="F2" s="2544" t="s">
        <v>2320</v>
      </c>
      <c r="G2" s="2545"/>
    </row>
    <row r="3" spans="1:9" s="243" customFormat="1" ht="18" customHeight="1" thickBot="1">
      <c r="A3" s="246" t="s">
        <v>2321</v>
      </c>
      <c r="B3" s="247">
        <f ca="1">ROUND(B2*10000/(IF(B1="",'数据-汇总表'!E3,INDIRECT("'数据-取费表'!k"&amp;$G$1))),0)</f>
        <v>5043</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0</v>
      </c>
      <c r="D5" s="254" t="s">
        <v>2326</v>
      </c>
      <c r="E5" s="255" t="s">
        <v>2327</v>
      </c>
      <c r="F5" s="255" t="s">
        <v>2328</v>
      </c>
      <c r="G5" s="256"/>
    </row>
    <row r="6" spans="1:9" s="257" customFormat="1" ht="13.5" customHeight="1">
      <c r="A6" s="947" t="s">
        <v>2329</v>
      </c>
      <c r="B6" s="258" t="s">
        <v>2330</v>
      </c>
      <c r="C6" s="259"/>
      <c r="D6" s="260"/>
      <c r="E6" s="261"/>
      <c r="F6" s="261"/>
      <c r="G6" s="262"/>
    </row>
    <row r="7" spans="1:9" s="257" customFormat="1" ht="13.5" customHeight="1">
      <c r="A7" s="947" t="s">
        <v>2331</v>
      </c>
      <c r="B7" s="258" t="s">
        <v>2332</v>
      </c>
      <c r="C7" s="263">
        <f>ROUND(C6*F7,0)</f>
        <v>0</v>
      </c>
      <c r="D7" s="263"/>
      <c r="E7" s="261"/>
      <c r="F7" s="264">
        <f>IF(项目基本情况!B8="出让",0,'数据-取费表'!B48+'数据-取费表'!B49)</f>
        <v>3.0499999999999999E-2</v>
      </c>
      <c r="G7" s="262"/>
    </row>
    <row r="8" spans="1:9" s="266" customFormat="1">
      <c r="A8" s="947" t="s">
        <v>2333</v>
      </c>
      <c r="B8" s="258" t="s">
        <v>2334</v>
      </c>
      <c r="C8" s="263">
        <f>IF(G8="已包含在土地购买价格中","0",IF(B1="",'数据-取费表'!B29,IF(G9="全部缴纳",C9+C10,H9)))</f>
        <v>0</v>
      </c>
      <c r="D8" s="265"/>
      <c r="E8" s="263"/>
      <c r="F8" s="264"/>
      <c r="G8" s="2546"/>
    </row>
    <row r="9" spans="1:9" s="257" customFormat="1" ht="13.5" customHeight="1">
      <c r="A9" s="948" t="s">
        <v>800</v>
      </c>
      <c r="B9" s="267" t="s">
        <v>2335</v>
      </c>
      <c r="C9" s="268">
        <f ca="1">ROUND(D9*E9/10000,0)</f>
        <v>2</v>
      </c>
      <c r="D9" s="1030">
        <f ca="1">IF(B1="",'数据-汇总表'!E5,IF(INDIRECT("'数据-取费表'!c"&amp;$G$1)="住宅",INDIRECT("'数据-取费表'!k"&amp;$G$1),0))</f>
        <v>148.57</v>
      </c>
      <c r="E9" s="268">
        <f>'数据-取费表'!B27</f>
        <v>160</v>
      </c>
      <c r="F9" s="264"/>
      <c r="G9" s="2547"/>
      <c r="H9" s="1388"/>
      <c r="I9" s="2548" t="s">
        <v>2336</v>
      </c>
    </row>
    <row r="10" spans="1:9" s="257" customFormat="1" ht="13.5" customHeight="1">
      <c r="A10" s="948" t="s">
        <v>801</v>
      </c>
      <c r="B10" s="267" t="s">
        <v>2337</v>
      </c>
      <c r="C10" s="268">
        <f ca="1">ROUND(D10*E10/10000,0)</f>
        <v>21</v>
      </c>
      <c r="D10" s="1030">
        <f ca="1">IF(B1="",'数据-汇总表'!E6,IF(INDIRECT("'数据-取费表'!c"&amp;$G$1)="住宅",INDIRECT("'数据-取费表'!s"&amp;$G$1),INDIRECT("'数据-取费表'!k"&amp;$G$1)+INDIRECT("'数据-取费表'!s"&amp;$G$1)))</f>
        <v>1043.1300000000001</v>
      </c>
      <c r="E10" s="268">
        <f>'数据-取费表'!B28</f>
        <v>200</v>
      </c>
      <c r="F10" s="264"/>
      <c r="G10" s="269"/>
    </row>
    <row r="11" spans="1:9" s="257" customFormat="1" ht="13.5" hidden="1" customHeight="1">
      <c r="A11" s="270" t="s">
        <v>7</v>
      </c>
      <c r="B11" s="258" t="s">
        <v>2338</v>
      </c>
      <c r="C11" s="254"/>
      <c r="D11" s="1032"/>
      <c r="E11" s="261"/>
      <c r="F11" s="261"/>
      <c r="G11" s="262"/>
    </row>
    <row r="12" spans="1:9" s="257" customFormat="1" ht="13.5" hidden="1" customHeight="1">
      <c r="A12" s="270" t="s">
        <v>8</v>
      </c>
      <c r="B12" s="258" t="s">
        <v>2339</v>
      </c>
      <c r="C12" s="254">
        <v>0</v>
      </c>
      <c r="D12" s="1032"/>
      <c r="E12" s="271"/>
      <c r="F12" s="264">
        <v>3.0499999999999999E-2</v>
      </c>
      <c r="G12" s="262"/>
    </row>
    <row r="13" spans="1:9" s="257" customFormat="1" ht="13.5" hidden="1" customHeight="1">
      <c r="A13" s="270" t="s">
        <v>9</v>
      </c>
      <c r="B13" s="258" t="s">
        <v>2340</v>
      </c>
      <c r="C13" s="254"/>
      <c r="D13" s="1032"/>
      <c r="E13" s="261"/>
      <c r="F13" s="261"/>
      <c r="G13" s="262"/>
    </row>
    <row r="14" spans="1:9" s="257" customFormat="1" ht="13.5" hidden="1" customHeight="1">
      <c r="A14" s="270" t="s">
        <v>10</v>
      </c>
      <c r="B14" s="258" t="s">
        <v>2341</v>
      </c>
      <c r="C14" s="254"/>
      <c r="D14" s="1032"/>
      <c r="E14" s="261"/>
      <c r="F14" s="261"/>
      <c r="G14" s="262" t="s">
        <v>2342</v>
      </c>
    </row>
    <row r="15" spans="1:9" s="257" customFormat="1" ht="13.5" hidden="1" customHeight="1">
      <c r="A15" s="270" t="s">
        <v>11</v>
      </c>
      <c r="B15" s="258" t="s">
        <v>2343</v>
      </c>
      <c r="C15" s="263"/>
      <c r="D15" s="1032"/>
      <c r="E15" s="261"/>
      <c r="F15" s="261"/>
      <c r="G15" s="262" t="s">
        <v>2344</v>
      </c>
    </row>
    <row r="16" spans="1:9" s="257" customFormat="1" ht="13.5" hidden="1" customHeight="1">
      <c r="A16" s="270" t="s">
        <v>12</v>
      </c>
      <c r="B16" s="258" t="s">
        <v>2341</v>
      </c>
      <c r="C16" s="263"/>
      <c r="D16" s="1032"/>
      <c r="E16" s="261"/>
      <c r="F16" s="261"/>
      <c r="G16" s="262"/>
    </row>
    <row r="17" spans="1:7" s="257" customFormat="1" ht="13.5" hidden="1" customHeight="1">
      <c r="A17" s="270" t="s">
        <v>13</v>
      </c>
      <c r="B17" s="258" t="s">
        <v>2345</v>
      </c>
      <c r="C17" s="272"/>
      <c r="D17" s="1033"/>
      <c r="E17" s="272"/>
      <c r="F17" s="272"/>
      <c r="G17" s="262" t="s">
        <v>2344</v>
      </c>
    </row>
    <row r="18" spans="1:7" s="257" customFormat="1" ht="13.5" hidden="1" customHeight="1">
      <c r="A18" s="270" t="s">
        <v>14</v>
      </c>
      <c r="B18" s="258" t="s">
        <v>2346</v>
      </c>
      <c r="C18" s="263">
        <v>0</v>
      </c>
      <c r="D18" s="1032"/>
      <c r="E18" s="261"/>
      <c r="F18" s="264">
        <v>3.0499999999999999E-2</v>
      </c>
      <c r="G18" s="262" t="s">
        <v>2347</v>
      </c>
    </row>
    <row r="19" spans="1:7" s="266" customFormat="1" ht="13.5" customHeight="1">
      <c r="A19" s="298" t="s">
        <v>2348</v>
      </c>
      <c r="B19" s="253" t="s">
        <v>2349</v>
      </c>
      <c r="C19" s="254">
        <f ca="1">IF(G19="已包含在土地取得成本中","0",ROUND(D19*E19/10000,0))</f>
        <v>24</v>
      </c>
      <c r="D19" s="1034">
        <f ca="1">D9+D10</f>
        <v>1191.7</v>
      </c>
      <c r="E19" s="254">
        <f>'数据-取费表'!B31</f>
        <v>200</v>
      </c>
      <c r="F19" s="274"/>
      <c r="G19" s="2546"/>
    </row>
    <row r="20" spans="1:7" s="257" customFormat="1" ht="13.5" customHeight="1">
      <c r="A20" s="298" t="s">
        <v>2350</v>
      </c>
      <c r="B20" s="253" t="s">
        <v>2351</v>
      </c>
      <c r="C20" s="275">
        <f ca="1">ROUND((C5+C19)*F20,0)</f>
        <v>0</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2</v>
      </c>
      <c r="D22" s="278">
        <f ca="1">C26</f>
        <v>1E-3</v>
      </c>
      <c r="E22" s="279" t="s">
        <v>2355</v>
      </c>
      <c r="F22" s="280">
        <f ca="1">'数据-取费表'!B40</f>
        <v>4.7500000000000001E-2</v>
      </c>
      <c r="G22" s="277" t="str">
        <f>IF('数据-取费表'!B22&lt;=1,"单利计息","复利计息")</f>
        <v>复利计息</v>
      </c>
    </row>
    <row r="23" spans="1:7" s="257" customFormat="1" ht="13.5" customHeight="1">
      <c r="A23" s="949" t="s">
        <v>2359</v>
      </c>
      <c r="B23" s="258" t="s">
        <v>2360</v>
      </c>
      <c r="C23" s="1353">
        <f ca="1">ROUND(IF('数据-取费表'!B22&lt;=1,C5*F22*'数据-取费表'!B23,C5*(POWER((1+F22),'数据-取费表'!B23)-1)),0)</f>
        <v>0</v>
      </c>
      <c r="D23" s="281"/>
      <c r="E23" s="281"/>
      <c r="F23" s="282"/>
      <c r="G23" s="283" t="s">
        <v>2361</v>
      </c>
    </row>
    <row r="24" spans="1:7" s="257" customFormat="1" ht="13.5" customHeight="1">
      <c r="A24" s="949" t="s">
        <v>2362</v>
      </c>
      <c r="B24" s="258" t="s">
        <v>2363</v>
      </c>
      <c r="C24" s="1353">
        <f ca="1">ROUND(IF('数据-取费表'!B22&lt;=1,C19*F22*('数据-取费表'!B19/2+'数据-取费表'!B21),C19*(POWER((1+F22),('数据-取费表'!B19/2+'数据-取费表'!B21))-1)),0)</f>
        <v>2</v>
      </c>
      <c r="D24" s="281"/>
      <c r="E24" s="281"/>
      <c r="F24" s="282"/>
      <c r="G24" s="283" t="s">
        <v>2364</v>
      </c>
    </row>
    <row r="25" spans="1:7" s="257" customFormat="1" ht="24">
      <c r="A25" s="949" t="s">
        <v>2365</v>
      </c>
      <c r="B25" s="258" t="s">
        <v>2366</v>
      </c>
      <c r="C25" s="1353">
        <f ca="1">ROUND(IF('数据-取费表'!B22&lt;=1,C20*F22*'数据-取费表'!B23/2,C20*(POWER((1+F22),'数据-取费表'!B23/2)-1)),0)</f>
        <v>0</v>
      </c>
      <c r="D25" s="281"/>
      <c r="E25" s="284"/>
      <c r="F25" s="282"/>
      <c r="G25" s="285" t="s">
        <v>2367</v>
      </c>
    </row>
    <row r="26" spans="1:7" s="257" customFormat="1">
      <c r="A26" s="949" t="s">
        <v>795</v>
      </c>
      <c r="B26" s="258" t="s">
        <v>2368</v>
      </c>
      <c r="C26" s="281">
        <f ca="1">ROUND(IF('数据-取费表'!B22&lt;=1,F21*F22*'数据-取费表'!B23/2,F21*(POWER((1+F22),'数据-取费表'!B23/2)-1)),4)</f>
        <v>1E-3</v>
      </c>
      <c r="D26" s="281"/>
      <c r="E26" s="284"/>
      <c r="F26" s="282"/>
      <c r="G26" s="286"/>
    </row>
    <row r="27" spans="1:7" s="257" customFormat="1" ht="24.75">
      <c r="A27" s="298" t="s">
        <v>2369</v>
      </c>
      <c r="B27" s="287" t="s">
        <v>2370</v>
      </c>
      <c r="C27" s="288">
        <f ca="1">C28</f>
        <v>5</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ROUND((C5+C19+C20)*F27*'数据-取费表'!B21/'数据-取费表'!B20,0)</f>
        <v>5</v>
      </c>
      <c r="D28" s="278"/>
      <c r="E28" s="279"/>
      <c r="F28" s="289"/>
      <c r="G28" s="290"/>
    </row>
    <row r="29" spans="1:7" s="257" customFormat="1" ht="13.5" customHeight="1">
      <c r="A29" s="949" t="s">
        <v>792</v>
      </c>
      <c r="B29" s="291" t="s">
        <v>2374</v>
      </c>
      <c r="C29" s="281">
        <f ca="1">ROUND(C21*F27*'数据-取费表'!B21/'数据-取费表'!B20,4)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34</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463</v>
      </c>
      <c r="D33" s="275"/>
      <c r="E33" s="255"/>
      <c r="F33" s="284"/>
      <c r="G33" s="277"/>
    </row>
    <row r="34" spans="1:7" s="301" customFormat="1" ht="13.5" customHeight="1">
      <c r="A34" s="949" t="s">
        <v>791</v>
      </c>
      <c r="B34" s="258" t="s">
        <v>2382</v>
      </c>
      <c r="C34" s="263">
        <f ca="1">IF(B1="",IF(F34=100%,'数据-取费表'!M16,'数据-取费表'!O16),IF(F34=100%,INDIRECT("'数据-取费表'!m"&amp;$G$1)+INDIRECT("'数据-取费表'!t"&amp;$G$1),INDIRECT("'数据-取费表'!o"&amp;$G$1)+INDIRECT("'数据-取费表'!aq"&amp;$G$1)))</f>
        <v>417</v>
      </c>
      <c r="D34" s="260"/>
      <c r="E34" s="263"/>
      <c r="F34" s="300">
        <f ca="1">IF('数据-取费表'!B24=0,1,IF(B1="",'数据-取费表'!N16,INDIRECT("'数据-取费表'!n"&amp;$G$1)))</f>
        <v>1</v>
      </c>
      <c r="G34" s="262" t="s">
        <v>2383</v>
      </c>
    </row>
    <row r="35" spans="1:7" ht="13.5" customHeight="1">
      <c r="A35" s="949" t="s">
        <v>796</v>
      </c>
      <c r="B35" s="258" t="s">
        <v>2384</v>
      </c>
      <c r="C35" s="263">
        <f ca="1">ROUND(C34*F35,0)</f>
        <v>13</v>
      </c>
      <c r="D35" s="263"/>
      <c r="E35" s="263"/>
      <c r="F35" s="302">
        <f>'数据-取费表'!B33</f>
        <v>0.03</v>
      </c>
      <c r="G35" s="262" t="s">
        <v>2385</v>
      </c>
    </row>
    <row r="36" spans="1:7" ht="24">
      <c r="A36" s="949" t="s">
        <v>797</v>
      </c>
      <c r="B36" s="258" t="s">
        <v>2386</v>
      </c>
      <c r="C36" s="263">
        <f ca="1">ROUND(IF(B1="",SUMIF('数据-取费表'!C:C,"住宅",IF(F34=100%,'数据-取费表'!M:M,'数据-取费表'!O:O))*F36,IF(INDIRECT("'数据-取费表'!c"&amp;$G$1)="住宅",IF(F34=100%,INDIRECT("'数据-取费表'!m"&amp;$G$1)*F36,INDIRECT("'数据-取费表'!o"&amp;$G$1)*F36),0)),0)</f>
        <v>3</v>
      </c>
      <c r="D36" s="263"/>
      <c r="E36" s="263"/>
      <c r="F36" s="302">
        <f>'数据-取费表'!B34</f>
        <v>0.05</v>
      </c>
      <c r="G36" s="303" t="s">
        <v>2387</v>
      </c>
    </row>
    <row r="37" spans="1:7" s="301" customFormat="1" ht="13.5" customHeight="1">
      <c r="A37" s="949" t="s">
        <v>798</v>
      </c>
      <c r="B37" s="258" t="s">
        <v>2388</v>
      </c>
      <c r="C37" s="292">
        <f ca="1">ROUND(E37*D37*F34/10000,0)</f>
        <v>24</v>
      </c>
      <c r="D37" s="260">
        <f ca="1">D19</f>
        <v>1191.7</v>
      </c>
      <c r="E37" s="292">
        <f>'数据-取费表'!B35</f>
        <v>200</v>
      </c>
      <c r="F37" s="302"/>
      <c r="G37" s="304" t="s">
        <v>2389</v>
      </c>
    </row>
    <row r="38" spans="1:7" ht="13.5" customHeight="1">
      <c r="A38" s="949" t="s">
        <v>799</v>
      </c>
      <c r="B38" s="258" t="s">
        <v>2390</v>
      </c>
      <c r="C38" s="263">
        <f ca="1">ROUND(C34*F38,0)</f>
        <v>6</v>
      </c>
      <c r="D38" s="263"/>
      <c r="E38" s="263"/>
      <c r="F38" s="302">
        <f>'数据-取费表'!B36</f>
        <v>1.4999999999999999E-2</v>
      </c>
      <c r="G38" s="262" t="s">
        <v>2385</v>
      </c>
    </row>
    <row r="39" spans="1:7" s="257" customFormat="1" ht="13.5" customHeight="1">
      <c r="A39" s="298" t="s">
        <v>2391</v>
      </c>
      <c r="B39" s="253" t="s">
        <v>2392</v>
      </c>
      <c r="C39" s="275">
        <f ca="1">ROUND(C33*F20,0)</f>
        <v>9</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22</v>
      </c>
      <c r="D41" s="278">
        <f ca="1">C44</f>
        <v>1E-3</v>
      </c>
      <c r="E41" s="279" t="s">
        <v>2396</v>
      </c>
      <c r="F41" s="280"/>
      <c r="G41" s="277" t="str">
        <f>IF('数据-取费表'!B22&lt;=1,"单利计息","复利计息")</f>
        <v>复利计息</v>
      </c>
    </row>
    <row r="42" spans="1:7" ht="13.5" customHeight="1">
      <c r="A42" s="949" t="s">
        <v>791</v>
      </c>
      <c r="B42" s="258" t="s">
        <v>2400</v>
      </c>
      <c r="C42" s="281">
        <f ca="1">ROUND(IF('数据-取费表'!B22&lt;=1,C33*F22*'数据-取费表'!B21/2,C33*(POWER((1+F22),'数据-取费表'!B21/2)-1)),0)</f>
        <v>22</v>
      </c>
      <c r="D42" s="281"/>
      <c r="E42" s="281"/>
      <c r="F42" s="282"/>
      <c r="G42" s="3219" t="s">
        <v>2401</v>
      </c>
    </row>
    <row r="43" spans="1:7" ht="13.5" customHeight="1">
      <c r="A43" s="949" t="s">
        <v>792</v>
      </c>
      <c r="B43" s="258" t="s">
        <v>2402</v>
      </c>
      <c r="C43" s="281">
        <f ca="1">ROUND(IF('数据-取费表'!B22&lt;=1,C39*F22*'数据-取费表'!B21/2,C39*(POWER((1+F22),'数据-取费表'!B21/2)-1)),0)</f>
        <v>0</v>
      </c>
      <c r="D43" s="281"/>
      <c r="E43" s="281"/>
      <c r="F43" s="282"/>
      <c r="G43" s="3220"/>
    </row>
    <row r="44" spans="1:7" ht="13.5" customHeight="1">
      <c r="A44" s="949" t="s">
        <v>793</v>
      </c>
      <c r="B44" s="258" t="s">
        <v>2403</v>
      </c>
      <c r="C44" s="281">
        <f ca="1">ROUND(IF('数据-取费表'!B22&lt;=1,C40*F22*'数据-取费表'!B21/2,C40*(POWER((1+F22),'数据-取费表'!B21/2)-1)),4)</f>
        <v>1E-3</v>
      </c>
      <c r="D44" s="281"/>
      <c r="E44" s="281"/>
      <c r="F44" s="282"/>
      <c r="G44" s="3221"/>
    </row>
    <row r="45" spans="1:7" s="257" customFormat="1" ht="13.5" customHeight="1">
      <c r="A45" s="298" t="s">
        <v>2404</v>
      </c>
      <c r="B45" s="287" t="s">
        <v>2370</v>
      </c>
      <c r="C45" s="288">
        <f ca="1">C46</f>
        <v>94</v>
      </c>
      <c r="D45" s="278">
        <f ca="1">C47</f>
        <v>4.0000000000000001E-3</v>
      </c>
      <c r="E45" s="279" t="s">
        <v>2396</v>
      </c>
      <c r="F45" s="289"/>
      <c r="G45" s="290" t="s">
        <v>2405</v>
      </c>
    </row>
    <row r="46" spans="1:7" s="257" customFormat="1" ht="13.5" customHeight="1">
      <c r="A46" s="949" t="s">
        <v>791</v>
      </c>
      <c r="B46" s="291" t="s">
        <v>2406</v>
      </c>
      <c r="C46" s="292">
        <f ca="1">ROUND((C33+C39)*F27,0)</f>
        <v>94</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638</v>
      </c>
      <c r="D49" s="275"/>
      <c r="E49" s="275"/>
      <c r="F49" s="307"/>
      <c r="G49" s="277" t="s">
        <v>2411</v>
      </c>
    </row>
    <row r="50" spans="1:7" s="301" customFormat="1" ht="24">
      <c r="A50" s="298" t="s">
        <v>2412</v>
      </c>
      <c r="B50" s="253" t="s">
        <v>2413</v>
      </c>
      <c r="C50" s="275"/>
      <c r="D50" s="275"/>
      <c r="E50" s="275"/>
      <c r="F50" s="307">
        <f>IF('数据-取费表'!B24=0,'数据-取费表'!N16,1)</f>
        <v>0.88800000000000001</v>
      </c>
      <c r="G50" s="290" t="s">
        <v>2414</v>
      </c>
    </row>
    <row r="51" spans="1:7" ht="16.5" customHeight="1">
      <c r="A51" s="298" t="s">
        <v>2415</v>
      </c>
      <c r="B51" s="253" t="s">
        <v>2416</v>
      </c>
      <c r="C51" s="275">
        <f ca="1">ROUND(C49*F50,0)</f>
        <v>567</v>
      </c>
      <c r="D51" s="275"/>
      <c r="E51" s="275"/>
      <c r="F51" s="307"/>
      <c r="G51" s="277" t="s">
        <v>2417</v>
      </c>
    </row>
    <row r="52" spans="1:7" s="251" customFormat="1" ht="16.5" thickBot="1">
      <c r="A52" s="308" t="s">
        <v>2418</v>
      </c>
      <c r="B52" s="309"/>
      <c r="C52" s="310">
        <f ca="1">C31+C51</f>
        <v>601</v>
      </c>
      <c r="D52" s="309"/>
      <c r="E52" s="309"/>
      <c r="F52" s="309"/>
      <c r="G52" s="311"/>
    </row>
    <row r="55" spans="1:7" ht="15">
      <c r="B55" s="313" t="s">
        <v>2419</v>
      </c>
      <c r="C55" s="314"/>
    </row>
    <row r="56" spans="1:7">
      <c r="B56" s="316" t="s">
        <v>1507</v>
      </c>
      <c r="C56" s="318">
        <f ca="1">1-C57</f>
        <v>5.7000000000000051E-2</v>
      </c>
    </row>
    <row r="57" spans="1:7">
      <c r="B57" s="316" t="s">
        <v>1508</v>
      </c>
      <c r="C57" s="317">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33" t="str">
        <f>项目基本情况!B1</f>
        <v>北京市朝阳区东三环中路乙16号院4号楼2层207号等31套住宅用房及朝阳区东三环中路乙16号院5号楼1至2层101号办公用房房地产抵押价值预评估</v>
      </c>
      <c r="C37" s="3033"/>
      <c r="D37" s="3033"/>
      <c r="E37" s="3033"/>
      <c r="F37" s="3033"/>
      <c r="G37" s="3033"/>
      <c r="H37" s="3033"/>
      <c r="I37" s="3033"/>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吴薇（注册号：1419970001)、郑燚（注册号：1120070131)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4"/>
      <c r="C1" s="2549" t="s">
        <v>2420</v>
      </c>
      <c r="D1" s="241"/>
      <c r="E1" s="241"/>
      <c r="F1" s="241"/>
      <c r="G1" s="1377">
        <f>MATCH(B1,'数据-取费表'!A6:A16,0)+5</f>
        <v>8</v>
      </c>
      <c r="H1" s="1280" t="str">
        <f>IF(ISERROR(FIND("住宅",B1)),"非住宅","住宅")</f>
        <v>非住宅</v>
      </c>
    </row>
    <row r="2" spans="1:8" s="243" customFormat="1" ht="18" customHeight="1">
      <c r="A2" s="244" t="s">
        <v>2319</v>
      </c>
      <c r="B2" s="245">
        <f ca="1">ROUND(IF(D2="——",C52/10000,C52/10000-E2),0)</f>
        <v>634</v>
      </c>
      <c r="C2" s="242" t="s">
        <v>2320</v>
      </c>
      <c r="D2" s="2543" t="s">
        <v>70</v>
      </c>
      <c r="E2" s="1438" t="e">
        <f ca="1">SUMIF(INDIRECT("'"&amp;G2&amp;"'"&amp;"!A:A"),"承租人权益价值",INDIRECT("'"&amp;G2&amp;"'"&amp;"!c:c"))</f>
        <v>#REF!</v>
      </c>
      <c r="F2" s="2544" t="s">
        <v>2320</v>
      </c>
      <c r="G2" s="2545"/>
    </row>
    <row r="3" spans="1:8" s="243" customFormat="1" ht="18" customHeight="1" thickBot="1">
      <c r="A3" s="246" t="s">
        <v>2321</v>
      </c>
      <c r="B3" s="247">
        <f ca="1">ROUND(B2*10000/(IF(B1="",'数据-汇总表'!E3,INDIRECT("'数据-取费表'!k"&amp;$G$1))),0)</f>
        <v>5320</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232397</v>
      </c>
      <c r="D5" s="254" t="s">
        <v>2326</v>
      </c>
      <c r="E5" s="255" t="s">
        <v>2327</v>
      </c>
      <c r="F5" s="255" t="s">
        <v>2328</v>
      </c>
      <c r="G5" s="256"/>
    </row>
    <row r="6" spans="1:8" s="257" customFormat="1" ht="13.5" customHeight="1">
      <c r="A6" s="947" t="s">
        <v>2329</v>
      </c>
      <c r="B6" s="258" t="s">
        <v>2330</v>
      </c>
      <c r="C6" s="259"/>
      <c r="D6" s="260"/>
      <c r="E6" s="261"/>
      <c r="F6" s="261"/>
      <c r="G6" s="262"/>
    </row>
    <row r="7" spans="1:8" s="257" customFormat="1" ht="13.5" customHeight="1">
      <c r="A7" s="947" t="s">
        <v>2331</v>
      </c>
      <c r="B7" s="258" t="s">
        <v>2332</v>
      </c>
      <c r="C7" s="263">
        <f>ROUND(C6*F7,0)</f>
        <v>0</v>
      </c>
      <c r="D7" s="263"/>
      <c r="E7" s="261"/>
      <c r="F7" s="264">
        <f>IF(项目基本情况!B8="出让",0,'数据-取费表'!B48+'数据-取费表'!B49)</f>
        <v>3.0499999999999999E-2</v>
      </c>
      <c r="G7" s="262"/>
    </row>
    <row r="8" spans="1:8" s="266" customFormat="1">
      <c r="A8" s="947" t="s">
        <v>2333</v>
      </c>
      <c r="B8" s="258" t="s">
        <v>2334</v>
      </c>
      <c r="C8" s="263">
        <f ca="1">IF(G8="已包含在土地购买价格中",0,C9+C10)</f>
        <v>232397</v>
      </c>
      <c r="D8" s="265"/>
      <c r="E8" s="263"/>
      <c r="F8" s="264"/>
      <c r="G8" s="2546"/>
    </row>
    <row r="9" spans="1:8" s="257" customFormat="1" ht="13.5" customHeight="1">
      <c r="A9" s="948" t="s">
        <v>800</v>
      </c>
      <c r="B9" s="267" t="s">
        <v>2335</v>
      </c>
      <c r="C9" s="268">
        <f ca="1">ROUND(D9*E9,0)</f>
        <v>23771</v>
      </c>
      <c r="D9" s="1030">
        <f ca="1">IF(B1="",'数据-汇总表'!E5,IF(INDIRECT("'数据-取费表'!c"&amp;$G$1)="住宅",INDIRECT("'数据-取费表'!k"&amp;$G$1),0))</f>
        <v>148.57</v>
      </c>
      <c r="E9" s="268">
        <f>'数据-取费表'!B27</f>
        <v>160</v>
      </c>
      <c r="F9" s="264"/>
      <c r="G9" s="269"/>
    </row>
    <row r="10" spans="1:8" s="257" customFormat="1" ht="13.5" customHeight="1">
      <c r="A10" s="948" t="s">
        <v>801</v>
      </c>
      <c r="B10" s="267" t="s">
        <v>2337</v>
      </c>
      <c r="C10" s="268">
        <f ca="1">ROUND(D10*E10,0)</f>
        <v>208626</v>
      </c>
      <c r="D10" s="1030">
        <f ca="1">IF(B1="",'数据-汇总表'!E6,IF(INDIRECT("'数据-取费表'!c"&amp;$G$1)="住宅",INDIRECT("'数据-取费表'!s"&amp;$G$1),INDIRECT("'数据-取费表'!k"&amp;$G$1)+INDIRECT("'数据-取费表'!s"&amp;$G$1)))</f>
        <v>1043.1300000000001</v>
      </c>
      <c r="E10" s="268">
        <f>'数据-取费表'!B28</f>
        <v>200</v>
      </c>
      <c r="F10" s="264"/>
      <c r="G10" s="269"/>
    </row>
    <row r="11" spans="1:8" s="257" customFormat="1" ht="13.5" hidden="1" customHeight="1">
      <c r="A11" s="270" t="s">
        <v>7</v>
      </c>
      <c r="B11" s="258" t="s">
        <v>2338</v>
      </c>
      <c r="C11" s="254"/>
      <c r="D11" s="1032"/>
      <c r="E11" s="261"/>
      <c r="F11" s="261"/>
      <c r="G11" s="262"/>
    </row>
    <row r="12" spans="1:8" s="257" customFormat="1" ht="13.5" hidden="1" customHeight="1">
      <c r="A12" s="270" t="s">
        <v>8</v>
      </c>
      <c r="B12" s="258" t="s">
        <v>2421</v>
      </c>
      <c r="C12" s="254">
        <v>0</v>
      </c>
      <c r="D12" s="1032"/>
      <c r="E12" s="271"/>
      <c r="F12" s="264">
        <v>3.0499999999999999E-2</v>
      </c>
      <c r="G12" s="262"/>
    </row>
    <row r="13" spans="1:8" s="257" customFormat="1" ht="13.5" hidden="1" customHeight="1">
      <c r="A13" s="270" t="s">
        <v>9</v>
      </c>
      <c r="B13" s="258" t="s">
        <v>2422</v>
      </c>
      <c r="C13" s="254"/>
      <c r="D13" s="1032"/>
      <c r="E13" s="261"/>
      <c r="F13" s="261"/>
      <c r="G13" s="262"/>
    </row>
    <row r="14" spans="1:8" s="257" customFormat="1" ht="13.5" hidden="1" customHeight="1">
      <c r="A14" s="270" t="s">
        <v>10</v>
      </c>
      <c r="B14" s="258" t="s">
        <v>2334</v>
      </c>
      <c r="C14" s="254"/>
      <c r="D14" s="1032"/>
      <c r="E14" s="261"/>
      <c r="F14" s="261"/>
      <c r="G14" s="262" t="s">
        <v>2423</v>
      </c>
    </row>
    <row r="15" spans="1:8" s="257" customFormat="1" ht="13.5" hidden="1" customHeight="1">
      <c r="A15" s="270" t="s">
        <v>11</v>
      </c>
      <c r="B15" s="258" t="s">
        <v>2424</v>
      </c>
      <c r="C15" s="263"/>
      <c r="D15" s="1032"/>
      <c r="E15" s="261"/>
      <c r="F15" s="261"/>
      <c r="G15" s="262" t="s">
        <v>2425</v>
      </c>
    </row>
    <row r="16" spans="1:8" s="257" customFormat="1" ht="13.5" hidden="1" customHeight="1">
      <c r="A16" s="270" t="s">
        <v>12</v>
      </c>
      <c r="B16" s="258" t="s">
        <v>2334</v>
      </c>
      <c r="C16" s="263"/>
      <c r="D16" s="1032"/>
      <c r="E16" s="261"/>
      <c r="F16" s="261"/>
      <c r="G16" s="262"/>
    </row>
    <row r="17" spans="1:7" s="257" customFormat="1" ht="13.5" hidden="1" customHeight="1">
      <c r="A17" s="270" t="s">
        <v>13</v>
      </c>
      <c r="B17" s="258" t="s">
        <v>2426</v>
      </c>
      <c r="C17" s="272"/>
      <c r="D17" s="1033"/>
      <c r="E17" s="272"/>
      <c r="F17" s="272"/>
      <c r="G17" s="262" t="s">
        <v>2425</v>
      </c>
    </row>
    <row r="18" spans="1:7" s="257" customFormat="1" ht="13.5" hidden="1" customHeight="1">
      <c r="A18" s="270" t="s">
        <v>14</v>
      </c>
      <c r="B18" s="258" t="s">
        <v>2427</v>
      </c>
      <c r="C18" s="263">
        <v>0</v>
      </c>
      <c r="D18" s="1032"/>
      <c r="E18" s="261"/>
      <c r="F18" s="264">
        <v>3.0499999999999999E-2</v>
      </c>
      <c r="G18" s="262" t="s">
        <v>2428</v>
      </c>
    </row>
    <row r="19" spans="1:7" s="266" customFormat="1" ht="13.5" customHeight="1">
      <c r="A19" s="298" t="s">
        <v>2429</v>
      </c>
      <c r="B19" s="253" t="s">
        <v>2430</v>
      </c>
      <c r="C19" s="254">
        <f ca="1">IF(G19="已包含在土地取得成本中","0",ROUND(D19*E19,0))</f>
        <v>238340</v>
      </c>
      <c r="D19" s="1034">
        <f ca="1">D9+D10</f>
        <v>1191.7</v>
      </c>
      <c r="E19" s="254">
        <f>'数据-取费表'!B31</f>
        <v>200</v>
      </c>
      <c r="F19" s="274"/>
      <c r="G19" s="2546"/>
    </row>
    <row r="20" spans="1:7" s="257" customFormat="1" ht="13.5" customHeight="1">
      <c r="A20" s="298" t="s">
        <v>2431</v>
      </c>
      <c r="B20" s="253" t="s">
        <v>2432</v>
      </c>
      <c r="C20" s="275">
        <f ca="1">ROUND((C5+C19)*F20,0)</f>
        <v>9415</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f ca="1">ROUND(SUM(C23:C25),0)</f>
        <v>46229</v>
      </c>
      <c r="D22" s="278">
        <f ca="1">C26</f>
        <v>1E-3</v>
      </c>
      <c r="E22" s="279" t="s">
        <v>2436</v>
      </c>
      <c r="F22" s="280">
        <f ca="1">'数据-取费表'!B40</f>
        <v>4.7500000000000001E-2</v>
      </c>
      <c r="G22" s="277" t="str">
        <f>IF('数据-取费表'!B22&lt;=1,"单利计息","复利计息")</f>
        <v>复利计息</v>
      </c>
    </row>
    <row r="23" spans="1:7" s="257" customFormat="1" ht="13.5" customHeight="1">
      <c r="A23" s="949" t="s">
        <v>2329</v>
      </c>
      <c r="B23" s="258" t="s">
        <v>2440</v>
      </c>
      <c r="C23" s="1379">
        <f ca="1">ROUND(IF('数据-取费表'!B22&lt;=1,C5*F22*'数据-取费表'!B22,C5*(POWER((1+F22),'数据-取费表'!B22)-1)),0)</f>
        <v>22602</v>
      </c>
      <c r="D23" s="281"/>
      <c r="E23" s="281"/>
      <c r="F23" s="282"/>
      <c r="G23" s="283" t="s">
        <v>2441</v>
      </c>
    </row>
    <row r="24" spans="1:7" s="257" customFormat="1" ht="13.5" customHeight="1">
      <c r="A24" s="949" t="s">
        <v>2331</v>
      </c>
      <c r="B24" s="258" t="s">
        <v>2442</v>
      </c>
      <c r="C24" s="1379">
        <f ca="1">ROUND(IF('数据-取费表'!B22&lt;=1,C19*F22*('数据-取费表'!B19/2+'数据-取费表'!B20),C19*(POWER((1+F22),('数据-取费表'!B19/2+'数据-取费表'!B20))-1)),0)</f>
        <v>23180</v>
      </c>
      <c r="D24" s="281"/>
      <c r="E24" s="281"/>
      <c r="F24" s="282"/>
      <c r="G24" s="283" t="s">
        <v>2443</v>
      </c>
    </row>
    <row r="25" spans="1:7" s="257" customFormat="1" ht="24">
      <c r="A25" s="949" t="s">
        <v>2333</v>
      </c>
      <c r="B25" s="258" t="s">
        <v>2444</v>
      </c>
      <c r="C25" s="1379">
        <f ca="1">ROUND(IF('数据-取费表'!B22&lt;=1,C20*F22*'数据-取费表'!B22/2,C20*(POWER((1+F22),'数据-取费表'!B22/2)-1)),0)</f>
        <v>447</v>
      </c>
      <c r="D25" s="281"/>
      <c r="E25" s="284"/>
      <c r="F25" s="282"/>
      <c r="G25" s="285" t="s">
        <v>2445</v>
      </c>
    </row>
    <row r="26" spans="1:7" s="257" customFormat="1">
      <c r="A26" s="949" t="s">
        <v>795</v>
      </c>
      <c r="B26" s="258" t="s">
        <v>2368</v>
      </c>
      <c r="C26" s="281">
        <f ca="1">ROUND(IF('数据-取费表'!B22&lt;=1,F21*F22*'数据-取费表'!B22/2,F21*(POWER((1+F22),'数据-取费表'!B22/2)-1)),4)</f>
        <v>1E-3</v>
      </c>
      <c r="D26" s="281"/>
      <c r="E26" s="284"/>
      <c r="F26" s="282"/>
      <c r="G26" s="286"/>
    </row>
    <row r="27" spans="1:7" s="257" customFormat="1" ht="24.75">
      <c r="A27" s="298" t="s">
        <v>2369</v>
      </c>
      <c r="B27" s="287" t="s">
        <v>2370</v>
      </c>
      <c r="C27" s="288">
        <f ca="1">C28</f>
        <v>96030</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ROUND((C5+C19+C20)*F27,0)</f>
        <v>96030</v>
      </c>
      <c r="D28" s="278"/>
      <c r="E28" s="279"/>
      <c r="F28" s="289"/>
      <c r="G28" s="290"/>
    </row>
    <row r="29" spans="1:7" s="257" customFormat="1" ht="13.5" customHeight="1">
      <c r="A29" s="949" t="s">
        <v>792</v>
      </c>
      <c r="B29" s="291" t="s">
        <v>2374</v>
      </c>
      <c r="C29" s="281">
        <f ca="1">ROUND(C21*F27,4)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675286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4622983</v>
      </c>
      <c r="D33" s="275"/>
      <c r="E33" s="255"/>
      <c r="F33" s="284"/>
      <c r="G33" s="277"/>
    </row>
    <row r="34" spans="1:7" s="301" customFormat="1" ht="13.5" customHeight="1">
      <c r="A34" s="949" t="s">
        <v>791</v>
      </c>
      <c r="B34" s="258" t="s">
        <v>2382</v>
      </c>
      <c r="C34" s="263">
        <f ca="1">ROUND(IF(B1="",SUMPRODUCT('数据-取费表'!K6:K14,'数据-取费表'!L6:L14),INDIRECT("'数据-取费表'!l"&amp;$G$1)*INDIRECT("'数据-取费表'!k"&amp;$G$1)+'数据-取费表'!L14*INDIRECT("'数据-取费表'!S"&amp;$G$1)),0)</f>
        <v>4170950</v>
      </c>
      <c r="D34" s="260"/>
      <c r="E34" s="263"/>
      <c r="F34" s="300"/>
      <c r="G34" s="262"/>
    </row>
    <row r="35" spans="1:7" ht="13.5" customHeight="1">
      <c r="A35" s="949" t="s">
        <v>796</v>
      </c>
      <c r="B35" s="258" t="s">
        <v>2384</v>
      </c>
      <c r="C35" s="263">
        <f ca="1">ROUND(C34*F35,0)</f>
        <v>125129</v>
      </c>
      <c r="D35" s="263"/>
      <c r="E35" s="263"/>
      <c r="F35" s="302">
        <f>'数据-取费表'!B33</f>
        <v>0.03</v>
      </c>
      <c r="G35" s="262" t="s">
        <v>2385</v>
      </c>
    </row>
    <row r="36" spans="1:7" ht="24">
      <c r="A36" s="949" t="s">
        <v>797</v>
      </c>
      <c r="B36" s="258" t="s">
        <v>2386</v>
      </c>
      <c r="C36" s="263">
        <f ca="1">ROUND(IF(B1="",SUM('数据-取费表'!AP6:AP13)*F36,IF(INDIRECT("'数据-取费表'!c"&amp;$G$1)="住宅",INDIRECT("'数据-取费表'!k"&amp;$G$1)*INDIRECT("'数据-取费表'!l"&amp;$G$1)*F36,0)),0)</f>
        <v>26000</v>
      </c>
      <c r="D36" s="263"/>
      <c r="E36" s="263"/>
      <c r="F36" s="302">
        <f>'数据-取费表'!B34</f>
        <v>0.05</v>
      </c>
      <c r="G36" s="303" t="s">
        <v>2387</v>
      </c>
    </row>
    <row r="37" spans="1:7" s="301" customFormat="1" ht="13.5" customHeight="1">
      <c r="A37" s="949" t="s">
        <v>798</v>
      </c>
      <c r="B37" s="258" t="s">
        <v>2388</v>
      </c>
      <c r="C37" s="292">
        <f ca="1">ROUND(E37*D37,0)</f>
        <v>238340</v>
      </c>
      <c r="D37" s="260">
        <f ca="1">D19</f>
        <v>1191.7</v>
      </c>
      <c r="E37" s="292">
        <f>'数据-取费表'!B35</f>
        <v>200</v>
      </c>
      <c r="F37" s="302"/>
      <c r="G37" s="304"/>
    </row>
    <row r="38" spans="1:7" ht="13.5" customHeight="1">
      <c r="A38" s="949" t="s">
        <v>799</v>
      </c>
      <c r="B38" s="258" t="s">
        <v>2390</v>
      </c>
      <c r="C38" s="263">
        <f ca="1">ROUND(C34*F38,0)</f>
        <v>62564</v>
      </c>
      <c r="D38" s="263"/>
      <c r="E38" s="263"/>
      <c r="F38" s="302">
        <f>'数据-取费表'!B36</f>
        <v>1.4999999999999999E-2</v>
      </c>
      <c r="G38" s="262" t="s">
        <v>2385</v>
      </c>
    </row>
    <row r="39" spans="1:7" s="257" customFormat="1" ht="13.5" customHeight="1">
      <c r="A39" s="298" t="s">
        <v>2391</v>
      </c>
      <c r="B39" s="253" t="s">
        <v>2392</v>
      </c>
      <c r="C39" s="275">
        <f ca="1">ROUND(C33*F20,0)</f>
        <v>92460</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223984</v>
      </c>
      <c r="D41" s="278">
        <f ca="1">C44</f>
        <v>1E-3</v>
      </c>
      <c r="E41" s="279" t="s">
        <v>2396</v>
      </c>
      <c r="F41" s="280"/>
      <c r="G41" s="277" t="str">
        <f>IF('数据-取费表'!B22&lt;=1,"单利计息","复利计息")</f>
        <v>复利计息</v>
      </c>
    </row>
    <row r="42" spans="1:7" ht="13.5" customHeight="1">
      <c r="A42" s="949" t="s">
        <v>791</v>
      </c>
      <c r="B42" s="258" t="s">
        <v>2400</v>
      </c>
      <c r="C42" s="281">
        <f ca="1">ROUND(IF('数据-取费表'!B22&lt;=1,C33*F22*'数据-取费表'!B20/2,C33*(POWER((1+F22),'数据-取费表'!B20/2)-1)),0)</f>
        <v>219592</v>
      </c>
      <c r="D42" s="281"/>
      <c r="E42" s="281"/>
      <c r="F42" s="282"/>
      <c r="G42" s="3219" t="s">
        <v>2448</v>
      </c>
    </row>
    <row r="43" spans="1:7" ht="13.5" customHeight="1">
      <c r="A43" s="949" t="s">
        <v>792</v>
      </c>
      <c r="B43" s="258" t="s">
        <v>2402</v>
      </c>
      <c r="C43" s="281">
        <f ca="1">ROUND(IF('数据-取费表'!B22&lt;=1,C39*F22*'数据-取费表'!B20/2,C39*(POWER((1+F22),'数据-取费表'!B20/2)-1)),0)</f>
        <v>4392</v>
      </c>
      <c r="D43" s="281"/>
      <c r="E43" s="281"/>
      <c r="F43" s="282"/>
      <c r="G43" s="3220"/>
    </row>
    <row r="44" spans="1:7" ht="13.5" customHeight="1">
      <c r="A44" s="949" t="s">
        <v>793</v>
      </c>
      <c r="B44" s="258" t="s">
        <v>2403</v>
      </c>
      <c r="C44" s="281">
        <f ca="1">ROUND(IF('数据-取费表'!B22&lt;=1,C40*F22*'数据-取费表'!B20/2,C40*(POWER((1+F22),'数据-取费表'!B20/2)-1)),4)</f>
        <v>1E-3</v>
      </c>
      <c r="D44" s="281"/>
      <c r="E44" s="281"/>
      <c r="F44" s="282"/>
      <c r="G44" s="3221"/>
    </row>
    <row r="45" spans="1:7" s="257" customFormat="1" ht="13.5" customHeight="1">
      <c r="A45" s="298" t="s">
        <v>2404</v>
      </c>
      <c r="B45" s="287" t="s">
        <v>2370</v>
      </c>
      <c r="C45" s="288">
        <f ca="1">C46</f>
        <v>943089</v>
      </c>
      <c r="D45" s="278">
        <f ca="1">C47</f>
        <v>4.0000000000000001E-3</v>
      </c>
      <c r="E45" s="279" t="s">
        <v>2396</v>
      </c>
      <c r="F45" s="289"/>
      <c r="G45" s="290" t="s">
        <v>2405</v>
      </c>
    </row>
    <row r="46" spans="1:7" s="257" customFormat="1" ht="13.5" customHeight="1">
      <c r="A46" s="949" t="s">
        <v>791</v>
      </c>
      <c r="B46" s="291" t="s">
        <v>2406</v>
      </c>
      <c r="C46" s="292">
        <f ca="1">ROUND((C33+C39)*F27,0)</f>
        <v>943089</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6382246</v>
      </c>
      <c r="D49" s="275"/>
      <c r="E49" s="275"/>
      <c r="F49" s="307"/>
      <c r="G49" s="277" t="s">
        <v>2411</v>
      </c>
    </row>
    <row r="50" spans="1:7" s="301" customFormat="1">
      <c r="A50" s="298" t="s">
        <v>2412</v>
      </c>
      <c r="B50" s="253" t="s">
        <v>2413</v>
      </c>
      <c r="C50" s="275"/>
      <c r="D50" s="275"/>
      <c r="E50" s="275"/>
      <c r="F50" s="307">
        <f>IF('数据-取费表'!B24=0,'数据-取费表'!N16,1)</f>
        <v>0.88800000000000001</v>
      </c>
      <c r="G50" s="290"/>
    </row>
    <row r="51" spans="1:7" ht="16.5" customHeight="1">
      <c r="A51" s="298" t="s">
        <v>2415</v>
      </c>
      <c r="B51" s="253" t="s">
        <v>2450</v>
      </c>
      <c r="C51" s="275">
        <f ca="1">ROUND(C49*F50,0)</f>
        <v>5667434</v>
      </c>
      <c r="D51" s="275"/>
      <c r="E51" s="275"/>
      <c r="F51" s="307"/>
      <c r="G51" s="277" t="s">
        <v>2417</v>
      </c>
    </row>
    <row r="52" spans="1:7" s="251" customFormat="1" ht="16.5" thickBot="1">
      <c r="A52" s="308" t="s">
        <v>2418</v>
      </c>
      <c r="B52" s="309"/>
      <c r="C52" s="310">
        <f ca="1">C31+C51</f>
        <v>6342720</v>
      </c>
      <c r="D52" s="309"/>
      <c r="E52" s="309"/>
      <c r="F52" s="309"/>
      <c r="G52" s="311"/>
    </row>
    <row r="55" spans="1:7" ht="15">
      <c r="B55" s="313" t="s">
        <v>2419</v>
      </c>
      <c r="C55" s="314"/>
    </row>
    <row r="56" spans="1:7">
      <c r="B56" s="316" t="s">
        <v>1507</v>
      </c>
      <c r="C56" s="318">
        <f ca="1">1-C57</f>
        <v>0.10599999999999998</v>
      </c>
    </row>
    <row r="57" spans="1:7">
      <c r="B57" s="316" t="s">
        <v>1508</v>
      </c>
      <c r="C57" s="317">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2451</v>
      </c>
      <c r="B1" s="1579"/>
      <c r="C1" s="1580"/>
      <c r="D1" s="1578"/>
      <c r="E1" s="319"/>
      <c r="F1" s="319"/>
      <c r="G1" s="1579"/>
      <c r="H1" s="319"/>
      <c r="I1" s="319"/>
      <c r="J1" s="319"/>
      <c r="K1" s="319">
        <f>MATCH(C1,'数据-取费表'!A6:A16,0)+5</f>
        <v>8</v>
      </c>
    </row>
    <row r="2" spans="1:33" ht="18" customHeight="1">
      <c r="A2" s="244" t="s">
        <v>2319</v>
      </c>
      <c r="B2" s="247">
        <f ca="1">C32</f>
        <v>-27</v>
      </c>
      <c r="C2" s="319" t="s">
        <v>2452</v>
      </c>
      <c r="D2" s="319"/>
      <c r="E2" s="319"/>
      <c r="F2" s="319"/>
      <c r="G2" s="319"/>
      <c r="H2" s="319"/>
      <c r="I2" s="319"/>
      <c r="J2" s="319"/>
      <c r="K2" s="319"/>
    </row>
    <row r="3" spans="1:33" ht="18" customHeight="1" thickBot="1">
      <c r="A3" s="246" t="s">
        <v>2321</v>
      </c>
      <c r="B3" s="247">
        <f ca="1">ROUND(B2*10000/IF(C1="",'数据-汇总表'!E3,INDIRECT("'数据-取费表'!K"&amp;$K$1)),0)</f>
        <v>-227</v>
      </c>
      <c r="C3" s="319" t="s">
        <v>2453</v>
      </c>
      <c r="D3" s="319"/>
      <c r="E3" s="319"/>
      <c r="F3" s="319"/>
      <c r="G3" s="319"/>
      <c r="H3" s="319"/>
      <c r="I3" s="319"/>
      <c r="J3" s="319"/>
      <c r="K3" s="319"/>
    </row>
    <row r="4" spans="1:33" s="954" customFormat="1" ht="16.5" customHeight="1">
      <c r="A4" s="951" t="s">
        <v>2454</v>
      </c>
      <c r="B4" s="952"/>
      <c r="C4" s="994">
        <f>SUM(C8:K8)</f>
        <v>0</v>
      </c>
      <c r="D4" s="952"/>
      <c r="E4" s="952"/>
      <c r="F4" s="952"/>
      <c r="G4" s="952"/>
      <c r="H4" s="952"/>
      <c r="I4" s="952"/>
      <c r="J4" s="952"/>
      <c r="K4" s="953"/>
    </row>
    <row r="5" spans="1:33" s="958" customFormat="1" ht="24.75">
      <c r="A5" s="955" t="s">
        <v>2455</v>
      </c>
      <c r="B5" s="956" t="s">
        <v>2456</v>
      </c>
      <c r="C5" s="2550" t="s">
        <v>2457</v>
      </c>
      <c r="D5" s="2550" t="s">
        <v>2458</v>
      </c>
      <c r="E5" s="2550" t="s">
        <v>2459</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2463</v>
      </c>
      <c r="B8" s="176" t="s">
        <v>2464</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1329</v>
      </c>
      <c r="B11" s="970" t="s">
        <v>2472</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1330</v>
      </c>
      <c r="B12" s="970" t="s">
        <v>2473</v>
      </c>
      <c r="C12" s="23">
        <f ca="1">ROUND(C11*F12,0)</f>
        <v>0</v>
      </c>
      <c r="D12" s="971"/>
      <c r="E12" s="374"/>
      <c r="F12" s="974">
        <f>'数据-取费表'!B33</f>
        <v>0.03</v>
      </c>
      <c r="G12" s="8" t="s">
        <v>2474</v>
      </c>
      <c r="H12" s="966"/>
      <c r="I12" s="966"/>
      <c r="J12" s="966"/>
      <c r="K12" s="967"/>
    </row>
    <row r="13" spans="1:33" s="973" customFormat="1" ht="13.5" customHeight="1">
      <c r="A13" s="969" t="s">
        <v>1331</v>
      </c>
      <c r="B13" s="970" t="s">
        <v>2475</v>
      </c>
      <c r="C13" s="23">
        <f ca="1">ROUND(IF(C1="",SUMIF('数据-取费表'!C:C,"住宅",'数据-取费表'!P:P)*F13,IF(INDIRECT("'数据-取费表'!c"&amp;$K$1)="住宅",INDIRECT("'数据-取费表'!P"&amp;$K$1)*F13,0)),0)</f>
        <v>0</v>
      </c>
      <c r="D13" s="1031"/>
      <c r="E13" s="374"/>
      <c r="F13" s="974">
        <f>'数据-取费表'!B34</f>
        <v>0.05</v>
      </c>
      <c r="G13" s="8" t="s">
        <v>2476</v>
      </c>
      <c r="H13" s="966"/>
      <c r="I13" s="966"/>
      <c r="J13" s="966"/>
      <c r="K13" s="967"/>
    </row>
    <row r="14" spans="1:33" s="975" customFormat="1" ht="13.5" customHeight="1">
      <c r="A14" s="969" t="s">
        <v>1332</v>
      </c>
      <c r="B14" s="970" t="s">
        <v>2477</v>
      </c>
      <c r="C14" s="23">
        <f ca="1">ROUND(D14*E14*F11/10000,0)</f>
        <v>0</v>
      </c>
      <c r="D14" s="1031">
        <f ca="1">IF(C1="",'数据-汇总表'!E3,INDIRECT("'数据-取费表'!K"&amp;$K$1)+INDIRECT("'数据-取费表'!S"&amp;$K$1))</f>
        <v>1191.7</v>
      </c>
      <c r="E14" s="23">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2479</v>
      </c>
      <c r="C15" s="981">
        <f ca="1">ROUND(C11*F15,0)</f>
        <v>0</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3">
        <f ca="1">ROUND(D17*E17/10000,0)</f>
        <v>0</v>
      </c>
      <c r="D17" s="1031">
        <f ca="1">D14</f>
        <v>1191.7</v>
      </c>
      <c r="E17" s="23">
        <f>'数据-取费表'!B32</f>
        <v>0</v>
      </c>
      <c r="F17" s="976"/>
      <c r="G17" s="139" t="s">
        <v>2483</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2484</v>
      </c>
      <c r="C18" s="23">
        <f ca="1">C19+C20-IF(C1="",'数据-取费表'!B29,IF(G18="已全部缴纳",C19+C20,H18))</f>
        <v>23</v>
      </c>
      <c r="D18" s="1031"/>
      <c r="E18" s="23"/>
      <c r="F18" s="974"/>
      <c r="G18" s="2552"/>
      <c r="H18" s="1575"/>
      <c r="I18" s="2553" t="s">
        <v>2485</v>
      </c>
      <c r="J18" s="977"/>
      <c r="K18" s="978"/>
    </row>
    <row r="19" spans="1:33" s="973" customFormat="1" ht="13.5" customHeight="1">
      <c r="A19" s="969" t="s">
        <v>805</v>
      </c>
      <c r="B19" s="970" t="s">
        <v>2486</v>
      </c>
      <c r="C19" s="23">
        <f ca="1">ROUND(D19*E19/10000,0)</f>
        <v>2</v>
      </c>
      <c r="D19" s="1031">
        <f ca="1">IF(C1="",'数据-汇总表'!E5,IF(INDIRECT("'数据-取费表'!c"&amp;$K$1)="住宅",INDIRECT("'数据-取费表'!k"&amp;$K$1),0))</f>
        <v>148.57</v>
      </c>
      <c r="E19" s="23">
        <f>'数据-取费表'!B27</f>
        <v>160</v>
      </c>
      <c r="F19" s="974"/>
      <c r="G19" s="14"/>
      <c r="H19" s="1577"/>
      <c r="I19" s="979"/>
      <c r="J19" s="979"/>
      <c r="K19" s="980"/>
    </row>
    <row r="20" spans="1:33" s="973" customFormat="1" ht="13.5" customHeight="1">
      <c r="A20" s="969" t="s">
        <v>806</v>
      </c>
      <c r="B20" s="970" t="s">
        <v>2487</v>
      </c>
      <c r="C20" s="23">
        <f ca="1">ROUND(D20*E20/10000,0)</f>
        <v>21</v>
      </c>
      <c r="D20" s="1031">
        <f ca="1">IF(C1="",'数据-汇总表'!E6,IF(INDIRECT("'数据-取费表'!c"&amp;$K$1)="住宅",INDIRECT("'数据-取费表'!s"&amp;$K$1),INDIRECT("'数据-取费表'!k"&amp;$K$1)+INDIRECT("'数据-取费表'!s"&amp;$K$1)))</f>
        <v>1043.1300000000001</v>
      </c>
      <c r="E20" s="23">
        <f>'数据-取费表'!B28</f>
        <v>200</v>
      </c>
      <c r="F20" s="974"/>
      <c r="G20" s="14"/>
      <c r="H20" s="979"/>
      <c r="I20" s="979"/>
      <c r="J20" s="979"/>
      <c r="K20" s="980"/>
    </row>
    <row r="21" spans="1:33" s="973" customFormat="1" ht="13.5" customHeight="1">
      <c r="A21" s="959" t="s">
        <v>802</v>
      </c>
      <c r="B21" s="983" t="s">
        <v>2488</v>
      </c>
      <c r="C21" s="984">
        <f ca="1">C16+C17+C18</f>
        <v>23</v>
      </c>
      <c r="D21" s="985"/>
      <c r="E21" s="324"/>
      <c r="F21" s="324"/>
      <c r="G21" s="139" t="s">
        <v>2489</v>
      </c>
      <c r="H21" s="977"/>
      <c r="I21" s="977"/>
      <c r="J21" s="977"/>
      <c r="K21" s="978"/>
    </row>
    <row r="22" spans="1:33" s="973" customFormat="1" ht="13.5" customHeight="1">
      <c r="A22" s="959" t="s">
        <v>2461</v>
      </c>
      <c r="B22" s="983" t="s">
        <v>2490</v>
      </c>
      <c r="C22" s="984">
        <f ca="1">ROUND(C21*F22,0)</f>
        <v>0</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0</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IF(项目基本情况!B8="出让",0,'数据-取费表'!B48+'数据-取费表'!B49)</f>
        <v>3.0499999999999999E-2</v>
      </c>
      <c r="G24" s="8" t="s">
        <v>2496</v>
      </c>
      <c r="H24" s="988"/>
      <c r="I24" s="988"/>
      <c r="J24" s="988"/>
      <c r="K24" s="989"/>
    </row>
    <row r="25" spans="1:33" s="973" customFormat="1" ht="13.5" customHeight="1">
      <c r="A25" s="959" t="s">
        <v>2497</v>
      </c>
      <c r="B25" s="985" t="s">
        <v>2498</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2501</v>
      </c>
      <c r="B28" s="2555" t="s">
        <v>2502</v>
      </c>
      <c r="C28" s="330">
        <f ca="1">C30</f>
        <v>5</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2503</v>
      </c>
      <c r="C29" s="327">
        <f ca="1">ROUND((1+C24)*F28*'数据-取费表'!B24/'数据-取费表'!B20,4)</f>
        <v>0</v>
      </c>
      <c r="D29" s="327"/>
      <c r="E29" s="328"/>
      <c r="F29" s="333"/>
      <c r="G29" s="139" t="s">
        <v>2504</v>
      </c>
      <c r="H29" s="977"/>
      <c r="I29" s="977"/>
      <c r="J29" s="977"/>
      <c r="K29" s="978"/>
    </row>
    <row r="30" spans="1:33" s="334" customFormat="1" ht="13.5" customHeight="1">
      <c r="A30" s="969" t="s">
        <v>804</v>
      </c>
      <c r="B30" s="992" t="s">
        <v>2505</v>
      </c>
      <c r="C30" s="335">
        <f ca="1">ROUND((C21+C22+C23)*F28,0)</f>
        <v>5</v>
      </c>
      <c r="D30" s="327"/>
      <c r="E30" s="328"/>
      <c r="F30" s="333"/>
      <c r="G30" s="139"/>
      <c r="H30" s="977"/>
      <c r="I30" s="977"/>
      <c r="J30" s="977"/>
      <c r="K30" s="978"/>
    </row>
    <row r="31" spans="1:33" s="973" customFormat="1" ht="13.5" customHeight="1" thickBot="1">
      <c r="A31" s="2556" t="s">
        <v>2506</v>
      </c>
      <c r="B31" s="1003" t="s">
        <v>2507</v>
      </c>
      <c r="C31" s="1004">
        <f>ROUND(C4*F31/(1+'数据-取费表'!C42),0)</f>
        <v>0</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-27</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F77" sqref="F77"/>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0" customWidth="1"/>
    <col min="33" max="36" width="9.375" style="2782" customWidth="1"/>
    <col min="37" max="38" width="9.375" style="2714" customWidth="1"/>
    <col min="39" max="16384" width="12" style="2714"/>
  </cols>
  <sheetData>
    <row r="1" spans="1:36" ht="28.5">
      <c r="A1" s="239" t="s">
        <v>2796</v>
      </c>
      <c r="B1" s="240"/>
      <c r="C1" s="244" t="s">
        <v>2797</v>
      </c>
      <c r="D1" s="387">
        <f>SUM(D29:D30,D33:D39)</f>
        <v>148.57</v>
      </c>
      <c r="E1" s="2711"/>
      <c r="F1" s="2711"/>
      <c r="G1" s="2711"/>
      <c r="H1" s="2711"/>
      <c r="I1" s="2711"/>
      <c r="J1" s="2711"/>
      <c r="K1" s="1368"/>
      <c r="L1" s="2712" t="s">
        <v>2798</v>
      </c>
      <c r="M1" s="1078">
        <f>SUMPRODUCT((区片价!B5:B9=I2)*(区片价!C3:F3=E2)*(区片价!C5:F9))</f>
        <v>0</v>
      </c>
      <c r="N1" s="1081">
        <f>SUMPRODUCT((因素修正幅度!B5:B9=I2)*(因素修正幅度!C3:F3=E2)*(因素修正幅度!C5:F9))</f>
        <v>0</v>
      </c>
      <c r="O1" s="2713"/>
      <c r="P1" s="2713"/>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4" t="s">
        <v>2804</v>
      </c>
      <c r="B2" s="247">
        <f ca="1">C26</f>
        <v>319</v>
      </c>
      <c r="C2" s="2715" t="s">
        <v>2805</v>
      </c>
      <c r="D2" s="2716" t="s">
        <v>2806</v>
      </c>
      <c r="E2" s="2717" t="s">
        <v>3077</v>
      </c>
      <c r="F2" s="2716" t="s">
        <v>2807</v>
      </c>
      <c r="G2" s="2718" t="str">
        <f>IF(E2="商业",项目基本情况!B37,IF(E2="办公",项目基本情况!C37,IF(E2="住宅",项目基本情况!D37,项目基本情况!E37)))</f>
        <v>三级</v>
      </c>
      <c r="H2" s="2716" t="s">
        <v>2808</v>
      </c>
      <c r="I2" s="2718" t="str">
        <f>IF(E2="商业",项目基本情况!B38,IF(E2="办公",项目基本情况!C38,IF(E2="住宅",项目基本情况!D38,项目基本情况!E38)))</f>
        <v>Ⅲ—13</v>
      </c>
      <c r="J2" s="2719"/>
      <c r="K2" s="1368"/>
      <c r="L2" s="2720" t="s">
        <v>2809</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38681</v>
      </c>
      <c r="U2" s="1601"/>
      <c r="V2" s="1600">
        <f ca="1">ROUND(T2*U2/10000,0)</f>
        <v>0</v>
      </c>
      <c r="W2" s="1604"/>
      <c r="X2" s="1604"/>
      <c r="Y2" s="1604"/>
      <c r="Z2" s="1604"/>
      <c r="AA2" s="1604"/>
      <c r="AB2" s="1604"/>
      <c r="AC2" s="1605"/>
      <c r="AD2" s="1606"/>
      <c r="AE2" s="1606"/>
      <c r="AF2" s="1606"/>
      <c r="AG2" s="1606"/>
      <c r="AH2" s="1606"/>
      <c r="AI2" s="1606"/>
      <c r="AJ2" s="1607"/>
    </row>
    <row r="3" spans="1:36" ht="25.5">
      <c r="A3" s="246" t="s">
        <v>2810</v>
      </c>
      <c r="B3" s="247">
        <f ca="1">ROUND(B2*10000/D1,0)</f>
        <v>21471</v>
      </c>
      <c r="C3" s="2715" t="s">
        <v>2811</v>
      </c>
      <c r="D3" s="2716" t="s">
        <v>2812</v>
      </c>
      <c r="E3" s="2721" t="s">
        <v>3349</v>
      </c>
      <c r="F3" s="2722" t="s">
        <v>3350</v>
      </c>
      <c r="G3" s="914">
        <f>IF(F3="宗地容积率",'数据-汇总表'!I4,IF(F3="估价对象容积率",'数据-汇总表'!I6,'数据-汇总表'!I7))</f>
        <v>2.2000000000000002</v>
      </c>
      <c r="H3" s="197" t="s">
        <v>2813</v>
      </c>
      <c r="I3" s="942"/>
      <c r="J3" s="2719" t="s">
        <v>2814</v>
      </c>
      <c r="K3" s="1368"/>
      <c r="L3" s="2720" t="s">
        <v>2815</v>
      </c>
      <c r="M3" s="1079">
        <f>SUMPRODUCT((区片价!B29:B48=I2)*(区片价!C3:F3=E2)*(区片价!C29:F48))</f>
        <v>20740</v>
      </c>
      <c r="N3" s="1081">
        <f>SUMPRODUCT((因素修正幅度!B29:B48=I2)*(因素修正幅度!C3:F3=E2)*(因素修正幅度!C29:F48))</f>
        <v>9.8000000000000004E-2</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27765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38"/>
      <c r="B4" s="3239"/>
      <c r="C4" s="3239"/>
      <c r="D4" s="3240"/>
      <c r="E4" s="3240"/>
      <c r="F4" s="3240"/>
      <c r="G4" s="3240"/>
      <c r="H4" s="3240"/>
      <c r="I4" s="3240"/>
      <c r="J4" s="3241"/>
      <c r="K4" s="1368"/>
      <c r="L4" s="2720" t="s">
        <v>2816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22400</v>
      </c>
      <c r="U4" s="1601"/>
      <c r="V4" s="1600">
        <f t="shared" ca="1" si="1"/>
        <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2817</v>
      </c>
      <c r="C5" s="915">
        <f>ROUND(IF(E2="商业",C6*C7+C16,(IF(E2="住宅",C6*C12+C16,C6+C16))),0)</f>
        <v>20740</v>
      </c>
      <c r="D5" s="1785">
        <f>ROUND(C6+C16,0)</f>
        <v>20740</v>
      </c>
      <c r="E5" s="1785"/>
      <c r="F5" s="2725"/>
      <c r="G5" s="2726"/>
      <c r="H5" s="2726"/>
      <c r="I5" s="2726"/>
      <c r="J5" s="2727"/>
      <c r="K5" s="2728"/>
      <c r="L5" s="2720" t="s">
        <v>2818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17973</v>
      </c>
      <c r="U5" s="1601"/>
      <c r="V5" s="1600">
        <f t="shared" ca="1" si="1"/>
        <v>0</v>
      </c>
      <c r="W5" s="1604"/>
      <c r="X5" s="1604"/>
      <c r="Y5" s="1604"/>
      <c r="Z5" s="1604"/>
      <c r="AA5" s="1604"/>
      <c r="AB5" s="1604"/>
      <c r="AC5" s="2729"/>
      <c r="AD5" s="2730"/>
      <c r="AE5" s="2730"/>
      <c r="AF5" s="2730"/>
      <c r="AG5" s="2730"/>
      <c r="AH5" s="2730"/>
      <c r="AI5" s="2730"/>
      <c r="AJ5" s="2731"/>
    </row>
    <row r="6" spans="1:36" ht="15.75" thickBot="1">
      <c r="A6" s="2733" t="s">
        <v>2819</v>
      </c>
      <c r="B6" s="2734" t="s">
        <v>2820</v>
      </c>
      <c r="C6" s="916">
        <f>SUMIF(L1:L12,G2,M1:M12)</f>
        <v>20740</v>
      </c>
      <c r="D6" s="2735" t="s">
        <v>2821</v>
      </c>
      <c r="E6" s="2736"/>
      <c r="F6" s="2736"/>
      <c r="G6" s="2737"/>
      <c r="H6" s="2737"/>
      <c r="I6" s="2737"/>
      <c r="J6" s="2738"/>
      <c r="K6" s="1840"/>
      <c r="L6" s="2720" t="s">
        <v>2822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15305</v>
      </c>
      <c r="U6" s="1601"/>
      <c r="V6" s="1600">
        <f t="shared" ca="1" si="1"/>
        <v>0</v>
      </c>
      <c r="W6" s="1604"/>
      <c r="X6" s="1604"/>
      <c r="Y6" s="1604"/>
      <c r="Z6" s="1604"/>
      <c r="AA6" s="1604"/>
      <c r="AB6" s="1604"/>
      <c r="AC6" s="2729"/>
      <c r="AD6" s="2730"/>
      <c r="AE6" s="2730"/>
      <c r="AF6" s="2730"/>
      <c r="AG6" s="2730"/>
      <c r="AH6" s="2730"/>
      <c r="AI6" s="2730"/>
      <c r="AJ6" s="2731"/>
    </row>
    <row r="7" spans="1:36" ht="24">
      <c r="A7" s="3222" t="str">
        <f>IF(E2="商业",IF(C8="不临58条商业街","",2),"")</f>
        <v/>
      </c>
      <c r="B7" s="2739" t="s">
        <v>2823</v>
      </c>
      <c r="C7" s="917">
        <f>IF(C8="不临58条商业街",1,ROUND(1+(1.6*E8+1.2*E9+0.8*E10+0.4*E11)*C9,4))</f>
        <v>1</v>
      </c>
      <c r="D7" s="2740" t="s">
        <v>2824</v>
      </c>
      <c r="E7" s="943"/>
      <c r="F7" s="2741"/>
      <c r="G7" s="2742"/>
      <c r="H7" s="2742"/>
      <c r="I7" s="2742"/>
      <c r="J7" s="2743"/>
      <c r="K7" s="1840"/>
      <c r="L7" s="2720" t="s">
        <v>2825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13459</v>
      </c>
      <c r="U7" s="1601"/>
      <c r="V7" s="1600">
        <f t="shared" ca="1" si="1"/>
        <v>0</v>
      </c>
      <c r="W7" s="1814" t="s">
        <v>2826</v>
      </c>
      <c r="X7" s="1602" t="str">
        <f>G2</f>
        <v>三级</v>
      </c>
      <c r="Y7" s="1602" t="s">
        <v>2827</v>
      </c>
      <c r="Z7" s="1603">
        <f>G3</f>
        <v>2.2000000000000002</v>
      </c>
      <c r="AA7" s="1604"/>
      <c r="AB7" s="1604"/>
      <c r="AC7" s="1605"/>
      <c r="AD7" s="1606"/>
      <c r="AE7" s="1606"/>
      <c r="AF7" s="1606"/>
      <c r="AG7" s="1606"/>
      <c r="AH7" s="1606"/>
      <c r="AI7" s="1606"/>
      <c r="AJ7" s="1607"/>
    </row>
    <row r="8" spans="1:36" ht="25.5">
      <c r="A8" s="3242"/>
      <c r="B8" s="197" t="s">
        <v>2828</v>
      </c>
      <c r="C8" s="2744" t="s">
        <v>3351</v>
      </c>
      <c r="D8" s="918" t="s">
        <v>139</v>
      </c>
      <c r="E8" s="919" t="e">
        <f>ROUND(C11/E7,4)</f>
        <v>#DIV/0!</v>
      </c>
      <c r="F8" s="2745" t="s">
        <v>2829</v>
      </c>
      <c r="G8" s="2746"/>
      <c r="H8" s="2746"/>
      <c r="I8" s="2746"/>
      <c r="J8" s="2747"/>
      <c r="K8" s="1368"/>
      <c r="L8" s="2720" t="s">
        <v>2830</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35" t="s">
        <v>2831</v>
      </c>
      <c r="X8" s="3236"/>
      <c r="Y8" s="1608" t="s">
        <v>2832</v>
      </c>
      <c r="Z8" s="1608" t="s">
        <v>2833</v>
      </c>
      <c r="AA8" s="1608" t="s">
        <v>2834</v>
      </c>
      <c r="AB8" s="1608" t="s">
        <v>2835</v>
      </c>
      <c r="AC8" s="1608" t="s">
        <v>2836</v>
      </c>
      <c r="AD8" s="1608" t="s">
        <v>2837</v>
      </c>
      <c r="AE8" s="1608" t="s">
        <v>2838</v>
      </c>
      <c r="AF8" s="1608" t="s">
        <v>2839</v>
      </c>
      <c r="AG8" s="1608" t="s">
        <v>2840</v>
      </c>
      <c r="AH8" s="1608" t="s">
        <v>2841</v>
      </c>
      <c r="AI8" s="1608" t="s">
        <v>2842</v>
      </c>
      <c r="AJ8" s="1608" t="s">
        <v>2843</v>
      </c>
    </row>
    <row r="9" spans="1:36" ht="15">
      <c r="A9" s="3242"/>
      <c r="B9" s="197" t="s">
        <v>2844</v>
      </c>
      <c r="C9" s="920">
        <f>SUMIF(修正!C59:C119,C8,修正!E59:E119)</f>
        <v>0</v>
      </c>
      <c r="D9" s="199" t="s">
        <v>140</v>
      </c>
      <c r="E9" s="199" t="e">
        <f>ROUND(C11/E7,4)</f>
        <v>#DIV/0!</v>
      </c>
      <c r="F9" s="2745" t="s">
        <v>2845</v>
      </c>
      <c r="G9" s="2746"/>
      <c r="H9" s="2746"/>
      <c r="I9" s="2746"/>
      <c r="J9" s="2747"/>
      <c r="K9" s="1368"/>
      <c r="L9" s="2720" t="s">
        <v>2846</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37" t="s">
        <v>2847</v>
      </c>
      <c r="X9" s="1609" t="s">
        <v>2848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42"/>
      <c r="B10" s="197" t="s">
        <v>2849</v>
      </c>
      <c r="C10" s="199">
        <f>SUMIF(修正!C59:C119,C8,修正!F59:F119)</f>
        <v>0</v>
      </c>
      <c r="D10" s="199" t="s">
        <v>141</v>
      </c>
      <c r="E10" s="199" t="e">
        <f>ROUND(C11/E7,4)</f>
        <v>#DIV/0!</v>
      </c>
      <c r="F10" s="2745" t="s">
        <v>2850</v>
      </c>
      <c r="G10" s="2746"/>
      <c r="H10" s="2746"/>
      <c r="I10" s="2746"/>
      <c r="J10" s="2747"/>
      <c r="K10" s="1368"/>
      <c r="L10" s="2720" t="s">
        <v>2851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3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42"/>
      <c r="B11" s="2748" t="s">
        <v>2852</v>
      </c>
      <c r="C11" s="921">
        <f>C10/4</f>
        <v>0</v>
      </c>
      <c r="D11" s="921" t="s">
        <v>142</v>
      </c>
      <c r="E11" s="921" t="e">
        <f>ROUND(C11/E7,4)</f>
        <v>#DIV/0!</v>
      </c>
      <c r="F11" s="2749" t="s">
        <v>2853</v>
      </c>
      <c r="G11" s="2750"/>
      <c r="H11" s="2750"/>
      <c r="I11" s="2750"/>
      <c r="J11" s="2751"/>
      <c r="K11" s="1368"/>
      <c r="L11" s="2720" t="s">
        <v>2854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37" t="s">
        <v>2855</v>
      </c>
      <c r="X11" s="1612" t="s">
        <v>2856</v>
      </c>
      <c r="Y11" s="1613">
        <f>$G$3</f>
        <v>2.2000000000000002</v>
      </c>
      <c r="Z11" s="1613">
        <f t="shared" ref="Z11:AJ11" si="3">$G$3</f>
        <v>2.2000000000000002</v>
      </c>
      <c r="AA11" s="1613">
        <f t="shared" si="3"/>
        <v>2.2000000000000002</v>
      </c>
      <c r="AB11" s="1613">
        <f t="shared" si="3"/>
        <v>2.2000000000000002</v>
      </c>
      <c r="AC11" s="1613">
        <f t="shared" si="3"/>
        <v>2.2000000000000002</v>
      </c>
      <c r="AD11" s="1613">
        <f t="shared" si="3"/>
        <v>2.2000000000000002</v>
      </c>
      <c r="AE11" s="1613">
        <f t="shared" si="3"/>
        <v>2.2000000000000002</v>
      </c>
      <c r="AF11" s="1613">
        <f t="shared" si="3"/>
        <v>2.2000000000000002</v>
      </c>
      <c r="AG11" s="1613">
        <f t="shared" si="3"/>
        <v>2.2000000000000002</v>
      </c>
      <c r="AH11" s="1613">
        <f t="shared" si="3"/>
        <v>2.2000000000000002</v>
      </c>
      <c r="AI11" s="1613">
        <f t="shared" si="3"/>
        <v>2.2000000000000002</v>
      </c>
      <c r="AJ11" s="1613">
        <f t="shared" si="3"/>
        <v>2.2000000000000002</v>
      </c>
    </row>
    <row r="12" spans="1:36" ht="25.5" thickBot="1">
      <c r="A12" s="3222" t="s">
        <v>2857</v>
      </c>
      <c r="B12" s="2752" t="s">
        <v>2858</v>
      </c>
      <c r="C12" s="917">
        <f>ROUND(C15*D15*E15*F15*G15*H15*I15*J15,4)</f>
        <v>1</v>
      </c>
      <c r="D12" s="2753" t="s">
        <v>2859</v>
      </c>
      <c r="E12" s="2754"/>
      <c r="F12" s="2754"/>
      <c r="G12" s="2755"/>
      <c r="H12" s="2755"/>
      <c r="I12" s="2755"/>
      <c r="J12" s="2756"/>
      <c r="K12" s="1368"/>
      <c r="L12" s="2757" t="s">
        <v>2860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37"/>
      <c r="X12" s="1614" t="s">
        <v>2861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43"/>
      <c r="B13" s="2758" t="s">
        <v>2862</v>
      </c>
      <c r="C13" s="2759" t="s">
        <v>2863</v>
      </c>
      <c r="D13" s="1806" t="s">
        <v>2864</v>
      </c>
      <c r="E13" s="1806" t="s">
        <v>2865</v>
      </c>
      <c r="F13" s="29" t="s">
        <v>2866</v>
      </c>
      <c r="G13" s="2760" t="s">
        <v>2867</v>
      </c>
      <c r="H13" s="2760" t="s">
        <v>2867</v>
      </c>
      <c r="I13" s="2760" t="s">
        <v>2867</v>
      </c>
      <c r="J13" s="2761" t="s">
        <v>2867</v>
      </c>
      <c r="K13" s="1368"/>
      <c r="L13" s="1368"/>
      <c r="M13" s="1368"/>
      <c r="N13" s="1368"/>
      <c r="O13" s="1368"/>
      <c r="P13" s="1368"/>
      <c r="Q13" s="1368"/>
      <c r="R13" s="1600">
        <v>12</v>
      </c>
      <c r="S13" s="1601"/>
      <c r="T13" s="1600">
        <f t="shared" ca="1" si="0"/>
        <v>0</v>
      </c>
      <c r="U13" s="1601"/>
      <c r="V13" s="1600">
        <f t="shared" ca="1" si="1"/>
        <v>0</v>
      </c>
      <c r="W13" s="3237"/>
      <c r="X13" s="1614"/>
      <c r="Y13" s="1611">
        <f>(-0.163*(Y12^2)-0.59*Y12+7617)*(10^(-4))/Y11</f>
        <v>0.34622727272727272</v>
      </c>
      <c r="Z13" s="1611">
        <f t="shared" ref="Z13:AJ13" si="5">(-0.163*(Z12^2)-0.59*Z12+7617)*(10^(-4))/Z11</f>
        <v>0.34622727272727272</v>
      </c>
      <c r="AA13" s="1611">
        <f t="shared" si="5"/>
        <v>0.34622727272727272</v>
      </c>
      <c r="AB13" s="1611">
        <f t="shared" si="5"/>
        <v>0.34622727272727272</v>
      </c>
      <c r="AC13" s="1611">
        <f t="shared" si="5"/>
        <v>0.34622727272727272</v>
      </c>
      <c r="AD13" s="1611">
        <f t="shared" si="5"/>
        <v>0.34622727272727272</v>
      </c>
      <c r="AE13" s="1611">
        <f t="shared" si="5"/>
        <v>0.34622727272727272</v>
      </c>
      <c r="AF13" s="1611">
        <f t="shared" si="5"/>
        <v>0.34622727272727272</v>
      </c>
      <c r="AG13" s="1611">
        <f t="shared" si="5"/>
        <v>0.34622727272727272</v>
      </c>
      <c r="AH13" s="1611">
        <f t="shared" si="5"/>
        <v>0.34622727272727272</v>
      </c>
      <c r="AI13" s="1611">
        <f t="shared" si="5"/>
        <v>0.34622727272727272</v>
      </c>
      <c r="AJ13" s="1611">
        <f t="shared" si="5"/>
        <v>0.34622727272727272</v>
      </c>
    </row>
    <row r="14" spans="1:36" ht="15">
      <c r="A14" s="3243"/>
      <c r="B14" s="2762"/>
      <c r="C14" s="2763"/>
      <c r="D14" s="2764"/>
      <c r="E14" s="2764"/>
      <c r="F14" s="2765"/>
      <c r="G14" s="2766" t="s">
        <v>2868</v>
      </c>
      <c r="H14" s="2767"/>
      <c r="I14" s="2768"/>
      <c r="J14" s="2769"/>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44"/>
      <c r="B15" s="2770" t="s">
        <v>2869</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22" t="s">
        <v>2874</v>
      </c>
      <c r="B16" s="2739" t="s">
        <v>2875</v>
      </c>
      <c r="C16" s="2926">
        <f>ROUND(IF(F17="与级别开发程度一致",0,(G17-E17)/C17),0)</f>
        <v>0</v>
      </c>
      <c r="D16" s="3233" t="s">
        <v>2879</v>
      </c>
      <c r="E16" s="3234"/>
      <c r="F16" s="3233" t="s">
        <v>2876</v>
      </c>
      <c r="G16" s="3234"/>
      <c r="H16" s="2773" t="s">
        <v>3060</v>
      </c>
      <c r="I16" s="2773" t="s">
        <v>3061</v>
      </c>
      <c r="J16" s="2930" t="s">
        <v>3062</v>
      </c>
      <c r="K16" s="2773" t="s">
        <v>3063</v>
      </c>
      <c r="L16" s="2773" t="s">
        <v>3064</v>
      </c>
      <c r="M16" s="2773" t="s">
        <v>3065</v>
      </c>
      <c r="N16" s="2773" t="s">
        <v>3066</v>
      </c>
      <c r="O16" s="2774" t="s">
        <v>3352</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23"/>
      <c r="B17" s="2937" t="s">
        <v>2878</v>
      </c>
      <c r="C17" s="2938">
        <f>SUMPRODUCT((修正!A2:A5=E2)*(修正!B1:M1=G2)*(修正!B2:M5))</f>
        <v>2.5</v>
      </c>
      <c r="D17" s="228" t="str">
        <f>IF(OR(G2="八级",G2="九级",G2="十级",G2="十一级",G2="十二级"),"五通一平","七通一平")</f>
        <v>七通一平</v>
      </c>
      <c r="E17" s="2927">
        <f>SUMPRODUCT((修正!B1:M1=G2)*(修正!B15:M15))</f>
        <v>300</v>
      </c>
      <c r="F17" s="2928" t="s">
        <v>3353</v>
      </c>
      <c r="G17" s="2929">
        <f>SUM(H17:O17)</f>
        <v>300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50</v>
      </c>
      <c r="N17" s="2938">
        <f>SUMPRODUCT((七通一平=N16)*(修正!B1:M1=G2)*(修正!B6:M14))</f>
        <v>40</v>
      </c>
      <c r="O17" s="2940">
        <f>SUMPRODUCT((七通一平=O16)*(修正!B1:M1=G2)*(修正!B6:M14))</f>
        <v>15</v>
      </c>
      <c r="Q17" s="1368"/>
      <c r="R17" s="1368"/>
      <c r="S17" s="1368"/>
      <c r="T17" s="1368"/>
      <c r="U17" s="1368"/>
      <c r="V17" s="1368"/>
      <c r="W17" s="1368"/>
      <c r="X17" s="1368"/>
      <c r="Y17" s="1368"/>
      <c r="Z17" s="1369"/>
      <c r="AE17" s="2777"/>
      <c r="AF17" s="2777"/>
      <c r="AG17" s="2714"/>
      <c r="AH17" s="2714"/>
      <c r="AI17" s="2714"/>
      <c r="AJ17" s="2714"/>
    </row>
    <row r="18" spans="1:37" s="2732" customFormat="1" ht="15.75" thickBot="1">
      <c r="A18" s="2931" t="s">
        <v>808</v>
      </c>
      <c r="B18" s="2932" t="s">
        <v>2881</v>
      </c>
      <c r="C18" s="2933">
        <f>SUMIF(修正!C18:C39,E3,修正!E18:E39)</f>
        <v>1</v>
      </c>
      <c r="D18" s="2934"/>
      <c r="E18" s="2935"/>
      <c r="F18" s="2935"/>
      <c r="G18" s="2935"/>
      <c r="H18" s="2935"/>
      <c r="I18" s="2935"/>
      <c r="J18" s="2936"/>
      <c r="K18" s="1375"/>
      <c r="O18" s="1373"/>
      <c r="P18" s="1373"/>
      <c r="Q18" s="1374"/>
      <c r="R18" s="1374"/>
      <c r="S18" s="1374"/>
      <c r="T18" s="1369"/>
      <c r="U18" s="1369"/>
      <c r="V18" s="1369"/>
      <c r="W18" s="1368"/>
      <c r="X18" s="1368"/>
      <c r="Y18" s="1368"/>
      <c r="Z18" s="1375"/>
      <c r="AA18" s="1376"/>
      <c r="AB18" s="1376"/>
      <c r="AC18" s="1376"/>
      <c r="AD18" s="1376"/>
      <c r="AE18" s="1370"/>
      <c r="AF18" s="1370"/>
      <c r="AG18" s="2782"/>
      <c r="AH18" s="2782"/>
      <c r="AI18" s="2782"/>
    </row>
    <row r="19" spans="1:37" s="2732" customFormat="1" ht="29.25" thickBot="1">
      <c r="A19" s="2778" t="s">
        <v>809</v>
      </c>
      <c r="B19" s="2779" t="s">
        <v>2882</v>
      </c>
      <c r="C19" s="922">
        <f>ROUND(IF(H19="按公示增长率计算",SUMPRODUCT((地价!A3:A29=YEAR(G19)&amp;"-"&amp;ROUNDUP(MONTH(G19)/3,0))*(地价!X2:AB2=E2)*(地价!X3:AB29)),IF(H19="地价指数",M20/M19,(1+I19)^O19)),4)</f>
        <v>1</v>
      </c>
      <c r="D19" s="2783" t="s">
        <v>2883</v>
      </c>
      <c r="E19" s="923">
        <v>41640</v>
      </c>
      <c r="F19" s="2783" t="s">
        <v>2884</v>
      </c>
      <c r="G19" s="924">
        <f>'数据-取费表'!B2</f>
        <v>43969</v>
      </c>
      <c r="H19" s="2784" t="s">
        <v>3354</v>
      </c>
      <c r="I19" s="925">
        <f>IF(H19="季度增幅（自定义）",SUMIF(N21:N24,E2,O21:O24),"")</f>
        <v>0</v>
      </c>
      <c r="J19" s="2781"/>
      <c r="K19" s="1375"/>
      <c r="L19" s="2785" t="s">
        <v>2885</v>
      </c>
      <c r="M19" s="1732">
        <f>ROUND(SUMIF(地价!B2:F2,E2,地价!B29:F29),0)</f>
        <v>423</v>
      </c>
      <c r="N19" s="2786" t="s">
        <v>2886</v>
      </c>
      <c r="O19" s="926">
        <f>ROUNDDOWN(DATEDIF(E19,G19,"M")/3,0)</f>
        <v>25</v>
      </c>
      <c r="P19" s="1372"/>
      <c r="Q19" s="1374"/>
      <c r="R19" s="1374"/>
      <c r="S19" s="1374"/>
      <c r="T19" s="1369"/>
      <c r="U19" s="1369"/>
      <c r="V19" s="1369"/>
      <c r="W19" s="1368"/>
      <c r="X19" s="1368"/>
      <c r="Y19" s="1368"/>
      <c r="Z19" s="1375"/>
      <c r="AA19" s="1376"/>
      <c r="AB19" s="1376"/>
      <c r="AC19" s="1376"/>
      <c r="AD19" s="1376"/>
      <c r="AE19" s="1376"/>
      <c r="AF19" s="2787"/>
      <c r="AG19" s="2788"/>
      <c r="AH19" s="2782"/>
      <c r="AI19" s="2789"/>
      <c r="AJ19" s="2789"/>
      <c r="AK19" s="2789"/>
    </row>
    <row r="20" spans="1:37" s="2732" customFormat="1" ht="27.75" thickBot="1">
      <c r="A20" s="2790" t="s">
        <v>810</v>
      </c>
      <c r="B20" s="2791" t="s">
        <v>2887</v>
      </c>
      <c r="C20" s="927">
        <f ca="1">ROUND(POWER(1+G20,J20-I20)*(POWER(1+G20,I20)-1)/(POWER(1+G20,J20)-1),4)</f>
        <v>0.94950000000000001</v>
      </c>
      <c r="D20" s="2792" t="s">
        <v>2888</v>
      </c>
      <c r="E20" s="1766">
        <f ca="1">存贷款利率!D4/100</f>
        <v>4.3499999999999997E-2</v>
      </c>
      <c r="F20" s="2792" t="s">
        <v>2880</v>
      </c>
      <c r="G20" s="932">
        <f ca="1">SUMIF(M26:P26,E2,M28:P28)</f>
        <v>0.05</v>
      </c>
      <c r="H20" s="2792" t="s">
        <v>2889</v>
      </c>
      <c r="I20" s="933">
        <f>SUMIF('数据-取费表'!C6:C15,E2,'数据-取费表'!F6:F15)/COUNTIF('数据-取费表'!C6:C15,E2)</f>
        <v>51.34</v>
      </c>
      <c r="J20" s="934">
        <f>IF(E2="住宅",70,IF(E2="商业",40,50))</f>
        <v>70</v>
      </c>
      <c r="K20" s="1375"/>
      <c r="L20" s="2793" t="s">
        <v>2890</v>
      </c>
      <c r="M20" s="1733">
        <f>ROUND(SUMPRODUCT((地价!A4:A29=YEAR(G19)&amp;"-"&amp;ROUNDUP(MONTH(G19)/3,0))*(地价!B2:F2=E2)*(地价!B4:F29)),0)</f>
        <v>0</v>
      </c>
      <c r="N20" s="2794" t="s">
        <v>2891</v>
      </c>
      <c r="O20" s="2795" t="s">
        <v>2892</v>
      </c>
      <c r="P20" s="2796" t="s">
        <v>2893</v>
      </c>
      <c r="R20" s="1374"/>
      <c r="S20" s="1374"/>
      <c r="T20" s="1369"/>
      <c r="U20" s="1369"/>
      <c r="V20" s="1369"/>
      <c r="W20" s="1368"/>
      <c r="X20" s="1368"/>
      <c r="Y20" s="1368"/>
      <c r="Z20" s="1375"/>
      <c r="AA20" s="1376"/>
      <c r="AB20" s="1376"/>
      <c r="AC20" s="1376"/>
      <c r="AD20" s="1376"/>
      <c r="AE20" s="1376"/>
      <c r="AF20" s="1376"/>
    </row>
    <row r="21" spans="1:37" s="2732" customFormat="1" ht="15">
      <c r="A21" s="2797" t="s">
        <v>811</v>
      </c>
      <c r="B21" s="2798" t="s">
        <v>3355</v>
      </c>
      <c r="C21" s="935">
        <f>IF(B21="容积率修正",IF(G3&lt;=10,D22,J22),C23)</f>
        <v>1.0342</v>
      </c>
      <c r="D21" s="2799"/>
      <c r="E21" s="2799"/>
      <c r="F21" s="2799"/>
      <c r="G21" s="2799"/>
      <c r="H21" s="2799"/>
      <c r="I21" s="2799"/>
      <c r="J21" s="2800"/>
      <c r="K21" s="1375"/>
      <c r="N21" s="2801" t="s">
        <v>2894</v>
      </c>
      <c r="O21" s="1559"/>
      <c r="P21" s="1560">
        <f>SUMPRODUCT((地价!A3:A29=YEAR(G19)&amp;"-"&amp;ROUNDUP(MONTH(G19)/3,0))*(地价!AD2:AH2=N21)*(地价!AD3:AH29))</f>
        <v>0</v>
      </c>
      <c r="R21" s="1374"/>
      <c r="S21" s="1374"/>
      <c r="T21" s="1369"/>
      <c r="U21" s="1369"/>
      <c r="V21" s="1369"/>
      <c r="W21" s="1368"/>
      <c r="X21" s="1368"/>
      <c r="Y21" s="1368"/>
      <c r="Z21" s="1375"/>
      <c r="AA21" s="1376"/>
      <c r="AB21" s="1376"/>
      <c r="AC21" s="1376"/>
      <c r="AD21" s="1376"/>
      <c r="AE21" s="1376"/>
      <c r="AF21" s="1376"/>
    </row>
    <row r="22" spans="1:37" s="2732" customFormat="1" ht="14.25">
      <c r="A22" s="2658" t="s">
        <v>2895</v>
      </c>
      <c r="B22" s="2802" t="s">
        <v>2896</v>
      </c>
      <c r="C22" s="1808" t="s">
        <v>2897</v>
      </c>
      <c r="D22" s="1808">
        <f>IF(E22=G22,F22,IF(G3&lt;=10,ROUND(F22+(H22-F22)*(G3-E22)/(G22-E22),4),"——"))</f>
        <v>1.0342</v>
      </c>
      <c r="E22" s="914">
        <f>ROUNDDOWN(G3,1)</f>
        <v>2.2000000000000002</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914">
        <f>ROUNDUP(G3,1)</f>
        <v>2.2000000000000002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1808" t="s">
        <v>155</v>
      </c>
      <c r="J22" s="936" t="str">
        <f>IF(G3&gt;10,D113,"——")</f>
        <v>——</v>
      </c>
      <c r="K22" s="1375"/>
      <c r="N22" s="2801" t="s">
        <v>2898</v>
      </c>
      <c r="O22" s="1559"/>
      <c r="P22" s="1560">
        <f>SUMPRODUCT((地价!A3:A29=YEAR(G19)&amp;"-"&amp;ROUNDUP(MONTH(G19)/3,0))*(地价!AD2:AH2=N22)*(地价!AD3:AH29))</f>
        <v>0</v>
      </c>
      <c r="R22" s="1374"/>
      <c r="S22" s="1374"/>
      <c r="T22" s="1369"/>
      <c r="U22" s="1369"/>
      <c r="V22" s="1369"/>
      <c r="W22" s="1368"/>
      <c r="X22" s="1368"/>
      <c r="Y22" s="1368"/>
      <c r="Z22" s="1375"/>
      <c r="AA22" s="1376"/>
      <c r="AB22" s="1376"/>
      <c r="AC22" s="1376"/>
      <c r="AD22" s="1376"/>
      <c r="AE22" s="1376"/>
      <c r="AF22" s="1376"/>
    </row>
    <row r="23" spans="1:37" ht="27.75" thickBot="1">
      <c r="A23" s="2658" t="s">
        <v>2899</v>
      </c>
      <c r="B23" s="2803" t="s">
        <v>2900</v>
      </c>
      <c r="C23" s="1011">
        <f>ROUND(IF(G3&gt;1,IF(I3&lt;7,SUMPRODUCT((B93:B98=I3)*(C92:N92=G2)*(C93:N98)),SUMIF(C92:N92,G2,C100:N100)),IF(I3&lt;7,SUMPRODUCT((B102:B107=I3)*(C92:N92=G2)*(C102:N107)),SUMIF(C92:N92,G2,C109:N109))),4)</f>
        <v>0</v>
      </c>
      <c r="D23" s="2767"/>
      <c r="E23" s="2767"/>
      <c r="F23" s="2804"/>
      <c r="G23" s="2805"/>
      <c r="H23" s="2806"/>
      <c r="I23" s="2807"/>
      <c r="J23" s="2808"/>
      <c r="K23" s="1368"/>
      <c r="N23" s="2801" t="s">
        <v>2901</v>
      </c>
      <c r="O23" s="1559"/>
      <c r="P23" s="1560">
        <f>SUMPRODUCT((地价!A3:A29=YEAR(G19)&amp;"-"&amp;ROUNDUP(MONTH(G19)/3,0))*(地价!AD2:AH2=N23)*(地价!AD3:AH29))</f>
        <v>0</v>
      </c>
      <c r="R23" s="1374"/>
      <c r="S23" s="1374"/>
      <c r="T23" s="1369"/>
      <c r="U23" s="1369"/>
      <c r="V23" s="1369"/>
      <c r="W23" s="1368"/>
      <c r="X23" s="1368"/>
      <c r="Y23" s="1368"/>
      <c r="Z23" s="1375"/>
      <c r="AA23" s="1376"/>
      <c r="AB23" s="1376"/>
      <c r="AC23" s="1376"/>
      <c r="AD23" s="1376"/>
      <c r="AK23" s="2782"/>
    </row>
    <row r="24" spans="1:37" s="2732" customFormat="1" ht="15.75" thickBot="1">
      <c r="A24" s="2790" t="s">
        <v>812</v>
      </c>
      <c r="B24" s="2779" t="s">
        <v>2902</v>
      </c>
      <c r="C24" s="922">
        <f>SUMIF(A45:A88,E2,B45:B88)</f>
        <v>1.0544</v>
      </c>
      <c r="D24" s="2780"/>
      <c r="E24" s="2809"/>
      <c r="F24" s="2809"/>
      <c r="G24" s="2809"/>
      <c r="H24" s="2809"/>
      <c r="I24" s="2809"/>
      <c r="J24" s="2810"/>
      <c r="K24" s="1375"/>
      <c r="N24" s="2811" t="s">
        <v>2903</v>
      </c>
      <c r="O24" s="1561"/>
      <c r="P24" s="1562">
        <f>SUMPRODUCT((地价!A3:A29=YEAR(G19)&amp;"-"&amp;ROUNDUP(MONTH(G19)/3,0))*(地价!AD2:AH2=N24)*(地价!AD3:AH29))</f>
        <v>0</v>
      </c>
      <c r="R24" s="1374"/>
      <c r="S24" s="1374"/>
      <c r="T24" s="1369"/>
      <c r="U24" s="1369"/>
      <c r="V24" s="1369"/>
      <c r="W24" s="1368"/>
      <c r="X24" s="1368"/>
      <c r="Y24" s="1368"/>
      <c r="Z24" s="1375"/>
      <c r="AA24" s="1376"/>
      <c r="AB24" s="1376"/>
      <c r="AC24" s="1376"/>
      <c r="AD24" s="1376"/>
      <c r="AE24" s="1376"/>
      <c r="AF24" s="1376"/>
    </row>
    <row r="25" spans="1:37" ht="15.75" thickBot="1">
      <c r="A25" s="2790" t="s">
        <v>813</v>
      </c>
      <c r="B25" s="2812" t="s">
        <v>2904</v>
      </c>
      <c r="C25" s="928"/>
      <c r="D25" s="2742"/>
      <c r="E25" s="2742"/>
      <c r="F25" s="2813"/>
      <c r="G25" s="2742"/>
      <c r="H25" s="2742"/>
      <c r="I25" s="2742"/>
      <c r="J25" s="2743"/>
      <c r="K25" s="1368"/>
      <c r="N25" s="2814" t="s">
        <v>2905</v>
      </c>
      <c r="O25" s="1563"/>
      <c r="P25" s="1562">
        <f>SUMPRODUCT((地价!A3:A29=YEAR(G19)&amp;"-"&amp;ROUNDUP(MONTH(G19)/3,0))*(地价!AD2:AH2=N25)*(地价!AD3:AH29))</f>
        <v>0</v>
      </c>
      <c r="R25" s="1374"/>
      <c r="S25" s="1374"/>
      <c r="T25" s="1369"/>
      <c r="U25" s="1369"/>
      <c r="V25" s="1369"/>
      <c r="W25" s="1368"/>
      <c r="X25" s="1368"/>
      <c r="Y25" s="1368"/>
      <c r="Z25" s="1375"/>
      <c r="AA25" s="1376"/>
      <c r="AB25" s="1376"/>
      <c r="AC25" s="1376"/>
      <c r="AD25" s="1376"/>
    </row>
    <row r="26" spans="1:37" ht="15">
      <c r="A26" s="2815"/>
      <c r="B26" s="2802" t="s">
        <v>2906</v>
      </c>
      <c r="C26" s="205">
        <f ca="1">E29+SUM(E33:E39)</f>
        <v>319</v>
      </c>
      <c r="D26" s="2816"/>
      <c r="E26" s="2767"/>
      <c r="F26" s="2817"/>
      <c r="G26" s="2767"/>
      <c r="H26" s="2767"/>
      <c r="I26" s="2767"/>
      <c r="J26" s="2818"/>
      <c r="K26" s="1368"/>
      <c r="L26" s="2771" t="s">
        <v>2806</v>
      </c>
      <c r="M26" s="918" t="s">
        <v>2870</v>
      </c>
      <c r="N26" s="918" t="s">
        <v>2871</v>
      </c>
      <c r="O26" s="918" t="s">
        <v>2872</v>
      </c>
      <c r="P26" s="2772" t="s">
        <v>2873</v>
      </c>
      <c r="R26" s="1374"/>
      <c r="S26" s="1374"/>
      <c r="T26" s="1369"/>
      <c r="U26" s="1369"/>
      <c r="V26" s="1369"/>
      <c r="W26" s="1368"/>
      <c r="X26" s="1368"/>
      <c r="Y26" s="1368"/>
      <c r="Z26" s="1375"/>
      <c r="AA26" s="1376"/>
      <c r="AB26" s="1376"/>
      <c r="AC26" s="1376"/>
      <c r="AD26" s="1376"/>
    </row>
    <row r="27" spans="1:37" ht="15.75" thickBot="1">
      <c r="A27" s="2815"/>
      <c r="B27" s="2819" t="s">
        <v>2907</v>
      </c>
      <c r="C27" s="929">
        <f ca="1">E30+SUM(I33:I39)</f>
        <v>0</v>
      </c>
      <c r="D27" s="2820"/>
      <c r="E27" s="2821"/>
      <c r="F27" s="2822"/>
      <c r="G27" s="2821"/>
      <c r="H27" s="2821"/>
      <c r="I27" s="2821"/>
      <c r="J27" s="2823"/>
      <c r="K27" s="1368"/>
      <c r="L27" s="2775" t="s">
        <v>2877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4"/>
      <c r="B28" s="2825" t="s">
        <v>2908</v>
      </c>
      <c r="C28" s="2826" t="s">
        <v>2909</v>
      </c>
      <c r="D28" s="2826" t="s">
        <v>2910</v>
      </c>
      <c r="E28" s="2827" t="s">
        <v>2911</v>
      </c>
      <c r="F28" s="2828"/>
      <c r="G28" s="2755"/>
      <c r="H28" s="2755"/>
      <c r="I28" s="2755"/>
      <c r="J28" s="2756"/>
      <c r="K28" s="1368"/>
      <c r="L28" s="2776" t="s">
        <v>2880</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9"/>
      <c r="B29" s="2830" t="s">
        <v>2912</v>
      </c>
      <c r="C29" s="205">
        <f ca="1">ROUND(C5*C18*C19*C20*C21*C24,0)</f>
        <v>21474</v>
      </c>
      <c r="D29" s="2831">
        <f>系统读取表!B14</f>
        <v>148.57</v>
      </c>
      <c r="E29" s="940">
        <f ca="1">ROUND(C29*D29/10000,0)</f>
        <v>319</v>
      </c>
      <c r="F29" s="2832" t="s">
        <v>2913</v>
      </c>
      <c r="G29" s="2833"/>
      <c r="H29" s="2833"/>
      <c r="I29" s="2833"/>
      <c r="J29" s="2834"/>
      <c r="K29" s="1368"/>
      <c r="L29" s="1368"/>
      <c r="M29" s="1368"/>
      <c r="N29" s="1368"/>
      <c r="O29" s="1373"/>
      <c r="P29" s="1373"/>
      <c r="Q29" s="1374"/>
      <c r="R29" s="1374"/>
      <c r="S29" s="1374"/>
      <c r="T29" s="1369"/>
      <c r="U29" s="1369"/>
      <c r="V29" s="1369"/>
      <c r="W29" s="1368"/>
      <c r="X29" s="1368"/>
      <c r="Y29" s="1368"/>
      <c r="Z29" s="1375"/>
      <c r="AA29" s="1376"/>
      <c r="AB29" s="1376"/>
      <c r="AC29" s="1376"/>
      <c r="AD29" s="1376"/>
      <c r="AE29" s="2777"/>
      <c r="AF29" s="2777"/>
      <c r="AG29" s="2714"/>
      <c r="AH29" s="2714"/>
      <c r="AI29" s="2714"/>
      <c r="AJ29" s="2714"/>
    </row>
    <row r="30" spans="1:37" ht="25.5" thickBot="1">
      <c r="A30" s="2835"/>
      <c r="B30" s="2836" t="s">
        <v>2914</v>
      </c>
      <c r="C30" s="228">
        <f ca="1">ROUND(IF(E2="工业",C29*M39,C29*M38),0)</f>
        <v>5369</v>
      </c>
      <c r="D30" s="2837"/>
      <c r="E30" s="940">
        <f ca="1">ROUND(C30*D30/10000,0)</f>
        <v>0</v>
      </c>
      <c r="F30" s="2838" t="s">
        <v>2915</v>
      </c>
      <c r="G30" s="2839"/>
      <c r="H30" s="2839"/>
      <c r="I30" s="2839"/>
      <c r="J30" s="2840"/>
      <c r="K30" s="1368"/>
      <c r="L30" s="1368"/>
      <c r="M30" s="1368"/>
      <c r="N30" s="1368"/>
      <c r="O30" s="1373"/>
      <c r="P30" s="1373"/>
      <c r="Q30" s="1374"/>
      <c r="R30" s="1374"/>
      <c r="S30" s="1374"/>
      <c r="T30" s="1369"/>
      <c r="U30" s="1369"/>
      <c r="V30" s="1369"/>
      <c r="W30" s="1368"/>
      <c r="X30" s="1368"/>
      <c r="Y30" s="1368"/>
      <c r="Z30" s="1375"/>
      <c r="AA30" s="1376"/>
      <c r="AB30" s="1376"/>
      <c r="AC30" s="1376"/>
      <c r="AD30" s="1376"/>
      <c r="AE30" s="2777"/>
      <c r="AF30" s="2777"/>
      <c r="AG30" s="2714"/>
      <c r="AH30" s="2714"/>
      <c r="AI30" s="2714"/>
      <c r="AJ30" s="2714"/>
    </row>
    <row r="31" spans="1:37" ht="14.25">
      <c r="A31" s="2841"/>
      <c r="B31" s="2842" t="s">
        <v>2916</v>
      </c>
      <c r="C31" s="2843" t="s">
        <v>2917</v>
      </c>
      <c r="D31" s="2755"/>
      <c r="E31" s="2843"/>
      <c r="F31" s="2843"/>
      <c r="G31" s="2753" t="s">
        <v>2918</v>
      </c>
      <c r="H31" s="2755"/>
      <c r="I31" s="2844"/>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77"/>
      <c r="AF31" s="2777"/>
      <c r="AG31" s="2714"/>
      <c r="AH31" s="2714"/>
      <c r="AI31" s="2714"/>
      <c r="AJ31" s="2714"/>
    </row>
    <row r="32" spans="1:37" ht="24">
      <c r="A32" s="2829"/>
      <c r="B32" s="2845"/>
      <c r="C32" s="500" t="s">
        <v>2909</v>
      </c>
      <c r="D32" s="497" t="s">
        <v>2910</v>
      </c>
      <c r="E32" s="497" t="s">
        <v>2911</v>
      </c>
      <c r="F32" s="387" t="s">
        <v>2919</v>
      </c>
      <c r="G32" s="2846" t="s">
        <v>2909</v>
      </c>
      <c r="H32" s="2846" t="s">
        <v>2910</v>
      </c>
      <c r="I32" s="2846" t="s">
        <v>2911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7"/>
      <c r="AF32" s="2777"/>
      <c r="AG32" s="2714"/>
      <c r="AH32" s="2714"/>
      <c r="AI32" s="2714"/>
      <c r="AJ32" s="2714"/>
    </row>
    <row r="33" spans="1:37" ht="36" customHeight="1">
      <c r="A33" s="3230" t="s">
        <v>2920</v>
      </c>
      <c r="B33" s="2847" t="s">
        <v>2921</v>
      </c>
      <c r="C33" s="205">
        <f ca="1">ROUND(D5*C19*C20*C24*F33,0)</f>
        <v>14535</v>
      </c>
      <c r="D33" s="2831"/>
      <c r="E33" s="199">
        <f ca="1">ROUND(C33*D33/10000,0)</f>
        <v>0</v>
      </c>
      <c r="F33" s="199">
        <f>SUMIF(修正!A45:A56,G2,修正!B45:B56)</f>
        <v>0.7</v>
      </c>
      <c r="G33" s="199">
        <f t="shared" ref="G33" ca="1" si="6">ROUND(IF(E2="工业",C33*$M$39,C33*$M$38),0)</f>
        <v>3634</v>
      </c>
      <c r="H33" s="199">
        <f>D33</f>
        <v>0</v>
      </c>
      <c r="I33" s="199">
        <f ca="1">ROUND(G33*H33/10000,0)</f>
        <v>0</v>
      </c>
      <c r="J33" s="284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31"/>
      <c r="B34" s="2759" t="s">
        <v>2922</v>
      </c>
      <c r="C34" s="205">
        <f ca="1">ROUND(D5*C19*C20*C24*F34,0)</f>
        <v>8306</v>
      </c>
      <c r="D34" s="2831"/>
      <c r="E34" s="199">
        <f t="shared" ref="E34:E39" ca="1" si="7">ROUND(C34*D34/10000,0)</f>
        <v>0</v>
      </c>
      <c r="F34" s="199">
        <f>SUMIF(修正!A45:A56,G2,修正!C45:C56)</f>
        <v>0.4</v>
      </c>
      <c r="G34" s="199">
        <f ca="1">ROUND(IF(E2="工业",C34*$M$39,C34*$M$38),0)</f>
        <v>2077</v>
      </c>
      <c r="H34" s="199">
        <f t="shared" ref="H34:H39" si="8">D34</f>
        <v>0</v>
      </c>
      <c r="I34" s="199">
        <f t="shared" ref="I34:I39" ca="1" si="9">ROUND(G34*H34/10000,0)</f>
        <v>0</v>
      </c>
      <c r="J34" s="284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31"/>
      <c r="B35" s="2759" t="s">
        <v>2923</v>
      </c>
      <c r="C35" s="205">
        <f ca="1">ROUND(D5*C19*C20*C24*F35,0)</f>
        <v>5814</v>
      </c>
      <c r="D35" s="2831"/>
      <c r="E35" s="199">
        <f t="shared" ca="1" si="7"/>
        <v>0</v>
      </c>
      <c r="F35" s="199">
        <f>SUMIF(修正!A45:A56,G2,修正!D45:D56)</f>
        <v>0.28000000000000003</v>
      </c>
      <c r="G35" s="199">
        <f ca="1">ROUND(IF(E2="工业",C35*$M$39,C35*$M$38),0)</f>
        <v>1454</v>
      </c>
      <c r="H35" s="199">
        <f t="shared" si="8"/>
        <v>0</v>
      </c>
      <c r="I35" s="199">
        <f t="shared" ca="1" si="9"/>
        <v>0</v>
      </c>
      <c r="J35" s="2848"/>
      <c r="K35" s="1368"/>
      <c r="L35" s="1368"/>
      <c r="M35" s="1368"/>
      <c r="N35" s="1368"/>
      <c r="O35" s="1368"/>
      <c r="P35" s="1368"/>
      <c r="Q35" s="1368"/>
      <c r="R35" s="1368"/>
      <c r="S35" s="1368"/>
      <c r="T35" s="1368"/>
      <c r="U35" s="1368"/>
      <c r="V35" s="1368"/>
      <c r="W35" s="1368"/>
      <c r="X35" s="1368"/>
      <c r="Y35" s="1368"/>
      <c r="Z35" s="1369"/>
    </row>
    <row r="36" spans="1:37" ht="13.5" thickBot="1">
      <c r="A36" s="3232"/>
      <c r="B36" s="2759" t="s">
        <v>2924</v>
      </c>
      <c r="C36" s="205">
        <f ca="1">ROUND(D5*C19*C20*C24*F36,0)</f>
        <v>5191</v>
      </c>
      <c r="D36" s="2831"/>
      <c r="E36" s="199">
        <f t="shared" ca="1" si="7"/>
        <v>0</v>
      </c>
      <c r="F36" s="199">
        <f>SUMIF(修正!A45:A56,G2,修正!E45:E56)</f>
        <v>0.25</v>
      </c>
      <c r="G36" s="199">
        <f ca="1">ROUND(IF(E2="工业",C36*$M$39,C36*$M$38),0)</f>
        <v>1298</v>
      </c>
      <c r="H36" s="199">
        <f t="shared" si="8"/>
        <v>0</v>
      </c>
      <c r="I36" s="199">
        <f t="shared" ca="1" si="9"/>
        <v>0</v>
      </c>
      <c r="J36" s="2848"/>
      <c r="K36" s="1368"/>
      <c r="L36" s="2713"/>
      <c r="M36" s="2713"/>
      <c r="N36" s="1368"/>
      <c r="O36" s="1368"/>
      <c r="P36" s="1368"/>
      <c r="Q36" s="1368"/>
      <c r="R36" s="1368"/>
      <c r="S36" s="1368"/>
      <c r="T36" s="1368"/>
      <c r="U36" s="1368"/>
      <c r="V36" s="1368"/>
      <c r="W36" s="1368"/>
      <c r="X36" s="1368"/>
      <c r="Y36" s="1368"/>
      <c r="Z36" s="1369"/>
    </row>
    <row r="37" spans="1:37">
      <c r="A37" s="2849"/>
      <c r="B37" s="2759" t="s">
        <v>2925</v>
      </c>
      <c r="C37" s="199">
        <f ca="1">ROUND(D5*C19*C20*C24*F37,0)</f>
        <v>5191</v>
      </c>
      <c r="D37" s="2831"/>
      <c r="E37" s="199">
        <f t="shared" ca="1" si="7"/>
        <v>0</v>
      </c>
      <c r="F37" s="205">
        <f>SUMIF(修正!A45:A56,G2,修正!F45:F56)</f>
        <v>0.25</v>
      </c>
      <c r="G37" s="199">
        <f ca="1">ROUND(IF(E2="工业",C37*$M$39,C37*$M$38),0)</f>
        <v>1298</v>
      </c>
      <c r="H37" s="199">
        <f t="shared" si="8"/>
        <v>0</v>
      </c>
      <c r="I37" s="199">
        <f t="shared" ca="1" si="9"/>
        <v>0</v>
      </c>
      <c r="J37" s="2848"/>
      <c r="K37" s="1368"/>
      <c r="L37" s="2850" t="s">
        <v>2926</v>
      </c>
      <c r="M37" s="2851"/>
      <c r="N37" s="1368"/>
      <c r="O37" s="1368"/>
      <c r="P37" s="1368"/>
      <c r="Q37" s="1368"/>
      <c r="R37" s="1368"/>
      <c r="S37" s="1368"/>
      <c r="T37" s="1368"/>
      <c r="U37" s="1368"/>
      <c r="V37" s="1368"/>
      <c r="W37" s="1368"/>
      <c r="X37" s="1368"/>
      <c r="Y37" s="1368"/>
      <c r="Z37" s="1369"/>
    </row>
    <row r="38" spans="1:37">
      <c r="A38" s="2849"/>
      <c r="B38" s="2759" t="s">
        <v>2927</v>
      </c>
      <c r="C38" s="199">
        <f ca="1">ROUND(D5*C19*C41*C24*F38,0)</f>
        <v>5500</v>
      </c>
      <c r="D38" s="2831"/>
      <c r="E38" s="199">
        <f t="shared" ca="1" si="7"/>
        <v>0</v>
      </c>
      <c r="F38" s="205">
        <f>SUMIF(修正!A45:A56,G2,修正!G45:G56)</f>
        <v>0.25</v>
      </c>
      <c r="G38" s="199">
        <f ca="1">ROUND(IF(E2="工业",C38*$M$39,C38*$M$38),0)</f>
        <v>1375</v>
      </c>
      <c r="H38" s="199">
        <f t="shared" si="8"/>
        <v>0</v>
      </c>
      <c r="I38" s="199">
        <f t="shared" ca="1" si="9"/>
        <v>0</v>
      </c>
      <c r="J38" s="2848"/>
      <c r="K38" s="1368"/>
      <c r="L38" s="1885" t="s">
        <v>2928</v>
      </c>
      <c r="M38" s="2852">
        <v>0.25</v>
      </c>
      <c r="N38" s="1368"/>
      <c r="O38" s="1368"/>
      <c r="P38" s="1368"/>
      <c r="Q38" s="1368"/>
      <c r="R38" s="1368"/>
      <c r="S38" s="1368"/>
      <c r="T38" s="1368"/>
      <c r="U38" s="1368"/>
      <c r="V38" s="1368"/>
      <c r="W38" s="1368"/>
      <c r="X38" s="1368"/>
      <c r="Y38" s="1368"/>
      <c r="Z38" s="1369"/>
    </row>
    <row r="39" spans="1:37" ht="13.5" thickBot="1">
      <c r="A39" s="2835"/>
      <c r="B39" s="2853" t="s">
        <v>2929</v>
      </c>
      <c r="C39" s="228">
        <f ca="1">ROUND(D5*C19*C41*C24*F39,0)</f>
        <v>4400</v>
      </c>
      <c r="D39" s="2837"/>
      <c r="E39" s="228">
        <f t="shared" ca="1" si="7"/>
        <v>0</v>
      </c>
      <c r="F39" s="930">
        <f>SUMIF(修正!A45:A56,G2,修正!H45:H56)</f>
        <v>0.2</v>
      </c>
      <c r="G39" s="228">
        <f ca="1">ROUND(IF(E2="工业",C39*$M$39,C39*$M$38),0)</f>
        <v>1100</v>
      </c>
      <c r="H39" s="228">
        <f t="shared" si="8"/>
        <v>0</v>
      </c>
      <c r="I39" s="228">
        <f t="shared" ca="1" si="9"/>
        <v>0</v>
      </c>
      <c r="J39" s="2854"/>
      <c r="K39" s="1368"/>
      <c r="L39" s="2855" t="s">
        <v>2873</v>
      </c>
      <c r="M39" s="285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4" t="s">
        <v>3035</v>
      </c>
      <c r="C41" s="387">
        <f ca="1">ROUND(POWER(1+E41,H41-G41)*(POWER(1+E41,G41)-1)/(POWER(1+E41,H41)-1),4)</f>
        <v>1.006</v>
      </c>
      <c r="D41" s="199" t="s">
        <v>2880</v>
      </c>
      <c r="E41" s="2923">
        <f ca="1">G20</f>
        <v>0.05</v>
      </c>
      <c r="F41" s="199" t="s">
        <v>2889</v>
      </c>
      <c r="G41" s="217">
        <f>项目基本情况!D15</f>
        <v>51.34</v>
      </c>
      <c r="H41" s="199">
        <v>50</v>
      </c>
      <c r="Z41" s="1369"/>
      <c r="AA41" s="1369"/>
      <c r="AB41" s="1369"/>
      <c r="AC41" s="1369"/>
      <c r="AD41" s="1369"/>
      <c r="AE41" s="1369"/>
      <c r="AF41" s="1369"/>
      <c r="AG41" s="1369"/>
      <c r="AH41" s="1369"/>
      <c r="AI41" s="1369"/>
      <c r="AJ41" s="1369"/>
    </row>
    <row r="42" spans="1:37" s="1368" customFormat="1">
      <c r="A42" s="1369"/>
      <c r="B42" s="2857"/>
      <c r="Z42" s="1369"/>
      <c r="AA42" s="1369"/>
      <c r="AB42" s="1369"/>
      <c r="AC42" s="1369"/>
      <c r="AD42" s="1369"/>
      <c r="AE42" s="1369"/>
      <c r="AF42" s="1369"/>
      <c r="AG42" s="1369"/>
      <c r="AH42" s="1369"/>
      <c r="AI42" s="1369"/>
      <c r="AJ42" s="1369"/>
    </row>
    <row r="43" spans="1:37" s="1368" customFormat="1">
      <c r="A43" s="1369"/>
      <c r="B43" s="2857"/>
      <c r="Z43" s="1369"/>
      <c r="AA43" s="1369"/>
      <c r="AB43" s="1369"/>
      <c r="AC43" s="1369"/>
      <c r="AD43" s="1369"/>
      <c r="AE43" s="1369"/>
      <c r="AF43" s="1369"/>
      <c r="AG43" s="1369"/>
      <c r="AH43" s="1369"/>
      <c r="AI43" s="1369"/>
      <c r="AJ43" s="1369"/>
    </row>
    <row r="44" spans="1:37" s="1368" customFormat="1">
      <c r="A44" s="1369"/>
      <c r="B44" s="2857"/>
      <c r="Z44" s="1369"/>
      <c r="AA44" s="1369"/>
      <c r="AB44" s="1369"/>
      <c r="AC44" s="1369"/>
      <c r="AD44" s="1369"/>
      <c r="AE44" s="1369"/>
      <c r="AF44" s="1369"/>
      <c r="AG44" s="1369"/>
      <c r="AH44" s="1369"/>
      <c r="AI44" s="1369"/>
      <c r="AJ44" s="1369"/>
    </row>
    <row r="45" spans="1:37" s="1368" customFormat="1" ht="15.75" thickBot="1">
      <c r="A45" s="2858" t="s">
        <v>2930</v>
      </c>
      <c r="B45" s="2859"/>
      <c r="C45" s="7"/>
      <c r="D45" s="7"/>
      <c r="E45" s="7"/>
      <c r="F45" s="6"/>
      <c r="G45" s="6"/>
      <c r="H45" s="6"/>
      <c r="I45" s="7"/>
      <c r="J45" s="7"/>
      <c r="K45" s="7"/>
      <c r="L45" s="7"/>
      <c r="M45" s="7"/>
      <c r="N45" s="2777"/>
      <c r="Z45" s="1369"/>
      <c r="AA45" s="1369"/>
      <c r="AB45" s="1369"/>
      <c r="AC45" s="1369"/>
      <c r="AD45" s="1369"/>
      <c r="AE45" s="1369"/>
      <c r="AF45" s="1369"/>
      <c r="AG45" s="1369"/>
      <c r="AH45" s="1369"/>
      <c r="AI45" s="1369"/>
      <c r="AJ45" s="1369"/>
    </row>
    <row r="46" spans="1:37" s="1368" customFormat="1" ht="15">
      <c r="A46" s="2860" t="s">
        <v>2931</v>
      </c>
      <c r="B46" s="2861">
        <f>1+E48</f>
        <v>1</v>
      </c>
      <c r="C46" s="2862"/>
      <c r="D46" s="812"/>
      <c r="E46" s="813"/>
      <c r="F46" s="2863"/>
      <c r="G46" s="6"/>
      <c r="H46" s="7"/>
      <c r="I46" s="7"/>
      <c r="J46" s="7"/>
      <c r="K46" s="7"/>
      <c r="L46" s="7"/>
      <c r="M46" s="7"/>
      <c r="N46" s="2777"/>
      <c r="Z46" s="1369"/>
      <c r="AA46" s="1369"/>
      <c r="AB46" s="1369"/>
      <c r="AC46" s="1369"/>
      <c r="AD46" s="1369"/>
      <c r="AE46" s="1369"/>
      <c r="AF46" s="1369"/>
      <c r="AG46" s="1369"/>
      <c r="AH46" s="1369"/>
      <c r="AI46" s="1369"/>
      <c r="AJ46" s="1369"/>
    </row>
    <row r="47" spans="1:37" s="1368" customFormat="1" ht="24.75">
      <c r="A47" s="2864" t="s">
        <v>2932</v>
      </c>
      <c r="B47" s="1807" t="s">
        <v>2933</v>
      </c>
      <c r="C47" s="1807" t="s">
        <v>2934</v>
      </c>
      <c r="D47" s="1807" t="s">
        <v>2935</v>
      </c>
      <c r="E47" s="817" t="s">
        <v>2936</v>
      </c>
      <c r="F47" s="2865" t="s">
        <v>2937</v>
      </c>
      <c r="G47" s="1807" t="s">
        <v>754</v>
      </c>
      <c r="H47" s="2866" t="s">
        <v>2938</v>
      </c>
      <c r="I47" s="1807" t="s">
        <v>2939</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4" t="s">
        <v>2940</v>
      </c>
      <c r="B48" s="2867" t="str">
        <f>估价对象房地状况!C4</f>
        <v>估价对象位于XX商圈，周边商业氛围成熟，人流量大，商业繁华度好</v>
      </c>
      <c r="C48" s="2764"/>
      <c r="D48" s="1284">
        <f t="shared" ref="D48:D56" si="10">SUMIF($J$47:$N$47,C48,J48:N48)</f>
        <v>0</v>
      </c>
      <c r="E48" s="819">
        <f>ROUND(SUM(D48:D56),4)</f>
        <v>0</v>
      </c>
      <c r="F48" s="2497"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64" t="s">
        <v>2941</v>
      </c>
      <c r="B49" s="2868" t="str">
        <f>估价对象房地状况!C18</f>
        <v>较好</v>
      </c>
      <c r="C49" s="2764"/>
      <c r="D49" s="1284">
        <f t="shared" si="10"/>
        <v>0</v>
      </c>
      <c r="E49" s="820"/>
      <c r="F49" s="2497"/>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4" t="s">
        <v>2942</v>
      </c>
      <c r="B50" s="2868">
        <f>估价对象房地状况!C19</f>
        <v>0</v>
      </c>
      <c r="C50" s="2764"/>
      <c r="D50" s="1284">
        <f t="shared" si="10"/>
        <v>0</v>
      </c>
      <c r="E50" s="820"/>
      <c r="F50" s="2497"/>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4" t="s">
        <v>2943</v>
      </c>
      <c r="B51" s="2869" t="s">
        <v>2944</v>
      </c>
      <c r="C51" s="2764"/>
      <c r="D51" s="1284">
        <f t="shared" si="10"/>
        <v>0</v>
      </c>
      <c r="E51" s="820"/>
      <c r="F51" s="2497"/>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4" t="s">
        <v>2945</v>
      </c>
      <c r="B52" s="2868" t="str">
        <f>估价对象房地状况!C24</f>
        <v>主干道-东三环中路</v>
      </c>
      <c r="C52" s="2764"/>
      <c r="D52" s="1284">
        <f t="shared" si="10"/>
        <v>0</v>
      </c>
      <c r="E52" s="820"/>
      <c r="F52" s="2497"/>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4" t="s">
        <v>2946</v>
      </c>
      <c r="B53" s="2870" t="s">
        <v>2947</v>
      </c>
      <c r="C53" s="2764"/>
      <c r="D53" s="1284">
        <f t="shared" si="10"/>
        <v>0</v>
      </c>
      <c r="E53" s="820"/>
      <c r="F53" s="2497"/>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1" t="s">
        <v>2948</v>
      </c>
      <c r="B54" s="1723" t="str">
        <f>估价对象房地状况!C21</f>
        <v>较好</v>
      </c>
      <c r="C54" s="2764"/>
      <c r="D54" s="1284">
        <f t="shared" si="10"/>
        <v>0</v>
      </c>
      <c r="E54" s="820"/>
      <c r="F54" s="2497"/>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1" t="s">
        <v>2949</v>
      </c>
      <c r="B55" s="2868" t="str">
        <f>估价对象房地状况!C22</f>
        <v>七通</v>
      </c>
      <c r="C55" s="2764"/>
      <c r="D55" s="1284">
        <f t="shared" si="10"/>
        <v>0</v>
      </c>
      <c r="E55" s="820"/>
      <c r="F55" s="2497"/>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2" t="s">
        <v>2950</v>
      </c>
      <c r="B56" s="2873" t="str">
        <f>估价对象房地状况!C20</f>
        <v>较好</v>
      </c>
      <c r="C56" s="2764"/>
      <c r="D56" s="1284">
        <f t="shared" si="10"/>
        <v>0</v>
      </c>
      <c r="E56" s="823"/>
      <c r="F56" s="2497"/>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0" t="s">
        <v>2951</v>
      </c>
      <c r="B57" s="2861">
        <f>1+E59</f>
        <v>1</v>
      </c>
      <c r="C57" s="812"/>
      <c r="D57" s="812"/>
      <c r="E57" s="813"/>
      <c r="F57" s="286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4" t="s">
        <v>2932</v>
      </c>
      <c r="B58" s="1807"/>
      <c r="C58" s="1807" t="s">
        <v>2934</v>
      </c>
      <c r="D58" s="1807" t="s">
        <v>2935</v>
      </c>
      <c r="E58" s="817" t="s">
        <v>2936</v>
      </c>
      <c r="F58" s="2865" t="s">
        <v>2952</v>
      </c>
      <c r="G58" s="1807" t="s">
        <v>754</v>
      </c>
      <c r="H58" s="2866" t="s">
        <v>2938</v>
      </c>
      <c r="I58" s="1807" t="s">
        <v>2939</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24">
      <c r="A59" s="2864" t="s">
        <v>2953</v>
      </c>
      <c r="B59" s="2867" t="str">
        <f>估价对象房地状况!C17</f>
        <v>较好</v>
      </c>
      <c r="C59" s="2764"/>
      <c r="D59" s="1284">
        <f t="shared" ref="D59:D67" si="15">SUMIF($J$58:$N$58,C59,J59:N59)</f>
        <v>0</v>
      </c>
      <c r="E59" s="819">
        <f>ROUND(SUM(D59:D67),4)</f>
        <v>0</v>
      </c>
      <c r="F59" s="2497"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64" t="s">
        <v>2941</v>
      </c>
      <c r="B60" s="2868" t="str">
        <f>估价对象房地状况!C18</f>
        <v>较好</v>
      </c>
      <c r="C60" s="2764"/>
      <c r="D60" s="1284">
        <f t="shared" si="15"/>
        <v>0</v>
      </c>
      <c r="E60" s="820"/>
      <c r="F60" s="2497"/>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4" t="s">
        <v>2942</v>
      </c>
      <c r="B61" s="2868">
        <f>估价对象房地状况!C19</f>
        <v>0</v>
      </c>
      <c r="C61" s="2764"/>
      <c r="D61" s="1284">
        <f t="shared" si="15"/>
        <v>0</v>
      </c>
      <c r="E61" s="820"/>
      <c r="F61" s="2497"/>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4" t="s">
        <v>2943</v>
      </c>
      <c r="B62" s="2869" t="s">
        <v>2944</v>
      </c>
      <c r="C62" s="2764"/>
      <c r="D62" s="1284">
        <f t="shared" si="15"/>
        <v>0</v>
      </c>
      <c r="E62" s="820"/>
      <c r="F62" s="2497"/>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4" t="s">
        <v>2945</v>
      </c>
      <c r="B63" s="2868" t="str">
        <f>估价对象房地状况!C24</f>
        <v>主干道-东三环中路</v>
      </c>
      <c r="C63" s="2764"/>
      <c r="D63" s="1284">
        <f t="shared" si="15"/>
        <v>0</v>
      </c>
      <c r="E63" s="820"/>
      <c r="F63" s="2497"/>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4" t="s">
        <v>2946</v>
      </c>
      <c r="B64" s="2870" t="s">
        <v>2947</v>
      </c>
      <c r="C64" s="2764"/>
      <c r="D64" s="1284">
        <f t="shared" si="15"/>
        <v>0</v>
      </c>
      <c r="E64" s="820"/>
      <c r="F64" s="2497"/>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64" t="s">
        <v>2948</v>
      </c>
      <c r="B65" s="1723" t="str">
        <f>估价对象房地状况!C21</f>
        <v>较好</v>
      </c>
      <c r="C65" s="2764"/>
      <c r="D65" s="1284">
        <f t="shared" si="15"/>
        <v>0</v>
      </c>
      <c r="E65" s="820"/>
      <c r="F65" s="2497"/>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4" t="s">
        <v>2949</v>
      </c>
      <c r="B66" s="1723" t="str">
        <f>估价对象房地状况!C22</f>
        <v>七通</v>
      </c>
      <c r="C66" s="2764"/>
      <c r="D66" s="1284">
        <f t="shared" si="15"/>
        <v>0</v>
      </c>
      <c r="E66" s="820"/>
      <c r="F66" s="2497"/>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2" t="s">
        <v>2950</v>
      </c>
      <c r="B67" s="2874" t="str">
        <f>估价对象房地状况!C20</f>
        <v>较好</v>
      </c>
      <c r="C67" s="2764"/>
      <c r="D67" s="1284">
        <f t="shared" si="15"/>
        <v>0</v>
      </c>
      <c r="E67" s="823"/>
      <c r="F67" s="2497"/>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0" t="s">
        <v>2954</v>
      </c>
      <c r="B68" s="2861">
        <f>1+E70</f>
        <v>1.0544</v>
      </c>
      <c r="C68" s="812"/>
      <c r="D68" s="812"/>
      <c r="E68" s="813"/>
      <c r="F68" s="286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4" t="s">
        <v>2932</v>
      </c>
      <c r="B69" s="1807"/>
      <c r="C69" s="1807" t="s">
        <v>2934</v>
      </c>
      <c r="D69" s="1807" t="s">
        <v>2935</v>
      </c>
      <c r="E69" s="817" t="s">
        <v>2936</v>
      </c>
      <c r="F69" s="2865" t="s">
        <v>2952</v>
      </c>
      <c r="G69" s="1807" t="s">
        <v>754</v>
      </c>
      <c r="H69" s="2866" t="s">
        <v>2938</v>
      </c>
      <c r="I69" s="1807" t="s">
        <v>2939</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24">
      <c r="A70" s="2864" t="s">
        <v>2955</v>
      </c>
      <c r="B70" s="2867" t="str">
        <f>估价对象房地状况!C15</f>
        <v>较好</v>
      </c>
      <c r="C70" s="2764" t="s">
        <v>3173</v>
      </c>
      <c r="D70" s="1284">
        <f t="shared" ref="D70:D78" si="20">SUMIF($J$69:$N$69,C70,J70:N70)</f>
        <v>6.7999999999999996E-3</v>
      </c>
      <c r="E70" s="819">
        <f>ROUND(SUM(D70:D78),4)</f>
        <v>5.4399999999999997E-2</v>
      </c>
      <c r="F70" s="2497">
        <f>IF(E2="住宅",SUMIF(L1:L12,G2,N1:N12),"——")</f>
        <v>9.8000000000000004E-2</v>
      </c>
      <c r="G70" s="1282">
        <f>H70</f>
        <v>6.7999999999999996E-3</v>
      </c>
      <c r="H70" s="1286">
        <f t="shared" ref="H70:H78" si="21">IFERROR(ROUNDDOWN($F$70*I70/2,4),"——")</f>
        <v>6.7999999999999996E-3</v>
      </c>
      <c r="I70" s="818">
        <v>0.14000000000000001</v>
      </c>
      <c r="J70" s="1283">
        <f t="shared" ref="J70:J78" si="22">K70+$G70</f>
        <v>1.3599999999999999E-2</v>
      </c>
      <c r="K70" s="1283">
        <f t="shared" ref="K70:K78" si="23">$L70+$G70</f>
        <v>6.7999999999999996E-3</v>
      </c>
      <c r="L70" s="1283">
        <v>0</v>
      </c>
      <c r="M70" s="1283">
        <f t="shared" ref="M70:N78" si="24">L70-$G70</f>
        <v>-6.7999999999999996E-3</v>
      </c>
      <c r="N70" s="1283">
        <f t="shared" si="24"/>
        <v>-1.3599999999999999E-2</v>
      </c>
      <c r="AA70" s="1369"/>
      <c r="AB70" s="1369"/>
      <c r="AC70" s="1369"/>
      <c r="AD70" s="1369"/>
      <c r="AE70" s="1369"/>
      <c r="AF70" s="1369"/>
      <c r="AG70" s="1369"/>
      <c r="AH70" s="1369"/>
      <c r="AI70" s="1369"/>
      <c r="AJ70" s="1369"/>
      <c r="AK70" s="1369"/>
    </row>
    <row r="71" spans="1:37" s="1368" customFormat="1" ht="14.25">
      <c r="A71" s="2864" t="s">
        <v>2941</v>
      </c>
      <c r="B71" s="2868" t="str">
        <f>估价对象房地状况!C18</f>
        <v>较好</v>
      </c>
      <c r="C71" s="2764" t="s">
        <v>3173</v>
      </c>
      <c r="D71" s="1284">
        <f t="shared" si="20"/>
        <v>1.47E-2</v>
      </c>
      <c r="E71" s="824"/>
      <c r="F71" s="2497"/>
      <c r="G71" s="1282">
        <f t="shared" ref="G71:G77" si="25">H71</f>
        <v>1.47E-2</v>
      </c>
      <c r="H71" s="1286">
        <f t="shared" si="21"/>
        <v>1.47E-2</v>
      </c>
      <c r="I71" s="818">
        <v>0.3</v>
      </c>
      <c r="J71" s="1283">
        <f t="shared" si="22"/>
        <v>2.9399999999999999E-2</v>
      </c>
      <c r="K71" s="1283">
        <f t="shared" si="23"/>
        <v>1.47E-2</v>
      </c>
      <c r="L71" s="1283">
        <v>0</v>
      </c>
      <c r="M71" s="1283">
        <f t="shared" si="24"/>
        <v>-1.47E-2</v>
      </c>
      <c r="N71" s="1283">
        <f t="shared" si="24"/>
        <v>-2.9399999999999999E-2</v>
      </c>
      <c r="AA71" s="1369"/>
      <c r="AB71" s="1369"/>
      <c r="AC71" s="1369"/>
      <c r="AD71" s="1369"/>
      <c r="AE71" s="1369"/>
      <c r="AF71" s="1369"/>
      <c r="AG71" s="1369"/>
      <c r="AH71" s="1369"/>
      <c r="AI71" s="1369"/>
      <c r="AJ71" s="1369"/>
      <c r="AK71" s="1369"/>
    </row>
    <row r="72" spans="1:37" s="1368" customFormat="1" ht="24">
      <c r="A72" s="2864" t="s">
        <v>2942</v>
      </c>
      <c r="B72" s="2868">
        <f>估价对象房地状况!C19</f>
        <v>0</v>
      </c>
      <c r="C72" s="2764" t="s">
        <v>3173</v>
      </c>
      <c r="D72" s="1284">
        <f t="shared" si="20"/>
        <v>3.8999999999999998E-3</v>
      </c>
      <c r="E72" s="824"/>
      <c r="F72" s="2497"/>
      <c r="G72" s="1282">
        <f t="shared" si="25"/>
        <v>3.8999999999999998E-3</v>
      </c>
      <c r="H72" s="1286">
        <f t="shared" si="21"/>
        <v>3.8999999999999998E-3</v>
      </c>
      <c r="I72" s="818">
        <v>0.08</v>
      </c>
      <c r="J72" s="1283">
        <f t="shared" si="22"/>
        <v>7.7999999999999996E-3</v>
      </c>
      <c r="K72" s="1283">
        <f t="shared" si="23"/>
        <v>3.8999999999999998E-3</v>
      </c>
      <c r="L72" s="1283">
        <v>0</v>
      </c>
      <c r="M72" s="1283">
        <f t="shared" si="24"/>
        <v>-3.8999999999999998E-3</v>
      </c>
      <c r="N72" s="1283">
        <f t="shared" si="24"/>
        <v>-7.7999999999999996E-3</v>
      </c>
      <c r="AA72" s="1369"/>
      <c r="AB72" s="1369"/>
      <c r="AC72" s="1369"/>
      <c r="AD72" s="1369"/>
      <c r="AE72" s="1369"/>
      <c r="AF72" s="1369"/>
      <c r="AG72" s="1369"/>
      <c r="AH72" s="1369"/>
      <c r="AI72" s="1369"/>
      <c r="AJ72" s="1369"/>
      <c r="AK72" s="1369"/>
    </row>
    <row r="73" spans="1:37" s="1368" customFormat="1" ht="14.25">
      <c r="A73" s="2864" t="s">
        <v>2956</v>
      </c>
      <c r="B73" s="2868" t="str">
        <f>估价对象房地状况!C24</f>
        <v>主干道-东三环中路</v>
      </c>
      <c r="C73" s="2764" t="s">
        <v>3173</v>
      </c>
      <c r="D73" s="1284">
        <f t="shared" si="20"/>
        <v>1.9E-3</v>
      </c>
      <c r="E73" s="824"/>
      <c r="F73" s="2497"/>
      <c r="G73" s="1282">
        <f t="shared" si="25"/>
        <v>1.9E-3</v>
      </c>
      <c r="H73" s="1286">
        <f t="shared" si="21"/>
        <v>1.9E-3</v>
      </c>
      <c r="I73" s="818">
        <v>0.04</v>
      </c>
      <c r="J73" s="1283">
        <f t="shared" si="22"/>
        <v>3.8E-3</v>
      </c>
      <c r="K73" s="1283">
        <f t="shared" si="23"/>
        <v>1.9E-3</v>
      </c>
      <c r="L73" s="1283">
        <v>0</v>
      </c>
      <c r="M73" s="1283">
        <f t="shared" si="24"/>
        <v>-1.9E-3</v>
      </c>
      <c r="N73" s="1283">
        <f t="shared" si="24"/>
        <v>-3.8E-3</v>
      </c>
      <c r="AA73" s="1369"/>
      <c r="AB73" s="1369"/>
      <c r="AC73" s="1369"/>
      <c r="AD73" s="1369"/>
      <c r="AE73" s="1369"/>
      <c r="AF73" s="1369"/>
      <c r="AG73" s="1369"/>
      <c r="AH73" s="1369"/>
      <c r="AI73" s="1369"/>
      <c r="AJ73" s="1369"/>
      <c r="AK73" s="1369"/>
    </row>
    <row r="74" spans="1:37" s="1368" customFormat="1" ht="24">
      <c r="A74" s="2864" t="s">
        <v>2948</v>
      </c>
      <c r="B74" s="1723" t="str">
        <f>估价对象房地状况!C21</f>
        <v>较好</v>
      </c>
      <c r="C74" s="2764" t="s">
        <v>3173</v>
      </c>
      <c r="D74" s="1284">
        <f t="shared" si="20"/>
        <v>3.8999999999999998E-3</v>
      </c>
      <c r="E74" s="824"/>
      <c r="F74" s="2497"/>
      <c r="G74" s="1282">
        <f t="shared" si="25"/>
        <v>3.8999999999999998E-3</v>
      </c>
      <c r="H74" s="1286">
        <f t="shared" si="21"/>
        <v>3.8999999999999998E-3</v>
      </c>
      <c r="I74" s="818">
        <v>0.08</v>
      </c>
      <c r="J74" s="1283">
        <f t="shared" si="22"/>
        <v>7.7999999999999996E-3</v>
      </c>
      <c r="K74" s="1283">
        <f t="shared" si="23"/>
        <v>3.8999999999999998E-3</v>
      </c>
      <c r="L74" s="1283">
        <v>0</v>
      </c>
      <c r="M74" s="1283">
        <f t="shared" si="24"/>
        <v>-3.8999999999999998E-3</v>
      </c>
      <c r="N74" s="1283">
        <f t="shared" si="24"/>
        <v>-7.7999999999999996E-3</v>
      </c>
      <c r="AA74" s="1369"/>
      <c r="AB74" s="1369"/>
      <c r="AC74" s="1369"/>
      <c r="AD74" s="1369"/>
      <c r="AE74" s="1369"/>
      <c r="AF74" s="1369"/>
      <c r="AG74" s="1369"/>
      <c r="AH74" s="1369"/>
      <c r="AI74" s="1369"/>
      <c r="AJ74" s="1369"/>
      <c r="AK74" s="1369"/>
    </row>
    <row r="75" spans="1:37" s="1368" customFormat="1" ht="24">
      <c r="A75" s="2864" t="s">
        <v>2949</v>
      </c>
      <c r="B75" s="1723" t="str">
        <f>估价对象房地状况!C22</f>
        <v>七通</v>
      </c>
      <c r="C75" s="2764" t="s">
        <v>3356</v>
      </c>
      <c r="D75" s="1284">
        <f t="shared" si="20"/>
        <v>1.1599999999999999E-2</v>
      </c>
      <c r="E75" s="824"/>
      <c r="F75" s="2497"/>
      <c r="G75" s="1282">
        <f t="shared" si="25"/>
        <v>5.7999999999999996E-3</v>
      </c>
      <c r="H75" s="1286">
        <f t="shared" si="21"/>
        <v>5.7999999999999996E-3</v>
      </c>
      <c r="I75" s="818">
        <v>0.12</v>
      </c>
      <c r="J75" s="1283">
        <f t="shared" si="22"/>
        <v>1.1599999999999999E-2</v>
      </c>
      <c r="K75" s="1283">
        <f t="shared" si="23"/>
        <v>5.7999999999999996E-3</v>
      </c>
      <c r="L75" s="1283">
        <v>0</v>
      </c>
      <c r="M75" s="1283">
        <f t="shared" si="24"/>
        <v>-5.7999999999999996E-3</v>
      </c>
      <c r="N75" s="1283">
        <f t="shared" si="24"/>
        <v>-1.1599999999999999E-2</v>
      </c>
      <c r="AA75" s="1369"/>
      <c r="AB75" s="1369"/>
      <c r="AC75" s="1369"/>
      <c r="AD75" s="1369"/>
      <c r="AE75" s="1369"/>
      <c r="AF75" s="1369"/>
      <c r="AG75" s="1369"/>
      <c r="AH75" s="1369"/>
      <c r="AI75" s="1369"/>
      <c r="AJ75" s="1369"/>
      <c r="AK75" s="1369"/>
    </row>
    <row r="76" spans="1:37" s="2713" customFormat="1" ht="24">
      <c r="A76" s="2864" t="s">
        <v>2946</v>
      </c>
      <c r="B76" s="2870" t="s">
        <v>2947</v>
      </c>
      <c r="C76" s="2764" t="s">
        <v>3173</v>
      </c>
      <c r="D76" s="1284">
        <f t="shared" si="20"/>
        <v>2.3999999999999998E-3</v>
      </c>
      <c r="E76" s="824"/>
      <c r="F76" s="2497"/>
      <c r="G76" s="1282">
        <f t="shared" si="25"/>
        <v>2.3999999999999998E-3</v>
      </c>
      <c r="H76" s="1286">
        <f t="shared" si="21"/>
        <v>2.3999999999999998E-3</v>
      </c>
      <c r="I76" s="818">
        <v>0.05</v>
      </c>
      <c r="J76" s="1283">
        <f t="shared" si="22"/>
        <v>4.7999999999999996E-3</v>
      </c>
      <c r="K76" s="1283">
        <f t="shared" si="23"/>
        <v>2.3999999999999998E-3</v>
      </c>
      <c r="L76" s="1283">
        <v>0</v>
      </c>
      <c r="M76" s="1283">
        <f t="shared" si="24"/>
        <v>-2.3999999999999998E-3</v>
      </c>
      <c r="N76" s="1283">
        <f t="shared" si="24"/>
        <v>-4.7999999999999996E-3</v>
      </c>
      <c r="AA76" s="2875"/>
      <c r="AB76" s="1369"/>
      <c r="AC76" s="1369"/>
      <c r="AD76" s="1369"/>
      <c r="AE76" s="1369"/>
      <c r="AF76" s="1369"/>
      <c r="AG76" s="1369"/>
      <c r="AH76" s="2875"/>
      <c r="AI76" s="2875"/>
      <c r="AJ76" s="2875"/>
      <c r="AK76" s="2875"/>
    </row>
    <row r="77" spans="1:37" ht="24">
      <c r="A77" s="2864" t="s">
        <v>2950</v>
      </c>
      <c r="B77" s="2867" t="str">
        <f>估价对象房地状况!C20</f>
        <v>较好</v>
      </c>
      <c r="C77" s="2764" t="s">
        <v>3173</v>
      </c>
      <c r="D77" s="1284">
        <f t="shared" si="20"/>
        <v>7.3000000000000001E-3</v>
      </c>
      <c r="E77" s="824"/>
      <c r="F77" s="2497"/>
      <c r="G77" s="1282">
        <f t="shared" si="25"/>
        <v>7.3000000000000001E-3</v>
      </c>
      <c r="H77" s="1286">
        <f t="shared" si="21"/>
        <v>7.3000000000000001E-3</v>
      </c>
      <c r="I77" s="818">
        <v>0.15</v>
      </c>
      <c r="J77" s="1283">
        <f t="shared" si="22"/>
        <v>1.46E-2</v>
      </c>
      <c r="K77" s="1283">
        <f t="shared" si="23"/>
        <v>7.3000000000000001E-3</v>
      </c>
      <c r="L77" s="1283">
        <v>0</v>
      </c>
      <c r="M77" s="1283">
        <f t="shared" si="24"/>
        <v>-7.3000000000000001E-3</v>
      </c>
      <c r="N77" s="1283">
        <f t="shared" si="24"/>
        <v>-1.46E-2</v>
      </c>
      <c r="Z77" s="2714"/>
      <c r="AA77" s="2782"/>
      <c r="AG77" s="1370"/>
      <c r="AK77" s="2782"/>
    </row>
    <row r="78" spans="1:37" ht="24.75" thickBot="1">
      <c r="A78" s="2872" t="s">
        <v>2957</v>
      </c>
      <c r="B78" s="2876"/>
      <c r="C78" s="2764" t="s">
        <v>3173</v>
      </c>
      <c r="D78" s="1284">
        <f t="shared" si="20"/>
        <v>1.9E-3</v>
      </c>
      <c r="E78" s="825"/>
      <c r="F78" s="2497"/>
      <c r="G78" s="1282">
        <f>H78</f>
        <v>1.9E-3</v>
      </c>
      <c r="H78" s="1286">
        <f t="shared" si="21"/>
        <v>1.9E-3</v>
      </c>
      <c r="I78" s="822">
        <v>0.04</v>
      </c>
      <c r="J78" s="1283">
        <f t="shared" si="22"/>
        <v>3.8E-3</v>
      </c>
      <c r="K78" s="1283">
        <f t="shared" si="23"/>
        <v>1.9E-3</v>
      </c>
      <c r="L78" s="1283">
        <v>0</v>
      </c>
      <c r="M78" s="1283">
        <f t="shared" si="24"/>
        <v>-1.9E-3</v>
      </c>
      <c r="N78" s="1283">
        <f t="shared" si="24"/>
        <v>-3.8E-3</v>
      </c>
      <c r="Z78" s="2714"/>
      <c r="AA78" s="2782"/>
      <c r="AG78" s="1370"/>
      <c r="AK78" s="2782"/>
    </row>
    <row r="79" spans="1:37" ht="15">
      <c r="A79" s="2860" t="s">
        <v>2958</v>
      </c>
      <c r="B79" s="2861">
        <f>1+E81</f>
        <v>1</v>
      </c>
      <c r="C79" s="812"/>
      <c r="D79" s="812"/>
      <c r="E79" s="813"/>
      <c r="F79" s="2863"/>
      <c r="G79" s="6"/>
      <c r="H79" s="6"/>
      <c r="I79" s="6"/>
      <c r="J79" s="7"/>
      <c r="K79" s="7"/>
      <c r="L79" s="7"/>
      <c r="M79" s="7"/>
      <c r="N79" s="7"/>
      <c r="Z79" s="2714"/>
      <c r="AA79" s="2782"/>
      <c r="AG79" s="1370"/>
      <c r="AK79" s="2782"/>
    </row>
    <row r="80" spans="1:37" ht="24.75">
      <c r="A80" s="2864" t="s">
        <v>2932</v>
      </c>
      <c r="B80" s="1807"/>
      <c r="C80" s="1807" t="s">
        <v>2934</v>
      </c>
      <c r="D80" s="1807" t="s">
        <v>2935</v>
      </c>
      <c r="E80" s="817" t="s">
        <v>2936</v>
      </c>
      <c r="F80" s="2865" t="s">
        <v>2952</v>
      </c>
      <c r="G80" s="1807" t="s">
        <v>754</v>
      </c>
      <c r="H80" s="2866" t="s">
        <v>2938</v>
      </c>
      <c r="I80" s="1807" t="s">
        <v>2939</v>
      </c>
      <c r="J80" s="602" t="s">
        <v>2589</v>
      </c>
      <c r="K80" s="602" t="s">
        <v>2590</v>
      </c>
      <c r="L80" s="602" t="s">
        <v>2591</v>
      </c>
      <c r="M80" s="602" t="s">
        <v>2592</v>
      </c>
      <c r="N80" s="602" t="s">
        <v>2593</v>
      </c>
      <c r="Z80" s="2714"/>
      <c r="AA80" s="2782"/>
      <c r="AG80" s="1370"/>
      <c r="AK80" s="2782"/>
    </row>
    <row r="81" spans="1:37" ht="38.25">
      <c r="A81" s="2864" t="s">
        <v>2959</v>
      </c>
      <c r="B81" s="2868" t="str">
        <f>估价对象房地状况!G15</f>
        <v>估价对象位于XX开发区，园区建设成熟度XX，产业集聚程度XX</v>
      </c>
      <c r="C81" s="2764"/>
      <c r="D81" s="1284">
        <f t="shared" ref="D81:D88" si="26">SUMIF($J$80:$N$80,C81,J81:N81)</f>
        <v>0</v>
      </c>
      <c r="E81" s="819">
        <f>ROUND(SUM(D81:D88),4)</f>
        <v>0</v>
      </c>
      <c r="F81" s="2497" t="str">
        <f>IF(E2="工业",SUMIF(L1:L12,G2,N1:N12),"——")</f>
        <v>——</v>
      </c>
      <c r="G81" s="1282"/>
      <c r="H81" s="1286" t="str">
        <f t="shared" ref="H81:H88" si="27">IFERROR(ROUNDDOWN($F$81*I81/2,4),"——")</f>
        <v>——</v>
      </c>
      <c r="I81" s="818">
        <v>0.26</v>
      </c>
      <c r="J81" s="1283">
        <f t="shared" ref="J81:J88" si="28">K81+$G81</f>
        <v>0</v>
      </c>
      <c r="K81" s="1283">
        <f t="shared" ref="K81:K88" si="29">$L81+$G81</f>
        <v>0</v>
      </c>
      <c r="L81" s="1283">
        <v>0</v>
      </c>
      <c r="M81" s="1283">
        <f t="shared" ref="M81:N88" si="30">L81-$G81</f>
        <v>0</v>
      </c>
      <c r="N81" s="1283">
        <f t="shared" si="30"/>
        <v>0</v>
      </c>
      <c r="Z81" s="2714"/>
      <c r="AA81" s="2782"/>
      <c r="AG81" s="1370"/>
      <c r="AK81" s="2782"/>
    </row>
    <row r="82" spans="1:37" ht="51">
      <c r="A82" s="2864" t="s">
        <v>2941</v>
      </c>
      <c r="B82" s="2868" t="str">
        <f>估价对象房地状况!G16</f>
        <v>估价对象周边道路状况、公共交通通达情况、停车便捷程度，综合评价交通便捷度较好</v>
      </c>
      <c r="C82" s="2764"/>
      <c r="D82" s="1284">
        <f t="shared" si="26"/>
        <v>0</v>
      </c>
      <c r="E82" s="824"/>
      <c r="F82" s="2497"/>
      <c r="G82" s="1282"/>
      <c r="H82" s="1286" t="str">
        <f t="shared" si="27"/>
        <v>——</v>
      </c>
      <c r="I82" s="818">
        <v>0.33</v>
      </c>
      <c r="J82" s="1283">
        <f t="shared" si="28"/>
        <v>0</v>
      </c>
      <c r="K82" s="1283">
        <f t="shared" si="29"/>
        <v>0</v>
      </c>
      <c r="L82" s="1283">
        <v>0</v>
      </c>
      <c r="M82" s="1283">
        <f t="shared" si="30"/>
        <v>0</v>
      </c>
      <c r="N82" s="1283">
        <f t="shared" si="30"/>
        <v>0</v>
      </c>
      <c r="Z82" s="2714"/>
      <c r="AA82" s="2782"/>
      <c r="AG82" s="1370"/>
      <c r="AK82" s="2782"/>
    </row>
    <row r="83" spans="1:37" ht="24">
      <c r="A83" s="2864" t="s">
        <v>2942</v>
      </c>
      <c r="B83" s="2868">
        <f>估价对象房地状况!G17</f>
        <v>0</v>
      </c>
      <c r="C83" s="2764"/>
      <c r="D83" s="1284">
        <f t="shared" si="26"/>
        <v>0</v>
      </c>
      <c r="E83" s="824"/>
      <c r="F83" s="2497"/>
      <c r="G83" s="1282"/>
      <c r="H83" s="1286" t="str">
        <f t="shared" si="27"/>
        <v>——</v>
      </c>
      <c r="I83" s="818">
        <v>0.05</v>
      </c>
      <c r="J83" s="1283">
        <f t="shared" si="28"/>
        <v>0</v>
      </c>
      <c r="K83" s="1283">
        <f t="shared" si="29"/>
        <v>0</v>
      </c>
      <c r="L83" s="1283">
        <v>0</v>
      </c>
      <c r="M83" s="1283">
        <f t="shared" si="30"/>
        <v>0</v>
      </c>
      <c r="N83" s="1283">
        <f t="shared" si="30"/>
        <v>0</v>
      </c>
      <c r="Z83" s="2714"/>
      <c r="AA83" s="2782"/>
      <c r="AG83" s="1370"/>
      <c r="AK83" s="2782"/>
    </row>
    <row r="84" spans="1:37" ht="14.25">
      <c r="A84" s="2864" t="s">
        <v>2956</v>
      </c>
      <c r="B84" s="2868">
        <f>估价对象房地状况!G22</f>
        <v>0</v>
      </c>
      <c r="C84" s="2764"/>
      <c r="D84" s="1284">
        <f t="shared" si="26"/>
        <v>0</v>
      </c>
      <c r="E84" s="824"/>
      <c r="F84" s="2497"/>
      <c r="G84" s="1282"/>
      <c r="H84" s="1286" t="str">
        <f t="shared" si="27"/>
        <v>——</v>
      </c>
      <c r="I84" s="818">
        <v>0.04</v>
      </c>
      <c r="J84" s="1283">
        <f t="shared" si="28"/>
        <v>0</v>
      </c>
      <c r="K84" s="1283">
        <f t="shared" si="29"/>
        <v>0</v>
      </c>
      <c r="L84" s="1283">
        <v>0</v>
      </c>
      <c r="M84" s="1283">
        <f t="shared" si="30"/>
        <v>0</v>
      </c>
      <c r="N84" s="1283">
        <f t="shared" si="30"/>
        <v>0</v>
      </c>
      <c r="Z84" s="2714"/>
      <c r="AA84" s="2782"/>
      <c r="AG84" s="1370"/>
      <c r="AK84" s="2782"/>
    </row>
    <row r="85" spans="1:37" ht="25.5">
      <c r="A85" s="2864" t="s">
        <v>2948</v>
      </c>
      <c r="B85" s="1723" t="str">
        <f>估价对象房地状况!G19</f>
        <v>估价对象所在区域公共配套设施齐备情况</v>
      </c>
      <c r="C85" s="2764"/>
      <c r="D85" s="1284">
        <f t="shared" si="26"/>
        <v>0</v>
      </c>
      <c r="E85" s="824"/>
      <c r="F85" s="2497"/>
      <c r="G85" s="1282"/>
      <c r="H85" s="1286" t="str">
        <f t="shared" si="27"/>
        <v>——</v>
      </c>
      <c r="I85" s="818">
        <v>0.06</v>
      </c>
      <c r="J85" s="1283">
        <f t="shared" si="28"/>
        <v>0</v>
      </c>
      <c r="K85" s="1283">
        <f t="shared" si="29"/>
        <v>0</v>
      </c>
      <c r="L85" s="1283">
        <v>0</v>
      </c>
      <c r="M85" s="1283">
        <f t="shared" si="30"/>
        <v>0</v>
      </c>
      <c r="N85" s="1283">
        <f t="shared" si="30"/>
        <v>0</v>
      </c>
      <c r="Z85" s="2714"/>
      <c r="AA85" s="2782"/>
      <c r="AG85" s="1370"/>
      <c r="AK85" s="2782"/>
    </row>
    <row r="86" spans="1:37" ht="25.5">
      <c r="A86" s="2864" t="s">
        <v>2949</v>
      </c>
      <c r="B86" s="1723" t="str">
        <f>估价对象房地状况!G20</f>
        <v>估价对象所在区域基础设施水平</v>
      </c>
      <c r="C86" s="2764"/>
      <c r="D86" s="1284">
        <f t="shared" si="26"/>
        <v>0</v>
      </c>
      <c r="E86" s="824"/>
      <c r="F86" s="2497"/>
      <c r="G86" s="1282"/>
      <c r="H86" s="1286" t="str">
        <f t="shared" si="27"/>
        <v>——</v>
      </c>
      <c r="I86" s="818">
        <v>0.15</v>
      </c>
      <c r="J86" s="1283">
        <f t="shared" si="28"/>
        <v>0</v>
      </c>
      <c r="K86" s="1283">
        <f t="shared" si="29"/>
        <v>0</v>
      </c>
      <c r="L86" s="1283">
        <v>0</v>
      </c>
      <c r="M86" s="1283">
        <f t="shared" si="30"/>
        <v>0</v>
      </c>
      <c r="N86" s="1283">
        <f t="shared" si="30"/>
        <v>0</v>
      </c>
      <c r="Z86" s="2714"/>
      <c r="AA86" s="2782"/>
      <c r="AG86" s="1370"/>
      <c r="AK86" s="2782"/>
    </row>
    <row r="87" spans="1:37" ht="24">
      <c r="A87" s="2864" t="s">
        <v>2946</v>
      </c>
      <c r="B87" s="2870" t="s">
        <v>2960</v>
      </c>
      <c r="C87" s="2764"/>
      <c r="D87" s="1284">
        <f t="shared" si="26"/>
        <v>0</v>
      </c>
      <c r="E87" s="824"/>
      <c r="F87" s="2497"/>
      <c r="G87" s="1282"/>
      <c r="H87" s="1286" t="str">
        <f t="shared" si="27"/>
        <v>——</v>
      </c>
      <c r="I87" s="818">
        <v>0.05</v>
      </c>
      <c r="J87" s="1283">
        <f t="shared" si="28"/>
        <v>0</v>
      </c>
      <c r="K87" s="1283">
        <f t="shared" si="29"/>
        <v>0</v>
      </c>
      <c r="L87" s="1283">
        <v>0</v>
      </c>
      <c r="M87" s="1283">
        <f t="shared" si="30"/>
        <v>0</v>
      </c>
      <c r="N87" s="1283">
        <f t="shared" si="30"/>
        <v>0</v>
      </c>
      <c r="Z87" s="2714"/>
      <c r="AA87" s="2782"/>
      <c r="AG87" s="1370"/>
      <c r="AK87" s="2782"/>
    </row>
    <row r="88" spans="1:37" ht="39" thickBot="1">
      <c r="A88" s="2872" t="s">
        <v>2961</v>
      </c>
      <c r="B88" s="2877" t="str">
        <f>估价对象房地状况!G18</f>
        <v>该园区内是否有污染型企业，绿化情况，卫生条件，整体环境状况判断</v>
      </c>
      <c r="C88" s="2764"/>
      <c r="D88" s="1284">
        <f t="shared" si="26"/>
        <v>0</v>
      </c>
      <c r="E88" s="825"/>
      <c r="F88" s="2497"/>
      <c r="G88" s="1282"/>
      <c r="H88" s="1286" t="str">
        <f t="shared" si="27"/>
        <v>——</v>
      </c>
      <c r="I88" s="822">
        <v>0.06</v>
      </c>
      <c r="J88" s="1283">
        <f t="shared" si="28"/>
        <v>0</v>
      </c>
      <c r="K88" s="1283">
        <f t="shared" si="29"/>
        <v>0</v>
      </c>
      <c r="L88" s="1283">
        <v>0</v>
      </c>
      <c r="M88" s="1283">
        <f t="shared" si="30"/>
        <v>0</v>
      </c>
      <c r="N88" s="1283">
        <f t="shared" si="30"/>
        <v>0</v>
      </c>
      <c r="Z88" s="2714"/>
      <c r="AA88" s="2782"/>
      <c r="AG88" s="1370"/>
      <c r="AK88" s="2782"/>
    </row>
    <row r="90" spans="1:37">
      <c r="A90" s="3224" t="s">
        <v>2962</v>
      </c>
      <c r="B90" s="3224"/>
      <c r="C90" s="3224"/>
      <c r="D90" s="3224"/>
      <c r="E90" s="3224"/>
      <c r="F90" s="3224"/>
      <c r="G90" s="3224"/>
      <c r="H90" s="3224"/>
      <c r="I90" s="3224"/>
      <c r="J90" s="3224"/>
      <c r="K90" s="2878"/>
      <c r="L90" s="2878"/>
      <c r="M90" s="2878"/>
      <c r="N90" s="2878"/>
    </row>
    <row r="91" spans="1:37">
      <c r="A91" s="3226" t="s">
        <v>2963</v>
      </c>
      <c r="B91" s="3226" t="s">
        <v>2964</v>
      </c>
      <c r="C91" s="2832" t="s">
        <v>2965</v>
      </c>
      <c r="D91" s="2833"/>
      <c r="E91" s="2833"/>
      <c r="F91" s="2833"/>
      <c r="G91" s="2833"/>
      <c r="H91" s="2833"/>
      <c r="I91" s="2833"/>
      <c r="J91" s="2879"/>
      <c r="K91" s="2880"/>
      <c r="L91" s="2880"/>
      <c r="M91" s="2880"/>
      <c r="N91" s="2880"/>
    </row>
    <row r="92" spans="1:37">
      <c r="A92" s="3226"/>
      <c r="B92" s="3226"/>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227" t="s">
        <v>2966</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28"/>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28"/>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28"/>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28"/>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28"/>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28"/>
      <c r="B99" s="2881" t="s">
        <v>2848</v>
      </c>
      <c r="C99" s="2883">
        <f>$I$3</f>
        <v>0</v>
      </c>
      <c r="D99" s="2883">
        <f t="shared" ref="D99:M99" si="31">$I$3</f>
        <v>0</v>
      </c>
      <c r="E99" s="2883">
        <f t="shared" si="31"/>
        <v>0</v>
      </c>
      <c r="F99" s="2883">
        <f t="shared" si="31"/>
        <v>0</v>
      </c>
      <c r="G99" s="2883">
        <f t="shared" si="31"/>
        <v>0</v>
      </c>
      <c r="H99" s="2883">
        <f t="shared" si="31"/>
        <v>0</v>
      </c>
      <c r="I99" s="2883">
        <f t="shared" si="31"/>
        <v>0</v>
      </c>
      <c r="J99" s="2883">
        <f t="shared" si="31"/>
        <v>0</v>
      </c>
      <c r="K99" s="2883">
        <f t="shared" si="31"/>
        <v>0</v>
      </c>
      <c r="L99" s="2883">
        <f t="shared" si="31"/>
        <v>0</v>
      </c>
      <c r="M99" s="2883">
        <f t="shared" si="31"/>
        <v>0</v>
      </c>
      <c r="N99" s="2883">
        <f>$I$3</f>
        <v>0</v>
      </c>
    </row>
    <row r="100" spans="1:14">
      <c r="A100" s="3229"/>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27" t="s">
        <v>2967</v>
      </c>
      <c r="B101" s="2885" t="s">
        <v>2968</v>
      </c>
      <c r="C101" s="2886">
        <f>$G$3</f>
        <v>2.2000000000000002</v>
      </c>
      <c r="D101" s="2886">
        <f t="shared" ref="D101:N101" si="32">$G$3</f>
        <v>2.2000000000000002</v>
      </c>
      <c r="E101" s="2886">
        <f t="shared" si="32"/>
        <v>2.2000000000000002</v>
      </c>
      <c r="F101" s="2886">
        <f t="shared" si="32"/>
        <v>2.2000000000000002</v>
      </c>
      <c r="G101" s="2886">
        <f t="shared" si="32"/>
        <v>2.2000000000000002</v>
      </c>
      <c r="H101" s="2886">
        <f t="shared" si="32"/>
        <v>2.2000000000000002</v>
      </c>
      <c r="I101" s="2886">
        <f t="shared" si="32"/>
        <v>2.2000000000000002</v>
      </c>
      <c r="J101" s="2886">
        <f t="shared" si="32"/>
        <v>2.2000000000000002</v>
      </c>
      <c r="K101" s="2886">
        <f t="shared" si="32"/>
        <v>2.2000000000000002</v>
      </c>
      <c r="L101" s="2886">
        <f t="shared" si="32"/>
        <v>2.2000000000000002</v>
      </c>
      <c r="M101" s="2886">
        <f t="shared" si="32"/>
        <v>2.2000000000000002</v>
      </c>
      <c r="N101" s="2886">
        <f t="shared" si="32"/>
        <v>2.2000000000000002</v>
      </c>
    </row>
    <row r="102" spans="1:14">
      <c r="A102" s="3228"/>
      <c r="B102" s="2881">
        <v>1</v>
      </c>
      <c r="C102" s="2882">
        <f>1.9362/C101</f>
        <v>0.88009090909090903</v>
      </c>
      <c r="D102" s="2882">
        <f>1.9362/D101</f>
        <v>0.88009090909090903</v>
      </c>
      <c r="E102" s="2882">
        <f>1.8629/E101</f>
        <v>0.84677272727272723</v>
      </c>
      <c r="F102" s="2882">
        <f>1.8629/F101</f>
        <v>0.84677272727272723</v>
      </c>
      <c r="G102" s="2882">
        <f>1.8629/G101</f>
        <v>0.84677272727272723</v>
      </c>
      <c r="H102" s="2882">
        <f>1.8629/H101</f>
        <v>0.84677272727272723</v>
      </c>
      <c r="I102" s="2882">
        <f>1.8629/I101</f>
        <v>0.84677272727272723</v>
      </c>
      <c r="J102" s="2882">
        <f>1.942/J101</f>
        <v>0.88272727272727258</v>
      </c>
      <c r="K102" s="2882">
        <f>1.942/K101</f>
        <v>0.88272727272727258</v>
      </c>
      <c r="L102" s="2882">
        <f>1.942/L101</f>
        <v>0.88272727272727258</v>
      </c>
      <c r="M102" s="2882">
        <f>1.942/M101</f>
        <v>0.88272727272727258</v>
      </c>
      <c r="N102" s="2882">
        <f>1.942/N101</f>
        <v>0.88272727272727258</v>
      </c>
    </row>
    <row r="103" spans="1:14">
      <c r="A103" s="3228"/>
      <c r="B103" s="2881">
        <v>2</v>
      </c>
      <c r="C103" s="2882">
        <f>1.4198/C101</f>
        <v>0.64536363636363625</v>
      </c>
      <c r="D103" s="2882">
        <f>1.4198/D101</f>
        <v>0.64536363636363625</v>
      </c>
      <c r="E103" s="2882">
        <f>1.3372/E101</f>
        <v>0.6078181818181817</v>
      </c>
      <c r="F103" s="2882">
        <f>1.3372/F101</f>
        <v>0.6078181818181817</v>
      </c>
      <c r="G103" s="2882">
        <f>1.3372/G101</f>
        <v>0.6078181818181817</v>
      </c>
      <c r="H103" s="2882">
        <f>1.3372/H101</f>
        <v>0.6078181818181817</v>
      </c>
      <c r="I103" s="2882">
        <f>1.3372/I101</f>
        <v>0.6078181818181817</v>
      </c>
      <c r="J103" s="2882">
        <f>1.2799/J101</f>
        <v>0.58177272727272722</v>
      </c>
      <c r="K103" s="2882">
        <f>1.2799/K101</f>
        <v>0.58177272727272722</v>
      </c>
      <c r="L103" s="2882">
        <f>1.2799/L101</f>
        <v>0.58177272727272722</v>
      </c>
      <c r="M103" s="2882">
        <f>1.2799/M101</f>
        <v>0.58177272727272722</v>
      </c>
      <c r="N103" s="2882">
        <f>1.2799/N101</f>
        <v>0.58177272727272722</v>
      </c>
    </row>
    <row r="104" spans="1:14">
      <c r="A104" s="3228"/>
      <c r="B104" s="2881">
        <v>3</v>
      </c>
      <c r="C104" s="2882">
        <f>1.1594/C101</f>
        <v>0.52699999999999991</v>
      </c>
      <c r="D104" s="2882">
        <f>1.1594/D101</f>
        <v>0.52699999999999991</v>
      </c>
      <c r="E104" s="2882">
        <f>1.0788/E101</f>
        <v>0.49036363636363633</v>
      </c>
      <c r="F104" s="2882">
        <f>1.0788/F101</f>
        <v>0.49036363636363633</v>
      </c>
      <c r="G104" s="2882">
        <f>1.0788/G101</f>
        <v>0.49036363636363633</v>
      </c>
      <c r="H104" s="2882">
        <f>1.0788/H101</f>
        <v>0.49036363636363633</v>
      </c>
      <c r="I104" s="2882">
        <f>1.0788/I101</f>
        <v>0.49036363636363633</v>
      </c>
      <c r="J104" s="2882">
        <f>1.0072/J101</f>
        <v>0.45781818181818185</v>
      </c>
      <c r="K104" s="2882">
        <f>1.0072/K101</f>
        <v>0.45781818181818185</v>
      </c>
      <c r="L104" s="2882">
        <f>1.0072/L101</f>
        <v>0.45781818181818185</v>
      </c>
      <c r="M104" s="2882">
        <f>1.0072/M101</f>
        <v>0.45781818181818185</v>
      </c>
      <c r="N104" s="2882">
        <f>1.0072/N101</f>
        <v>0.45781818181818185</v>
      </c>
    </row>
    <row r="105" spans="1:14">
      <c r="A105" s="3228"/>
      <c r="B105" s="2881">
        <v>4</v>
      </c>
      <c r="C105" s="2882">
        <f>0.9622/C101</f>
        <v>0.43736363636363634</v>
      </c>
      <c r="D105" s="2882">
        <f>0.9622/D101</f>
        <v>0.43736363636363634</v>
      </c>
      <c r="E105" s="2882">
        <f>0.8656/E101</f>
        <v>0.39345454545454545</v>
      </c>
      <c r="F105" s="2882">
        <f>0.8656/F101</f>
        <v>0.39345454545454545</v>
      </c>
      <c r="G105" s="2882">
        <f>0.8656/G101</f>
        <v>0.39345454545454545</v>
      </c>
      <c r="H105" s="2882">
        <f>0.8656/H101</f>
        <v>0.39345454545454545</v>
      </c>
      <c r="I105" s="2882">
        <f>0.8656/I101</f>
        <v>0.39345454545454545</v>
      </c>
      <c r="J105" s="2882">
        <f>0.7525/J101</f>
        <v>0.34204545454545449</v>
      </c>
      <c r="K105" s="2882">
        <f>0.7525/K101</f>
        <v>0.34204545454545449</v>
      </c>
      <c r="L105" s="2882">
        <f>0.7525/L101</f>
        <v>0.34204545454545449</v>
      </c>
      <c r="M105" s="2882">
        <f>0.7525/M101</f>
        <v>0.34204545454545449</v>
      </c>
      <c r="N105" s="2882">
        <f>0.7525/N101</f>
        <v>0.34204545454545449</v>
      </c>
    </row>
    <row r="106" spans="1:14">
      <c r="A106" s="3228"/>
      <c r="B106" s="2881">
        <v>5</v>
      </c>
      <c r="C106" s="2882">
        <f>0.8417/C101</f>
        <v>0.38259090909090904</v>
      </c>
      <c r="D106" s="2882">
        <f>0.8417/D101</f>
        <v>0.38259090909090904</v>
      </c>
      <c r="E106" s="2882">
        <f>0.7371/E101</f>
        <v>0.33504545454545454</v>
      </c>
      <c r="F106" s="2882">
        <f>0.7371/F101</f>
        <v>0.33504545454545454</v>
      </c>
      <c r="G106" s="2882">
        <f>0.7371/G101</f>
        <v>0.33504545454545454</v>
      </c>
      <c r="H106" s="2882">
        <f>0.7371/H101</f>
        <v>0.33504545454545454</v>
      </c>
      <c r="I106" s="2882">
        <f>0.7371/I101</f>
        <v>0.33504545454545454</v>
      </c>
      <c r="J106" s="2882">
        <f>0.5659/J101</f>
        <v>0.25722727272727269</v>
      </c>
      <c r="K106" s="2882">
        <f>0.5659/K101</f>
        <v>0.25722727272727269</v>
      </c>
      <c r="L106" s="2882">
        <f>0.5659/L101</f>
        <v>0.25722727272727269</v>
      </c>
      <c r="M106" s="2882">
        <f>0.5659/M101</f>
        <v>0.25722727272727269</v>
      </c>
      <c r="N106" s="2882">
        <f>0.5659/N101</f>
        <v>0.25722727272727269</v>
      </c>
    </row>
    <row r="107" spans="1:14">
      <c r="A107" s="3228"/>
      <c r="B107" s="2881">
        <v>6</v>
      </c>
      <c r="C107" s="2882">
        <f>0.7608/C101</f>
        <v>0.3458181818181818</v>
      </c>
      <c r="D107" s="2882">
        <f>0.7608/D101</f>
        <v>0.3458181818181818</v>
      </c>
      <c r="E107" s="2882">
        <f>0.6482/E101</f>
        <v>0.29463636363636359</v>
      </c>
      <c r="F107" s="2882">
        <f>0.6482/F101</f>
        <v>0.29463636363636359</v>
      </c>
      <c r="G107" s="2882">
        <f>0.6482/G101</f>
        <v>0.29463636363636359</v>
      </c>
      <c r="H107" s="2882">
        <f>0.6482/H101</f>
        <v>0.29463636363636359</v>
      </c>
      <c r="I107" s="2882">
        <f>0.6482/I101</f>
        <v>0.29463636363636359</v>
      </c>
      <c r="J107" s="2882">
        <f>0.4525/J101</f>
        <v>0.20568181818181816</v>
      </c>
      <c r="K107" s="2882">
        <f>0.4525/K101</f>
        <v>0.20568181818181816</v>
      </c>
      <c r="L107" s="2882">
        <f>0.4525/L101</f>
        <v>0.20568181818181816</v>
      </c>
      <c r="M107" s="2882">
        <f>0.4525/M101</f>
        <v>0.20568181818181816</v>
      </c>
      <c r="N107" s="2882">
        <f>0.4525/N101</f>
        <v>0.20568181818181816</v>
      </c>
    </row>
    <row r="108" spans="1:14">
      <c r="A108" s="3228"/>
      <c r="B108" s="3153" t="s">
        <v>2969</v>
      </c>
      <c r="C108" s="2883">
        <f>C99</f>
        <v>0</v>
      </c>
      <c r="D108" s="2883">
        <f t="shared" ref="D108:N108" si="33">D99</f>
        <v>0</v>
      </c>
      <c r="E108" s="2883">
        <f t="shared" si="33"/>
        <v>0</v>
      </c>
      <c r="F108" s="2883">
        <f t="shared" si="33"/>
        <v>0</v>
      </c>
      <c r="G108" s="2883">
        <f t="shared" si="33"/>
        <v>0</v>
      </c>
      <c r="H108" s="2883">
        <f t="shared" si="33"/>
        <v>0</v>
      </c>
      <c r="I108" s="2883">
        <f t="shared" si="33"/>
        <v>0</v>
      </c>
      <c r="J108" s="2883">
        <f t="shared" si="33"/>
        <v>0</v>
      </c>
      <c r="K108" s="2883">
        <f t="shared" si="33"/>
        <v>0</v>
      </c>
      <c r="L108" s="2883">
        <f t="shared" si="33"/>
        <v>0</v>
      </c>
      <c r="M108" s="2883">
        <f t="shared" si="33"/>
        <v>0</v>
      </c>
      <c r="N108" s="2883">
        <f t="shared" si="33"/>
        <v>0</v>
      </c>
    </row>
    <row r="109" spans="1:14">
      <c r="A109" s="3229"/>
      <c r="B109" s="3154"/>
      <c r="C109" s="2884">
        <f>(-0.163*(C108^2)-0.59*C108+7617)*(10^(-4))/C101</f>
        <v>0.34622727272727272</v>
      </c>
      <c r="D109" s="2884">
        <f>(-0.163*(D108^2)-0.59*D108+7617)*(10^(-4))/D101</f>
        <v>0.34622727272727272</v>
      </c>
      <c r="E109" s="2884">
        <f>(-0.161*(E108^2)-7.509*E108+6533)*(10^(-4))/E101</f>
        <v>0.29695454545454542</v>
      </c>
      <c r="F109" s="2884">
        <f>(-0.161*(F108^2)-7.509*F108+6533)*(10^(-4))/F101</f>
        <v>0.29695454545454542</v>
      </c>
      <c r="G109" s="2884">
        <f>(-0.161*(G108^2)-7.509*G108+6533)*(10^(-4))/G101</f>
        <v>0.29695454545454542</v>
      </c>
      <c r="H109" s="2884">
        <f>(-0.161*(H108^2)-7.509*H108+6533)*(10^(-4))/H101</f>
        <v>0.29695454545454542</v>
      </c>
      <c r="I109" s="2884">
        <f>(-0.161*(I108^2)-7.509*I108+6533)*(10^(-4))/I101</f>
        <v>0.29695454545454542</v>
      </c>
      <c r="J109" s="2884">
        <f>(-0.214*(J108^2)-21.991*J108+4665)*(10^(-4))/J101</f>
        <v>0.21204545454545454</v>
      </c>
      <c r="K109" s="2884">
        <f>(-0.214*(K108^2)-21.991*K108+4665)*(10^(-4))/K101</f>
        <v>0.21204545454545454</v>
      </c>
      <c r="L109" s="2884">
        <f>(-0.214*(L108^2)-21.991*L108+4665)*(10^(-4))/L101</f>
        <v>0.21204545454545454</v>
      </c>
      <c r="M109" s="2884">
        <f>(-0.214*(M108^2)-21.991*M108+4665)*(10^(-4))/M101</f>
        <v>0.21204545454545454</v>
      </c>
      <c r="N109" s="2884">
        <f>(-0.214*(N108^2)-21.991*N108+4665)*(10^(-4))/N101</f>
        <v>0.21204545454545454</v>
      </c>
    </row>
    <row r="110" spans="1:14">
      <c r="A110" s="3225" t="s">
        <v>2970</v>
      </c>
      <c r="B110" s="3225"/>
      <c r="C110" s="3225"/>
      <c r="D110" s="3225"/>
      <c r="E110" s="3225"/>
      <c r="F110" s="3225"/>
      <c r="G110" s="3225"/>
      <c r="H110" s="3225"/>
      <c r="I110" s="3225"/>
      <c r="J110" s="3225"/>
      <c r="K110" s="2887"/>
      <c r="L110" s="2887"/>
      <c r="M110" s="2887"/>
      <c r="N110" s="2887"/>
    </row>
    <row r="112" spans="1:14" ht="13.5" thickBot="1"/>
    <row r="113" spans="1:13" ht="25.5" thickBot="1">
      <c r="A113" s="901" t="s">
        <v>2971</v>
      </c>
      <c r="B113" s="1285">
        <f>G3</f>
        <v>2.2000000000000002</v>
      </c>
      <c r="C113" s="902" t="s">
        <v>2972</v>
      </c>
      <c r="D113" s="903">
        <f>SUMPRODUCT((A115:A118=F113)*(B114:M114=H113)*B115:M118)</f>
        <v>0.85719999999999996</v>
      </c>
      <c r="E113" s="2718" t="s">
        <v>2806</v>
      </c>
      <c r="F113" s="2889" t="str">
        <f>E2</f>
        <v>住宅</v>
      </c>
      <c r="G113" s="2718" t="s">
        <v>2807</v>
      </c>
      <c r="H113" s="2889" t="str">
        <f>G2</f>
        <v>三级</v>
      </c>
      <c r="I113" s="2718"/>
      <c r="J113" s="2890"/>
      <c r="K113" s="2890"/>
      <c r="L113" s="2890"/>
      <c r="M113" s="2890"/>
    </row>
    <row r="114" spans="1:13">
      <c r="A114" s="906"/>
      <c r="B114" s="2891" t="s">
        <v>2973</v>
      </c>
      <c r="C114" s="2891" t="s">
        <v>2974</v>
      </c>
      <c r="D114" s="2891" t="s">
        <v>2975</v>
      </c>
      <c r="E114" s="2892" t="s">
        <v>2976</v>
      </c>
      <c r="F114" s="2892" t="s">
        <v>2977</v>
      </c>
      <c r="G114" s="2892" t="s">
        <v>2978</v>
      </c>
      <c r="H114" s="2893" t="s">
        <v>2979</v>
      </c>
      <c r="I114" s="2893" t="s">
        <v>2980</v>
      </c>
      <c r="J114" s="2894" t="s">
        <v>2981</v>
      </c>
      <c r="K114" s="2894" t="s">
        <v>2982</v>
      </c>
      <c r="L114" s="2894" t="s">
        <v>2983</v>
      </c>
      <c r="M114" s="2895" t="s">
        <v>2984</v>
      </c>
    </row>
    <row r="115" spans="1:13">
      <c r="A115" s="907" t="s">
        <v>2870</v>
      </c>
      <c r="B115" s="908">
        <f>ROUND(0.9335-0.0094*B113,4)</f>
        <v>0.91279999999999994</v>
      </c>
      <c r="C115" s="908">
        <f>B115</f>
        <v>0.91279999999999994</v>
      </c>
      <c r="D115" s="908">
        <f>ROUND(0.8331-0.0109*B113,4)</f>
        <v>0.80910000000000004</v>
      </c>
      <c r="E115" s="908">
        <f>D115</f>
        <v>0.80910000000000004</v>
      </c>
      <c r="F115" s="908">
        <f>E115</f>
        <v>0.80910000000000004</v>
      </c>
      <c r="G115" s="908">
        <f>F115</f>
        <v>0.80910000000000004</v>
      </c>
      <c r="H115" s="908">
        <f>G115</f>
        <v>0.80910000000000004</v>
      </c>
      <c r="I115" s="908">
        <f>ROUND(0.689-0.0155*B113,4)</f>
        <v>0.65490000000000004</v>
      </c>
      <c r="J115" s="908">
        <f t="shared" ref="J115:M118" si="34">I115</f>
        <v>0.65490000000000004</v>
      </c>
      <c r="K115" s="908">
        <f t="shared" si="34"/>
        <v>0.65490000000000004</v>
      </c>
      <c r="L115" s="908">
        <f t="shared" si="34"/>
        <v>0.65490000000000004</v>
      </c>
      <c r="M115" s="909">
        <f t="shared" si="34"/>
        <v>0.65490000000000004</v>
      </c>
    </row>
    <row r="116" spans="1:13">
      <c r="A116" s="907" t="s">
        <v>2871</v>
      </c>
      <c r="B116" s="908">
        <f>ROUND(0.949-0.012*B113,4)</f>
        <v>0.92259999999999998</v>
      </c>
      <c r="C116" s="908">
        <f>B116</f>
        <v>0.92259999999999998</v>
      </c>
      <c r="D116" s="908">
        <f>ROUND(0.8567-0.013*B113,4)</f>
        <v>0.82809999999999995</v>
      </c>
      <c r="E116" s="908">
        <f t="shared" ref="E116:H117" si="35">D116</f>
        <v>0.82809999999999995</v>
      </c>
      <c r="F116" s="908">
        <f t="shared" si="35"/>
        <v>0.82809999999999995</v>
      </c>
      <c r="G116" s="908">
        <f t="shared" si="35"/>
        <v>0.82809999999999995</v>
      </c>
      <c r="H116" s="908">
        <f t="shared" si="35"/>
        <v>0.82809999999999995</v>
      </c>
      <c r="I116" s="908">
        <f>ROUND(0.7694-0.014*B113,4)</f>
        <v>0.73860000000000003</v>
      </c>
      <c r="J116" s="908">
        <f t="shared" si="34"/>
        <v>0.73860000000000003</v>
      </c>
      <c r="K116" s="908">
        <f t="shared" si="34"/>
        <v>0.73860000000000003</v>
      </c>
      <c r="L116" s="908">
        <f t="shared" si="34"/>
        <v>0.73860000000000003</v>
      </c>
      <c r="M116" s="909">
        <f t="shared" si="34"/>
        <v>0.73860000000000003</v>
      </c>
    </row>
    <row r="117" spans="1:13">
      <c r="A117" s="907" t="s">
        <v>2872</v>
      </c>
      <c r="B117" s="908">
        <f>ROUND(0.8808-0.006*B113,4)</f>
        <v>0.86760000000000004</v>
      </c>
      <c r="C117" s="908">
        <f>B117</f>
        <v>0.86760000000000004</v>
      </c>
      <c r="D117" s="908">
        <f>ROUND(0.8748-0.008*B113,4)</f>
        <v>0.85719999999999996</v>
      </c>
      <c r="E117" s="908">
        <f t="shared" si="35"/>
        <v>0.85719999999999996</v>
      </c>
      <c r="F117" s="908">
        <f t="shared" si="35"/>
        <v>0.85719999999999996</v>
      </c>
      <c r="G117" s="908">
        <f t="shared" si="35"/>
        <v>0.85719999999999996</v>
      </c>
      <c r="H117" s="908">
        <f t="shared" si="35"/>
        <v>0.85719999999999996</v>
      </c>
      <c r="I117" s="908">
        <f>ROUND(0.7412-0.0095*B113,4)</f>
        <v>0.72030000000000005</v>
      </c>
      <c r="J117" s="908">
        <f t="shared" si="34"/>
        <v>0.72030000000000005</v>
      </c>
      <c r="K117" s="908">
        <f t="shared" si="34"/>
        <v>0.72030000000000005</v>
      </c>
      <c r="L117" s="908">
        <f t="shared" si="34"/>
        <v>0.72030000000000005</v>
      </c>
      <c r="M117" s="909">
        <f t="shared" si="34"/>
        <v>0.72030000000000005</v>
      </c>
    </row>
    <row r="118" spans="1:13" ht="13.5" thickBot="1">
      <c r="A118" s="712" t="s">
        <v>2873</v>
      </c>
      <c r="B118" s="910">
        <f>ROUND(0.7275-0.01*B113,4)</f>
        <v>0.70550000000000002</v>
      </c>
      <c r="C118" s="910">
        <f>B118</f>
        <v>0.70550000000000002</v>
      </c>
      <c r="D118" s="910">
        <f>ROUND(0.7043-0.012*B113,4)</f>
        <v>0.67789999999999995</v>
      </c>
      <c r="E118" s="910">
        <f>D118</f>
        <v>0.67789999999999995</v>
      </c>
      <c r="F118" s="910">
        <f>E118</f>
        <v>0.67789999999999995</v>
      </c>
      <c r="G118" s="910">
        <f>ROUND(0.6299-0.0122*B113,4)</f>
        <v>0.60309999999999997</v>
      </c>
      <c r="H118" s="910">
        <f>G118</f>
        <v>0.60309999999999997</v>
      </c>
      <c r="I118" s="910">
        <f>ROUND(0.5667-0.0136*B113,4)</f>
        <v>0.53680000000000005</v>
      </c>
      <c r="J118" s="910">
        <f t="shared" si="34"/>
        <v>0.53680000000000005</v>
      </c>
      <c r="K118" s="910">
        <f t="shared" si="34"/>
        <v>0.53680000000000005</v>
      </c>
      <c r="L118" s="910">
        <f t="shared" si="34"/>
        <v>0.53680000000000005</v>
      </c>
      <c r="M118" s="911">
        <f t="shared" si="34"/>
        <v>0.53680000000000005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G43" sqref="G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1583</v>
      </c>
      <c r="B1" s="780"/>
      <c r="C1" s="1835" t="s">
        <v>3077</v>
      </c>
      <c r="D1" s="1818" t="s">
        <v>70</v>
      </c>
      <c r="E1" s="1819" t="s">
        <v>1381</v>
      </c>
      <c r="F1" s="1281">
        <f ca="1">J53</f>
        <v>51.34</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412</v>
      </c>
      <c r="C2" s="1843" t="s">
        <v>1585</v>
      </c>
      <c r="D2" s="1935">
        <f ca="1">C40+J29+L46</f>
        <v>4117834</v>
      </c>
      <c r="E2" s="1844" t="s">
        <v>1586</v>
      </c>
      <c r="F2" s="1845"/>
      <c r="G2" s="1846"/>
      <c r="H2" s="1838"/>
      <c r="I2" s="1838"/>
      <c r="J2" s="1838"/>
      <c r="K2" s="1839"/>
      <c r="L2" s="1838"/>
      <c r="M2" s="1838"/>
    </row>
    <row r="3" spans="1:37" ht="18" customHeight="1" thickBot="1">
      <c r="A3" s="1847" t="s">
        <v>1587</v>
      </c>
      <c r="B3" s="1848">
        <f ca="1">IF(ISERROR(D2/F43),0,ROUND(D2/F43,0))</f>
        <v>27716</v>
      </c>
      <c r="C3" s="1843" t="s">
        <v>1588</v>
      </c>
      <c r="D3" s="1843"/>
      <c r="E3" s="1844"/>
      <c r="F3" s="1845"/>
      <c r="G3" s="1846"/>
      <c r="H3" s="742" t="s">
        <v>1582</v>
      </c>
      <c r="I3" s="1838"/>
      <c r="J3" s="1838"/>
      <c r="K3" s="1839"/>
      <c r="L3" s="1838"/>
      <c r="M3" s="1838"/>
    </row>
    <row r="4" spans="1:37" ht="18" customHeight="1">
      <c r="A4" s="339" t="s">
        <v>1589</v>
      </c>
      <c r="B4" s="340" t="s">
        <v>1590</v>
      </c>
      <c r="C4" s="340" t="s">
        <v>1591</v>
      </c>
      <c r="D4" s="340" t="s">
        <v>1592</v>
      </c>
      <c r="E4" s="341" t="s">
        <v>1593</v>
      </c>
      <c r="F4" s="342"/>
      <c r="G4" s="1849"/>
      <c r="H4" s="339" t="s">
        <v>1589</v>
      </c>
      <c r="I4" s="340" t="s">
        <v>1590</v>
      </c>
      <c r="J4" s="340" t="s">
        <v>1591</v>
      </c>
      <c r="K4" s="340" t="s">
        <v>1592</v>
      </c>
      <c r="L4" s="341" t="s">
        <v>1593</v>
      </c>
      <c r="M4" s="342"/>
    </row>
    <row r="5" spans="1:37" ht="18" customHeight="1">
      <c r="A5" s="343">
        <v>1</v>
      </c>
      <c r="B5" s="344" t="s">
        <v>1594</v>
      </c>
      <c r="C5" s="1290">
        <f ca="1">C6+C10+C12</f>
        <v>195465</v>
      </c>
      <c r="D5" s="1820" t="s">
        <v>1595</v>
      </c>
      <c r="E5" s="1291"/>
      <c r="F5" s="1292"/>
      <c r="G5" s="1849"/>
      <c r="H5" s="343">
        <v>1</v>
      </c>
      <c r="I5" s="344" t="s">
        <v>1594</v>
      </c>
      <c r="J5" s="1290">
        <f ca="1">J6+J10+J12</f>
        <v>0</v>
      </c>
      <c r="K5" s="1820" t="s">
        <v>1595</v>
      </c>
      <c r="L5" s="1291"/>
      <c r="M5" s="1292"/>
    </row>
    <row r="6" spans="1:37" ht="18" customHeight="1">
      <c r="A6" s="1289" t="s">
        <v>1031</v>
      </c>
      <c r="B6" s="3245" t="s">
        <v>1397</v>
      </c>
      <c r="C6" s="1294">
        <f ca="1">ROUND(F6*F8*F7*(1-F9),0)</f>
        <v>195221</v>
      </c>
      <c r="D6" s="163" t="s">
        <v>3017</v>
      </c>
      <c r="E6" s="346" t="s">
        <v>1399</v>
      </c>
      <c r="F6" s="347">
        <f ca="1">INDIRECT("'数据-取费表'!u"&amp;$G$1)</f>
        <v>4</v>
      </c>
      <c r="G6" s="1849"/>
      <c r="H6" s="1289" t="s">
        <v>1031</v>
      </c>
      <c r="I6" s="3245" t="s">
        <v>1397</v>
      </c>
      <c r="J6" s="345">
        <f ca="1">ROUND(M6*M8*M7*(1-M9),0)</f>
        <v>0</v>
      </c>
      <c r="K6" s="1832" t="s">
        <v>3018</v>
      </c>
      <c r="L6" s="346" t="s">
        <v>1399</v>
      </c>
      <c r="M6" s="347">
        <f ca="1">INDIRECT("'数据-取费表'!z"&amp;$G$1)</f>
        <v>0</v>
      </c>
    </row>
    <row r="7" spans="1:37" ht="18" customHeight="1">
      <c r="A7" s="1293"/>
      <c r="B7" s="3246"/>
      <c r="C7" s="1295"/>
      <c r="D7" s="351"/>
      <c r="E7" s="1296" t="s">
        <v>1400</v>
      </c>
      <c r="F7" s="347">
        <f ca="1">IF(INDIRECT("'数据-取费表'!ah"&amp;$G$1)="",INDIRECT("'数据-取费表'!k"&amp;$G$1),INDIRECT("'数据-取费表'!ah"&amp;$G$1))</f>
        <v>148.57</v>
      </c>
      <c r="G7" s="1849"/>
      <c r="H7" s="348"/>
      <c r="I7" s="3246"/>
      <c r="J7" s="350"/>
      <c r="K7" s="351"/>
      <c r="L7" s="346" t="s">
        <v>1400</v>
      </c>
      <c r="M7" s="347">
        <f ca="1">F7</f>
        <v>148.57</v>
      </c>
    </row>
    <row r="8" spans="1:37" ht="18" customHeight="1">
      <c r="A8" s="348"/>
      <c r="B8" s="3246"/>
      <c r="C8" s="350"/>
      <c r="D8" s="351"/>
      <c r="E8" s="346" t="s">
        <v>1401</v>
      </c>
      <c r="F8" s="347">
        <f ca="1">INDIRECT("'数据-取费表'!ai"&amp;$G$1)</f>
        <v>365</v>
      </c>
      <c r="G8" s="1849"/>
      <c r="H8" s="348"/>
      <c r="I8" s="3246"/>
      <c r="J8" s="350"/>
      <c r="K8" s="351"/>
      <c r="L8" s="346" t="s">
        <v>1401</v>
      </c>
      <c r="M8" s="347">
        <f ca="1">INDIRECT("'数据-取费表'!ai"&amp;$G$1)</f>
        <v>365</v>
      </c>
    </row>
    <row r="9" spans="1:37" ht="18" customHeight="1">
      <c r="A9" s="348"/>
      <c r="B9" s="3247"/>
      <c r="C9" s="350"/>
      <c r="D9" s="351"/>
      <c r="E9" s="346" t="s">
        <v>1402</v>
      </c>
      <c r="F9" s="356">
        <f ca="1">INDIRECT("'数据-取费表'!w"&amp;$G$1)</f>
        <v>0.1</v>
      </c>
      <c r="G9" s="1849"/>
      <c r="H9" s="348"/>
      <c r="I9" s="3247"/>
      <c r="J9" s="350"/>
      <c r="K9" s="351"/>
      <c r="L9" s="357" t="s">
        <v>1402</v>
      </c>
      <c r="M9" s="358">
        <f ca="1">INDIRECT("'数据-取费表'!ab"&amp;$G$1)</f>
        <v>0</v>
      </c>
    </row>
    <row r="10" spans="1:37" ht="18" customHeight="1">
      <c r="A10" s="1289" t="s">
        <v>1035</v>
      </c>
      <c r="B10" s="1821" t="s">
        <v>1403</v>
      </c>
      <c r="C10" s="360">
        <f ca="1">ROUND(IF(F10="押一",C6/12*F11,IF(F10="押二",C6/12*2*F11,IF(F10="押三",C6/12*3*F11,C11*F11))),0)</f>
        <v>244</v>
      </c>
      <c r="D10" s="1822" t="s">
        <v>3028</v>
      </c>
      <c r="E10" s="357" t="s">
        <v>1404</v>
      </c>
      <c r="F10" s="1364" t="s">
        <v>3183</v>
      </c>
      <c r="G10" s="1849"/>
      <c r="H10" s="1289" t="s">
        <v>1035</v>
      </c>
      <c r="I10" s="1821" t="s">
        <v>1403</v>
      </c>
      <c r="J10" s="345">
        <f ca="1">ROUND(IF(M10="押一",J6/12*M11,IF(M10="押二",J6/12*2*M11,IF(M10="押三",J6/12*3*M11,J11*M11))),0)</f>
        <v>0</v>
      </c>
      <c r="K10" s="1833" t="s">
        <v>3030</v>
      </c>
      <c r="L10" s="357" t="s">
        <v>1404</v>
      </c>
      <c r="M10" s="1364"/>
    </row>
    <row r="11" spans="1:37" ht="18" customHeight="1">
      <c r="A11" s="352"/>
      <c r="B11" s="1823" t="s">
        <v>1596</v>
      </c>
      <c r="C11" s="1176"/>
      <c r="D11" s="351"/>
      <c r="E11" s="357" t="s">
        <v>1406</v>
      </c>
      <c r="F11" s="358">
        <f ca="1">'数据-取费表'!B39</f>
        <v>1.4999999999999999E-2</v>
      </c>
      <c r="G11" s="1849"/>
      <c r="H11" s="1297"/>
      <c r="I11" s="1823" t="s">
        <v>1597</v>
      </c>
      <c r="J11" s="1176"/>
      <c r="K11" s="746"/>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661678</v>
      </c>
      <c r="D13" s="1329" t="s">
        <v>1409</v>
      </c>
      <c r="E13" s="1329" t="s">
        <v>1410</v>
      </c>
      <c r="F13" s="1330">
        <f ca="1">INDIRECT("'数据-取费表'!y"&amp;$G$1)</f>
        <v>0.8</v>
      </c>
      <c r="G13" s="1849"/>
      <c r="H13" s="1327">
        <v>2</v>
      </c>
      <c r="I13" s="1328" t="s">
        <v>1408</v>
      </c>
      <c r="J13" s="1288">
        <f ca="1">ROUND(J14*J15,0)</f>
        <v>0</v>
      </c>
      <c r="K13" s="1335" t="s">
        <v>1409</v>
      </c>
      <c r="L13" s="1850"/>
      <c r="M13" s="1851"/>
    </row>
    <row r="14" spans="1:37" ht="18" customHeight="1">
      <c r="A14" s="1199" t="s">
        <v>1030</v>
      </c>
      <c r="B14" s="346" t="s">
        <v>1411</v>
      </c>
      <c r="C14" s="362">
        <f ca="1">ROUND(INDIRECT("'数据-取费表'!l"&amp;$G$1)*F43+'数据-取费表'!L14*INDIRECT("'数据-取费表'!S"&amp;$G$1),0)</f>
        <v>519995</v>
      </c>
      <c r="D14" s="1798" t="s">
        <v>1412</v>
      </c>
      <c r="E14" s="1792"/>
      <c r="F14" s="363"/>
      <c r="G14" s="1849"/>
      <c r="H14" s="1199" t="s">
        <v>1031</v>
      </c>
      <c r="I14" s="346" t="s">
        <v>1413</v>
      </c>
      <c r="J14" s="23">
        <f ca="1">C29</f>
        <v>827098</v>
      </c>
      <c r="K14" s="14"/>
      <c r="L14" s="977"/>
      <c r="M14" s="978"/>
    </row>
    <row r="15" spans="1:37" s="1856" customFormat="1" ht="18" customHeight="1" thickBot="1">
      <c r="A15" s="1199" t="s">
        <v>1032</v>
      </c>
      <c r="B15" s="346" t="s">
        <v>1414</v>
      </c>
      <c r="C15" s="23">
        <f ca="1">ROUND(C14*F15,0)</f>
        <v>15600</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3">
        <f ca="1">ROUND(INDIRECT("'数据-取费表'!l"&amp;$G$1)*F43*F16,0)</f>
        <v>26000</v>
      </c>
      <c r="D16" s="346" t="s">
        <v>1415</v>
      </c>
      <c r="E16" s="346" t="s">
        <v>1416</v>
      </c>
      <c r="F16" s="366">
        <f ca="1">IF(INDIRECT("'数据-取费表'!c"&amp;$G$1)="住宅",'数据-取费表'!B34,0)</f>
        <v>0.05</v>
      </c>
      <c r="G16" s="1849"/>
      <c r="H16" s="1327" t="s">
        <v>1026</v>
      </c>
      <c r="I16" s="1328" t="s">
        <v>1418</v>
      </c>
      <c r="J16" s="354">
        <f ca="1">ROUND(J17+J22+J23+J24,0)</f>
        <v>21706</v>
      </c>
      <c r="K16" s="1335" t="s">
        <v>1419</v>
      </c>
      <c r="L16" s="1336"/>
      <c r="M16" s="1292"/>
    </row>
    <row r="17" spans="1:37" s="1856" customFormat="1" ht="18" customHeight="1">
      <c r="A17" s="1199" t="s">
        <v>1384</v>
      </c>
      <c r="B17" s="346" t="s">
        <v>1420</v>
      </c>
      <c r="C17" s="23">
        <f ca="1">ROUND(F17*(F43+INDIRECT("'数据-取费表'!S"&amp;$G$1)),0)</f>
        <v>29714</v>
      </c>
      <c r="D17" s="346" t="s">
        <v>1421</v>
      </c>
      <c r="E17" s="346" t="s">
        <v>1422</v>
      </c>
      <c r="F17" s="25">
        <f>'数据-取费表'!B35</f>
        <v>200</v>
      </c>
      <c r="G17" s="1852"/>
      <c r="H17" s="1199" t="s">
        <v>1031</v>
      </c>
      <c r="I17" s="346" t="s">
        <v>1423</v>
      </c>
      <c r="J17" s="23">
        <f ca="1">ROUND(IF(项目基本情况!B11="自然人",J6*M17/(1+'数据-取费表'!C42),J18+J19+J20),0)</f>
        <v>9300</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3">
        <f ca="1">ROUND(C14*F18,0)</f>
        <v>7800</v>
      </c>
      <c r="D18" s="346" t="s">
        <v>1415</v>
      </c>
      <c r="E18" s="346" t="s">
        <v>1416</v>
      </c>
      <c r="F18" s="366">
        <f>'数据-取费表'!B36</f>
        <v>1.4999999999999999E-2</v>
      </c>
      <c r="G18" s="1852"/>
      <c r="H18" s="1199" t="s">
        <v>1030</v>
      </c>
      <c r="I18" s="346" t="s">
        <v>1427</v>
      </c>
      <c r="J18" s="23">
        <f ca="1">ROUND(J6*M18/(1+'数据-取费表'!C42),0)</f>
        <v>0</v>
      </c>
      <c r="K18" s="1796" t="s">
        <v>1428</v>
      </c>
      <c r="L18" s="346" t="s">
        <v>1416</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3">
        <f ca="1">SUM(C14:C18)</f>
        <v>599109</v>
      </c>
      <c r="D19" s="139" t="s">
        <v>1430</v>
      </c>
      <c r="E19" s="1816"/>
      <c r="F19" s="25"/>
      <c r="G19" s="1849"/>
      <c r="H19" s="1199" t="s">
        <v>1032</v>
      </c>
      <c r="I19" s="346" t="s">
        <v>1431</v>
      </c>
      <c r="J19" s="23">
        <f ca="1">IF(K19="按租金收入计税",ROUND(J6*M19/(1+'数据-取费表'!C42),0),ROUND(C29*M19*0.7,0))</f>
        <v>6948</v>
      </c>
      <c r="K19" s="1826" t="s">
        <v>1432</v>
      </c>
      <c r="L19" s="346" t="s">
        <v>1416</v>
      </c>
      <c r="M19" s="366">
        <f>IF(K19="按租金收入计税",'数据-取费表'!B51,'数据-取费表'!B50)</f>
        <v>1.2E-2</v>
      </c>
    </row>
    <row r="20" spans="1:37" s="1856" customFormat="1" ht="18" customHeight="1">
      <c r="A20" s="1199" t="s">
        <v>1035</v>
      </c>
      <c r="B20" s="346" t="s">
        <v>1433</v>
      </c>
      <c r="C20" s="23">
        <f ca="1">ROUND(C19*F20,0)</f>
        <v>11982</v>
      </c>
      <c r="D20" s="368" t="s">
        <v>1434</v>
      </c>
      <c r="E20" s="346" t="s">
        <v>1416</v>
      </c>
      <c r="F20" s="366">
        <f>'数据-取费表'!B37</f>
        <v>0.02</v>
      </c>
      <c r="G20" s="1852"/>
      <c r="H20" s="1199" t="s">
        <v>1383</v>
      </c>
      <c r="I20" s="163" t="s">
        <v>1435</v>
      </c>
      <c r="J20" s="24">
        <f ca="1">ROUND(M20*M21,0)</f>
        <v>2352</v>
      </c>
      <c r="K20" s="369" t="s">
        <v>1436</v>
      </c>
      <c r="L20" s="346" t="s">
        <v>1437</v>
      </c>
      <c r="M20" s="370">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3" t="s">
        <v>1</v>
      </c>
      <c r="D21" s="368" t="s">
        <v>1439</v>
      </c>
      <c r="E21" s="346" t="s">
        <v>1440</v>
      </c>
      <c r="F21" s="366">
        <f>'数据-取费表'!B38</f>
        <v>0.02</v>
      </c>
      <c r="G21" s="1852"/>
      <c r="H21" s="371"/>
      <c r="I21" s="355"/>
      <c r="J21" s="28"/>
      <c r="K21" s="372"/>
      <c r="L21" s="346" t="s">
        <v>1441</v>
      </c>
      <c r="M21" s="347">
        <f ca="1">INDIRECT("'数据-取费表'!r"&amp;$G$1)</f>
        <v>130.66999999999999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3"/>
      <c r="D22" s="139" t="str">
        <f>IF(F23&lt;=1,"单利计息。","复利计息。")&amp;"建造成本、管理费用、销售费用产生的利息。"</f>
        <v>复利计息。建造成本、管理费用、销售费用产生的利息。</v>
      </c>
      <c r="E22" s="1816"/>
      <c r="F22" s="25"/>
      <c r="G22" s="1849"/>
      <c r="H22" s="1199" t="s">
        <v>1035</v>
      </c>
      <c r="I22" s="346" t="s">
        <v>1443</v>
      </c>
      <c r="J22" s="23">
        <f ca="1">ROUND(J14*M22,0)</f>
        <v>12406</v>
      </c>
      <c r="K22" s="1796" t="s">
        <v>1444</v>
      </c>
      <c r="L22" s="346" t="s">
        <v>1416</v>
      </c>
      <c r="M22" s="373">
        <f ca="1">INDIRECT("'数据-取费表'!Ak"&amp;$G$1)</f>
        <v>1.4999999999999999E-2</v>
      </c>
    </row>
    <row r="23" spans="1:37" s="1856" customFormat="1" ht="18" customHeight="1">
      <c r="A23" s="1199" t="s">
        <v>1030</v>
      </c>
      <c r="B23" s="346" t="s">
        <v>1445</v>
      </c>
      <c r="C23" s="23">
        <f ca="1">IF('数据-取费表'!B22&lt;=1,ROUND(C19*F24*F23/2,0)+ROUND(C20*F24*F23/2,0),ROUND(C19*(POWER((1+F24),F23/2)-1),0)+ROUND(C20*(POWER((1+F24),F23/2)-1),0))</f>
        <v>29027</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3">
        <f ca="1">ROUND(J13*M23,0)</f>
        <v>0</v>
      </c>
      <c r="K23" s="1796" t="s">
        <v>1448</v>
      </c>
      <c r="L23" s="346" t="s">
        <v>1449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6" t="s">
        <v>1455</v>
      </c>
      <c r="C25" s="23"/>
      <c r="D25" s="139" t="s">
        <v>1456</v>
      </c>
      <c r="E25" s="1816"/>
      <c r="F25" s="25"/>
      <c r="G25" s="1849"/>
      <c r="H25" s="1327" t="s">
        <v>1027</v>
      </c>
      <c r="I25" s="1342" t="s">
        <v>1457</v>
      </c>
      <c r="J25" s="354">
        <f ca="1">J5-J16</f>
        <v>-21706</v>
      </c>
      <c r="K25" s="1343" t="s">
        <v>1458</v>
      </c>
      <c r="L25" s="1344"/>
      <c r="M25" s="1345"/>
    </row>
    <row r="26" spans="1:37" ht="18" customHeight="1">
      <c r="A26" s="1199" t="s">
        <v>1030</v>
      </c>
      <c r="B26" s="346" t="s">
        <v>1459</v>
      </c>
      <c r="C26" s="23">
        <f ca="1">ROUND((C19+C20)*F26,0)</f>
        <v>122218</v>
      </c>
      <c r="D26" s="368" t="s">
        <v>1460</v>
      </c>
      <c r="E26" s="357" t="s">
        <v>1461</v>
      </c>
      <c r="F26" s="356">
        <f ca="1">INDIRECT("'数据-取费表'!q"&amp;$G$1)</f>
        <v>0.2</v>
      </c>
      <c r="G26" s="1849"/>
      <c r="H26" s="343" t="s">
        <v>1028</v>
      </c>
      <c r="I26" s="344" t="s">
        <v>1462</v>
      </c>
      <c r="J26" s="345">
        <f ca="1">IF(J5&lt;&gt;0,ROUND(J25*(1-((1+M28)/(1+M26))^M27)/(M26-M28),0),0)</f>
        <v>0</v>
      </c>
      <c r="K26" s="369" t="s">
        <v>1463</v>
      </c>
      <c r="L26" s="346" t="s">
        <v>1464</v>
      </c>
      <c r="M26" s="356">
        <f ca="1">INDIRECT("'数据-取费表'!I"&amp;$G$1)</f>
        <v>0.05</v>
      </c>
    </row>
    <row r="27" spans="1:37" ht="18" customHeight="1">
      <c r="A27" s="1199" t="s">
        <v>1032</v>
      </c>
      <c r="B27" s="346" t="s">
        <v>1465</v>
      </c>
      <c r="C27" s="23">
        <f ca="1">ROUND(F21*F26,4)</f>
        <v>4.0000000000000001E-3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3">
        <f>ROUND(F28/(1+'数据-取费表'!C42),4)</f>
        <v>5.33E-2</v>
      </c>
      <c r="D28" s="368" t="s">
        <v>1470</v>
      </c>
      <c r="E28" s="346" t="s">
        <v>1416</v>
      </c>
      <c r="F28" s="366">
        <f>'数据-取费表'!B41</f>
        <v>5.6000000000000001E-2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827098</v>
      </c>
      <c r="D29" s="1340"/>
      <c r="E29" s="1338"/>
      <c r="F29" s="1341"/>
      <c r="G29" s="1852"/>
      <c r="H29" s="379" t="s">
        <v>1029</v>
      </c>
      <c r="I29" s="380" t="s">
        <v>1473</v>
      </c>
      <c r="J29" s="381">
        <f ca="1">ROUND(J26/(1+F40)^F41,0)</f>
        <v>0</v>
      </c>
      <c r="K29" s="382" t="s">
        <v>1474</v>
      </c>
      <c r="L29" s="383"/>
      <c r="M29" s="384">
        <f ca="1">INDIRECT("'数据-取费表'!k"&amp;$G$1)</f>
        <v>148.57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50429</v>
      </c>
      <c r="D30" s="1335" t="s">
        <v>1419</v>
      </c>
      <c r="E30" s="1336"/>
      <c r="F30" s="1292"/>
      <c r="G30" s="1849"/>
      <c r="H30" s="743"/>
      <c r="I30" s="744"/>
      <c r="J30" s="745"/>
      <c r="K30" s="746"/>
      <c r="L30" s="747"/>
      <c r="M30" s="748"/>
    </row>
    <row r="31" spans="1:37" ht="18" customHeight="1">
      <c r="A31" s="1199" t="s">
        <v>1031</v>
      </c>
      <c r="B31" s="346" t="s">
        <v>1423</v>
      </c>
      <c r="C31" s="23">
        <f ca="1">ROUND(IF(项目基本情况!B11="自然人",C6*F31/(1+'数据-取费表'!C42),C32+C33+C34),0)</f>
        <v>35075</v>
      </c>
      <c r="D31" s="1798" t="s">
        <v>1424</v>
      </c>
      <c r="E31" s="1796" t="s">
        <v>1475</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6" t="s">
        <v>1427</v>
      </c>
      <c r="C32" s="23">
        <f ca="1">IF(项目基本情况!B11="自然人","——",ROUND(C6*F32/(1+'数据-取费表'!C42),0))</f>
        <v>10412</v>
      </c>
      <c r="D32" s="1796" t="s">
        <v>1428</v>
      </c>
      <c r="E32" s="346" t="s">
        <v>1416</v>
      </c>
      <c r="F32" s="376">
        <f>'数据-取费表'!B41</f>
        <v>5.6000000000000001E-2</v>
      </c>
      <c r="G32" s="1849"/>
      <c r="H32" s="743"/>
      <c r="I32" s="744"/>
      <c r="J32" s="745"/>
      <c r="K32" s="746"/>
      <c r="L32" s="747"/>
      <c r="M32" s="748"/>
    </row>
    <row r="33" spans="1:18" ht="18" customHeight="1">
      <c r="A33" s="1199" t="s">
        <v>1032</v>
      </c>
      <c r="B33" s="346" t="s">
        <v>1431</v>
      </c>
      <c r="C33" s="23">
        <f ca="1">IF(项目基本情况!B11="自然人","——",IF(D33="按租金收入计税",ROUND(C6*F33/(1+'数据-取费表'!C42),0),IF(D33="按房产原值计税",ROUND(C29*F33*0.7,0),INDIRECT("'数据-取费表'!Aj"&amp;$G$1))))</f>
        <v>22311</v>
      </c>
      <c r="D33" s="1826" t="s">
        <v>3184</v>
      </c>
      <c r="E33" s="346" t="s">
        <v>1416</v>
      </c>
      <c r="F33" s="366">
        <f>IF(D33="按票据","——",IF(D33="按租金收入计税",'数据-取费表'!B51,'数据-取费表'!B50))</f>
        <v>0.12</v>
      </c>
      <c r="G33" s="1849"/>
      <c r="H33" s="1857"/>
      <c r="I33" s="1858"/>
      <c r="J33" s="1859"/>
      <c r="K33" s="1860"/>
      <c r="L33" s="1857"/>
      <c r="M33" s="1857"/>
    </row>
    <row r="34" spans="1:18" ht="18" customHeight="1">
      <c r="A34" s="1289" t="s">
        <v>1383</v>
      </c>
      <c r="B34" s="163" t="s">
        <v>1435</v>
      </c>
      <c r="C34" s="24">
        <f ca="1">IF(项目基本情况!B11="自然人","——",ROUND(F34*F35,))</f>
        <v>2352</v>
      </c>
      <c r="D34" s="369" t="s">
        <v>1436</v>
      </c>
      <c r="E34" s="346" t="s">
        <v>1437</v>
      </c>
      <c r="F34" s="370">
        <f>'数据-取费表'!B52</f>
        <v>18</v>
      </c>
      <c r="G34" s="1849"/>
      <c r="H34" s="743"/>
      <c r="I34" s="1858"/>
      <c r="J34" s="1859"/>
      <c r="K34" s="1861"/>
      <c r="L34" s="1862"/>
      <c r="M34" s="1862"/>
    </row>
    <row r="35" spans="1:18" ht="18" customHeight="1">
      <c r="A35" s="1351"/>
      <c r="B35" s="1349"/>
      <c r="C35" s="28"/>
      <c r="D35" s="372"/>
      <c r="E35" s="346" t="s">
        <v>1441</v>
      </c>
      <c r="F35" s="347">
        <f ca="1">INDIRECT("'数据-取费表'!r"&amp;$G$1)</f>
        <v>130.66999999999999</v>
      </c>
      <c r="G35" s="1849"/>
      <c r="H35" s="743"/>
      <c r="I35" s="1858"/>
      <c r="J35" s="1859"/>
      <c r="K35" s="1860"/>
      <c r="L35" s="1857"/>
      <c r="M35" s="1857"/>
    </row>
    <row r="36" spans="1:18" ht="18" customHeight="1">
      <c r="A36" s="1350" t="s">
        <v>1035</v>
      </c>
      <c r="B36" s="346" t="s">
        <v>1443</v>
      </c>
      <c r="C36" s="23">
        <f ca="1">ROUND(C29*F36,0)</f>
        <v>12406</v>
      </c>
      <c r="D36" s="1796" t="s">
        <v>1476</v>
      </c>
      <c r="E36" s="346" t="s">
        <v>1416</v>
      </c>
      <c r="F36" s="373">
        <f ca="1">INDIRECT("'数据-取费表'!Ak"&amp;$G$1)</f>
        <v>1.4999999999999999E-2</v>
      </c>
      <c r="G36" s="1849"/>
      <c r="H36" s="1857"/>
      <c r="I36" s="1858"/>
      <c r="J36" s="1859"/>
      <c r="K36" s="749"/>
      <c r="L36" s="1857"/>
      <c r="M36" s="1857"/>
    </row>
    <row r="37" spans="1:18" ht="18" customHeight="1">
      <c r="A37" s="1199" t="s">
        <v>1071</v>
      </c>
      <c r="B37" s="346" t="s">
        <v>1447</v>
      </c>
      <c r="C37" s="23">
        <f ca="1">ROUND(C13*F37,0)</f>
        <v>993</v>
      </c>
      <c r="D37" s="1796" t="s">
        <v>1448</v>
      </c>
      <c r="E37" s="346" t="s">
        <v>1449</v>
      </c>
      <c r="F37" s="375">
        <f ca="1">INDIRECT("'数据-取费表'!Al"&amp;$G$1)</f>
        <v>1.5E-3</v>
      </c>
      <c r="G37" s="1849"/>
      <c r="H37" s="1857"/>
      <c r="I37" s="1858"/>
      <c r="J37" s="1859"/>
      <c r="K37" s="749"/>
      <c r="L37" s="1857"/>
      <c r="M37" s="1857"/>
    </row>
    <row r="38" spans="1:18" ht="18" customHeight="1" thickBot="1">
      <c r="A38" s="1337" t="s">
        <v>1387</v>
      </c>
      <c r="B38" s="1338" t="s">
        <v>1433</v>
      </c>
      <c r="C38" s="1339">
        <f ca="1">ROUND(C5*F38,1)</f>
        <v>1954.7</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4">
        <f ca="1">C5-C30</f>
        <v>145036</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4117834</v>
      </c>
      <c r="D40" s="369" t="s">
        <v>1463</v>
      </c>
      <c r="E40" s="346" t="s">
        <v>1464</v>
      </c>
      <c r="F40" s="356">
        <f ca="1">INDIRECT("'数据-取费表'!I"&amp;$G$1)</f>
        <v>0.05</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51.34</v>
      </c>
      <c r="G41" s="1849"/>
      <c r="H41" s="730"/>
      <c r="I41" s="1858"/>
      <c r="J41" s="1859"/>
      <c r="K41" s="749"/>
      <c r="L41" s="730"/>
      <c r="M41" s="730"/>
    </row>
    <row r="42" spans="1:18" ht="18" customHeight="1">
      <c r="A42" s="352"/>
      <c r="B42" s="353"/>
      <c r="C42" s="354"/>
      <c r="D42" s="372"/>
      <c r="E42" s="346" t="s">
        <v>1471</v>
      </c>
      <c r="F42" s="356">
        <f ca="1">INDIRECT("'数据-取费表'!v"&amp;$G$1)</f>
        <v>2.5000000000000001E-2</v>
      </c>
      <c r="G42" s="1849"/>
      <c r="H42" s="730"/>
      <c r="I42" s="1858"/>
      <c r="J42" s="1859"/>
      <c r="K42" s="749"/>
      <c r="L42" s="730"/>
      <c r="M42" s="730"/>
    </row>
    <row r="43" spans="1:18" ht="18" customHeight="1" thickBot="1">
      <c r="A43" s="379" t="s">
        <v>1029</v>
      </c>
      <c r="B43" s="380" t="s">
        <v>1481</v>
      </c>
      <c r="C43" s="381">
        <f ca="1">ROUND(C40/F43,0)</f>
        <v>27716</v>
      </c>
      <c r="D43" s="382" t="s">
        <v>1482</v>
      </c>
      <c r="E43" s="383" t="s">
        <v>1483</v>
      </c>
      <c r="F43" s="384">
        <f ca="1">INDIRECT("'数据-取费表'!k"&amp;$G$1)</f>
        <v>148.57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-6537583</v>
      </c>
      <c r="D45" s="1937" t="s">
        <v>1598</v>
      </c>
      <c r="E45" s="1864"/>
      <c r="F45" s="1864"/>
      <c r="O45" s="1867" t="s">
        <v>1513</v>
      </c>
      <c r="P45" s="1837"/>
      <c r="Q45" s="1837"/>
      <c r="R45" s="1837"/>
    </row>
    <row r="46" spans="1:18" s="1840" customFormat="1" ht="13.5" thickBot="1">
      <c r="A46" s="1868" t="s">
        <v>1514</v>
      </c>
      <c r="C46" s="1869">
        <f ca="1">ROUND(C45/10000,0)</f>
        <v>-654</v>
      </c>
      <c r="D46" s="1870" t="str">
        <f>C2</f>
        <v>万元</v>
      </c>
      <c r="I46" s="1871" t="s">
        <v>1515</v>
      </c>
      <c r="J46" s="1872"/>
      <c r="K46" s="1873"/>
      <c r="L46" s="1874">
        <f>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t="s">
        <v>3106</v>
      </c>
      <c r="K47" s="1880" t="s">
        <v>1521</v>
      </c>
      <c r="L47" s="1881">
        <f ca="1">INDIRECT("'数据-取费表'!d"&amp;$G$1)</f>
        <v>70</v>
      </c>
      <c r="M47" s="1836" t="str">
        <f>IF(ISNUMBER(FIND("住宅",C1)),"住宅","非住宅")</f>
        <v>住宅</v>
      </c>
      <c r="O47" s="1882" t="s">
        <v>1036</v>
      </c>
      <c r="P47" s="1883" t="s">
        <v>1522</v>
      </c>
      <c r="Q47" s="1884">
        <f ca="1">C40+J29</f>
        <v>4117834</v>
      </c>
      <c r="R47" s="1884" t="s">
        <v>1523</v>
      </c>
    </row>
    <row r="48" spans="1:18" s="1840" customFormat="1" ht="28.5" thickBot="1">
      <c r="A48" s="1358" t="s">
        <v>1131</v>
      </c>
      <c r="B48" s="344" t="s">
        <v>1395</v>
      </c>
      <c r="C48" s="1815">
        <f ca="1">C49+C53+C55</f>
        <v>0</v>
      </c>
      <c r="D48" s="1360"/>
      <c r="E48" s="1361"/>
      <c r="F48" s="1179"/>
      <c r="G48" s="790"/>
      <c r="H48" s="791"/>
      <c r="I48" s="1885" t="s">
        <v>1524</v>
      </c>
      <c r="J48" s="1886" t="s">
        <v>3185</v>
      </c>
      <c r="K48" s="1887" t="s">
        <v>1525</v>
      </c>
      <c r="L48" s="1888">
        <f ca="1">INDIRECT("'数据-取费表'!f"&amp;$G$1)</f>
        <v>51.34</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v>2003</v>
      </c>
      <c r="K49" s="1887" t="s">
        <v>1529</v>
      </c>
      <c r="L49" s="1891"/>
      <c r="O49" s="1892" t="s">
        <v>1038</v>
      </c>
      <c r="P49" s="1883" t="s">
        <v>1530</v>
      </c>
      <c r="Q49" s="1884">
        <f ca="1">C29</f>
        <v>827098</v>
      </c>
      <c r="R49" s="1884" t="s">
        <v>1523</v>
      </c>
    </row>
    <row r="50" spans="1:18" s="1840" customFormat="1" ht="13.5" thickBot="1">
      <c r="A50" s="1193"/>
      <c r="B50" s="1196"/>
      <c r="C50" s="1197"/>
      <c r="D50" s="1170"/>
      <c r="E50" s="1275" t="s">
        <v>1400</v>
      </c>
      <c r="F50" s="1276">
        <f ca="1">F7</f>
        <v>148.57</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7">
        <f ca="1">F8</f>
        <v>365</v>
      </c>
      <c r="I51" s="1896" t="s">
        <v>1534</v>
      </c>
      <c r="J51" s="1897">
        <f>IF(J49="",J50,J49+J50-YEAR('数据-取费表'!B2))</f>
        <v>43</v>
      </c>
      <c r="K51" s="1898" t="s">
        <v>1535</v>
      </c>
      <c r="L51" s="1899">
        <f ca="1">ROUND(-PV(INDIRECT("'数据-取费表'!h"&amp;$G$1),L48,(C39-C13*C76),0),0)</f>
        <v>1767247</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51.34</v>
      </c>
      <c r="R52" s="1884" t="s">
        <v>1540</v>
      </c>
    </row>
    <row r="53" spans="1:18" s="1840" customFormat="1" ht="30.75" customHeight="1" thickBot="1">
      <c r="A53" s="1359" t="s">
        <v>1133</v>
      </c>
      <c r="B53" s="368" t="s">
        <v>1403</v>
      </c>
      <c r="C53" s="360">
        <f ca="1">ROUND(IF(F53="押一",C49/12*F11,IF(F53="押二",C49/12*2*F11,IF(F53="押三",C49/12*3*F11,C54*F11))),0)</f>
        <v>0</v>
      </c>
      <c r="D53" s="1822" t="s">
        <v>3031</v>
      </c>
      <c r="E53" s="357" t="s">
        <v>1404</v>
      </c>
      <c r="F53" s="1364"/>
      <c r="I53" s="1903" t="s">
        <v>1541</v>
      </c>
      <c r="J53" s="2944">
        <f ca="1">IF(M47="住宅",IF(D1="——",MAX(J51,L48),MAX(J51,L48-'数据-取费表'!B24)),IF(D1="——",MIN(J51,L48),MIN(J51,L48-'数据-取费表'!B24)))</f>
        <v>51.34</v>
      </c>
      <c r="K53" s="3248" t="s">
        <v>1542</v>
      </c>
      <c r="L53" s="3249"/>
      <c r="O53" s="1882" t="s">
        <v>1042</v>
      </c>
      <c r="P53" s="1883" t="s">
        <v>1543</v>
      </c>
      <c r="Q53" s="1884">
        <f ca="1">Q47+Q48</f>
        <v>4117834</v>
      </c>
      <c r="R53" s="1884" t="s">
        <v>1043</v>
      </c>
    </row>
    <row r="54" spans="1:18" s="1840" customFormat="1" ht="13.5" thickBot="1">
      <c r="A54" s="1192"/>
      <c r="B54" s="1938" t="s">
        <v>1597</v>
      </c>
      <c r="C54" s="1176"/>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5">
        <f ca="1">C13</f>
        <v>661678</v>
      </c>
      <c r="D56" s="1911"/>
      <c r="E56" s="1912"/>
      <c r="F56" s="1904"/>
      <c r="I56" s="1913" t="s">
        <v>1548</v>
      </c>
      <c r="J56" s="1914" t="s">
        <v>3058</v>
      </c>
      <c r="K56" s="1885" t="s">
        <v>1549</v>
      </c>
      <c r="L56" s="1888">
        <f ca="1">IF(L48&lt;J51,"——",L48-J51)</f>
        <v>8.3400000000000034</v>
      </c>
      <c r="O56" s="1882" t="s">
        <v>1036</v>
      </c>
      <c r="P56" s="1883" t="s">
        <v>1522</v>
      </c>
      <c r="Q56" s="1884">
        <f ca="1">C40+J29</f>
        <v>4117834</v>
      </c>
      <c r="R56" s="1884" t="s">
        <v>1523</v>
      </c>
    </row>
    <row r="57" spans="1:18" s="1840" customFormat="1" ht="24.75" thickBot="1">
      <c r="A57" s="1915"/>
      <c r="B57" s="1167" t="s">
        <v>1472</v>
      </c>
      <c r="C57" s="281">
        <f ca="1">C29</f>
        <v>827098</v>
      </c>
      <c r="D57" s="1916"/>
      <c r="E57" s="1917"/>
      <c r="F57" s="1918"/>
      <c r="I57" s="1919" t="s">
        <v>1550</v>
      </c>
      <c r="J57" s="1920" t="str">
        <f ca="1">IF(OR(M47="住宅",J51&lt;L48,J56="是"),"——",J51-L48)</f>
        <v>——</v>
      </c>
      <c r="K57" s="1885" t="s">
        <v>1599</v>
      </c>
      <c r="L57" s="1888">
        <f ca="1">IF(L48&lt;J51,"——",IF(L55="比较法",L49,IF(L55="基准地价",L50,L51)))</f>
        <v>1767247</v>
      </c>
      <c r="O57" s="1882" t="s">
        <v>1037</v>
      </c>
      <c r="P57" s="1883" t="s">
        <v>1600</v>
      </c>
      <c r="Q57" s="1884">
        <f ca="1">L60</f>
        <v>0</v>
      </c>
      <c r="R57" s="1884" t="s">
        <v>1601</v>
      </c>
    </row>
    <row r="58" spans="1:18" s="1840" customFormat="1" ht="24.75" thickBot="1">
      <c r="A58" s="359" t="s">
        <v>1026</v>
      </c>
      <c r="B58" s="1175" t="s">
        <v>1418</v>
      </c>
      <c r="C58" s="360">
        <f ca="1">ROUND(C59+C64+C65+C66,0)</f>
        <v>85227</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3">
        <f ca="1">ROUND(IF(项目基本情况!B11="自然人",C48*F59,C60+C61+C62),0)</f>
        <v>71828</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3">
        <f ca="1">IF(项目基本情况!B11="自然人","——",ROUND(C48*F60/(1+'数据-取费表'!C42),0))</f>
        <v>0</v>
      </c>
      <c r="D60" s="1181" t="s">
        <v>1428</v>
      </c>
      <c r="E60" s="1167" t="s">
        <v>1416</v>
      </c>
      <c r="F60" s="376">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3">
        <f ca="1">IF(项目基本情况!B11="自然人","——",IF(D61="按租金收入计税",ROUND(C48*F61,0),IF(D61="按房产原值计税",ROUND(C57*F61*0.7,0),INDIRECT("'数据-取费表'!Aj"&amp;$G$1))))</f>
        <v>69476</v>
      </c>
      <c r="D61" s="1826" t="s">
        <v>1432</v>
      </c>
      <c r="E61" s="1167" t="s">
        <v>1488</v>
      </c>
      <c r="F61" s="366">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4">
        <f ca="1">IF(项目基本情况!B11="自然人","——",ROUND(F62*F63,0))</f>
        <v>2352</v>
      </c>
      <c r="D62" s="1182" t="s">
        <v>1491</v>
      </c>
      <c r="E62" s="1167" t="s">
        <v>1492</v>
      </c>
      <c r="F62" s="370">
        <f t="shared" si="0"/>
        <v>18</v>
      </c>
      <c r="I62" s="1926" t="s">
        <v>1564</v>
      </c>
      <c r="J62" s="1927" t="s">
        <v>1565</v>
      </c>
      <c r="K62" s="1927" t="s">
        <v>1566</v>
      </c>
      <c r="L62" s="1927" t="s">
        <v>1567</v>
      </c>
      <c r="M62" s="1928" t="s">
        <v>1568</v>
      </c>
      <c r="O62" s="1882" t="s">
        <v>1042</v>
      </c>
      <c r="P62" s="1883" t="s">
        <v>1569</v>
      </c>
      <c r="Q62" s="1884">
        <f ca="1">Q56+Q57</f>
        <v>4117834</v>
      </c>
      <c r="R62" s="1884" t="s">
        <v>1043</v>
      </c>
    </row>
    <row r="63" spans="1:18" s="1840" customFormat="1" ht="13.5" thickBot="1">
      <c r="A63" s="371"/>
      <c r="B63" s="1173"/>
      <c r="C63" s="28"/>
      <c r="D63" s="1183"/>
      <c r="E63" s="1167" t="s">
        <v>1493</v>
      </c>
      <c r="F63" s="347">
        <f t="shared" ca="1" si="0"/>
        <v>130.66999999999999</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3">
        <f ca="1">ROUND(C57*F64,0)</f>
        <v>12406</v>
      </c>
      <c r="D64" s="1181" t="s">
        <v>1496</v>
      </c>
      <c r="E64" s="1167" t="s">
        <v>1488</v>
      </c>
      <c r="F64" s="373">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3">
        <f ca="1">ROUND(C56*F65,0)</f>
        <v>993</v>
      </c>
      <c r="D65" s="1181" t="s">
        <v>1448</v>
      </c>
      <c r="E65" s="1167" t="s">
        <v>1449</v>
      </c>
      <c r="F65" s="375">
        <f t="shared" ca="1" si="0"/>
        <v>1.5E-3</v>
      </c>
      <c r="I65" s="1926" t="s">
        <v>1573</v>
      </c>
      <c r="J65" s="1927">
        <v>40</v>
      </c>
      <c r="K65" s="1927">
        <v>30</v>
      </c>
      <c r="L65" s="1927">
        <v>50</v>
      </c>
      <c r="M65" s="1929">
        <v>0.02</v>
      </c>
      <c r="O65" s="1882" t="s">
        <v>1036</v>
      </c>
      <c r="P65" s="1883" t="s">
        <v>1574</v>
      </c>
      <c r="Q65" s="1884">
        <f ca="1">C40+J29</f>
        <v>4117834</v>
      </c>
      <c r="R65" s="1884" t="s">
        <v>1523</v>
      </c>
    </row>
    <row r="66" spans="1:18" s="1840" customFormat="1" ht="16.5" thickBot="1">
      <c r="A66" s="1199" t="s">
        <v>1498</v>
      </c>
      <c r="B66" s="1167" t="s">
        <v>1433</v>
      </c>
      <c r="C66" s="23">
        <f ca="1">ROUND(C48*F66,0)</f>
        <v>0</v>
      </c>
      <c r="D66" s="1181" t="s">
        <v>1499</v>
      </c>
      <c r="E66" s="1167" t="s">
        <v>1416</v>
      </c>
      <c r="F66" s="356">
        <f t="shared" ca="1" si="0"/>
        <v>0.01</v>
      </c>
      <c r="O66" s="1882" t="s">
        <v>1037</v>
      </c>
      <c r="P66" s="1883" t="s">
        <v>1552</v>
      </c>
      <c r="Q66" s="1884">
        <f ca="1">L60</f>
        <v>0</v>
      </c>
      <c r="R66" s="1884" t="s">
        <v>1575</v>
      </c>
    </row>
    <row r="67" spans="1:18" s="1840" customFormat="1" ht="16.5" thickBot="1">
      <c r="A67" s="1174" t="s">
        <v>1027</v>
      </c>
      <c r="B67" s="1184" t="s">
        <v>1457</v>
      </c>
      <c r="C67" s="360">
        <f ca="1">C48-C58</f>
        <v>-85227</v>
      </c>
      <c r="D67" s="1180" t="s">
        <v>1458</v>
      </c>
      <c r="E67" s="1185"/>
      <c r="F67" s="1186"/>
      <c r="O67" s="1892" t="s">
        <v>1038</v>
      </c>
      <c r="P67" s="1883" t="s">
        <v>1556</v>
      </c>
      <c r="Q67" s="1930">
        <f ca="1">L51</f>
        <v>1767247</v>
      </c>
      <c r="R67" s="1884" t="s">
        <v>1576</v>
      </c>
    </row>
    <row r="68" spans="1:18" s="1840" customFormat="1" ht="16.5" thickBot="1">
      <c r="A68" s="1164" t="s">
        <v>1028</v>
      </c>
      <c r="B68" s="1165" t="s">
        <v>1479</v>
      </c>
      <c r="C68" s="345">
        <f ca="1">ROUND(C67*(1-((1+F70)/(1+F68))^F69)/(F68-F70),0)</f>
        <v>-2419749</v>
      </c>
      <c r="D68" s="1182" t="s">
        <v>1463</v>
      </c>
      <c r="E68" s="1167" t="s">
        <v>1464</v>
      </c>
      <c r="F68" s="356">
        <f ca="1">F40</f>
        <v>0.05</v>
      </c>
      <c r="O68" s="1892" t="s">
        <v>1039</v>
      </c>
      <c r="P68" s="1931" t="s">
        <v>1577</v>
      </c>
      <c r="Q68" s="1884">
        <f ca="1">ROUND(Q69-Q70*Q71,0)</f>
        <v>88793</v>
      </c>
      <c r="R68" s="1884" t="s">
        <v>1047</v>
      </c>
    </row>
    <row r="69" spans="1:18" s="1840" customFormat="1" ht="13.5" thickBot="1">
      <c r="A69" s="1168"/>
      <c r="B69" s="1169"/>
      <c r="C69" s="350"/>
      <c r="D69" s="1187" t="s">
        <v>1467</v>
      </c>
      <c r="E69" s="1167" t="s">
        <v>1468</v>
      </c>
      <c r="F69" s="378">
        <f ca="1">F41</f>
        <v>51.34</v>
      </c>
      <c r="O69" s="1892" t="s">
        <v>1044</v>
      </c>
      <c r="P69" s="1931" t="s">
        <v>1578</v>
      </c>
      <c r="Q69" s="1884">
        <f ca="1">C39</f>
        <v>145036</v>
      </c>
      <c r="R69" s="1884" t="s">
        <v>1523</v>
      </c>
    </row>
    <row r="70" spans="1:18" s="1840" customFormat="1" ht="13.5" thickBot="1">
      <c r="A70" s="1171"/>
      <c r="B70" s="1172"/>
      <c r="C70" s="354"/>
      <c r="D70" s="1183"/>
      <c r="E70" s="1167" t="s">
        <v>1471</v>
      </c>
      <c r="F70" s="1273">
        <f ca="1">F42</f>
        <v>2.5000000000000001E-2</v>
      </c>
      <c r="O70" s="1892" t="s">
        <v>1045</v>
      </c>
      <c r="P70" s="1931" t="s">
        <v>1579</v>
      </c>
      <c r="Q70" s="1884">
        <f ca="1">C13</f>
        <v>661678</v>
      </c>
      <c r="R70" s="1884" t="s">
        <v>1523</v>
      </c>
    </row>
    <row r="71" spans="1:18" s="1840" customFormat="1" ht="13.5" thickBot="1">
      <c r="A71" s="1188" t="s">
        <v>1029</v>
      </c>
      <c r="B71" s="1189" t="s">
        <v>1481</v>
      </c>
      <c r="C71" s="381">
        <f ca="1">ROUND(C68/F71,0)</f>
        <v>-16287</v>
      </c>
      <c r="D71" s="1190" t="s">
        <v>1482</v>
      </c>
      <c r="E71" s="1191" t="s">
        <v>1483</v>
      </c>
      <c r="F71" s="384">
        <f ca="1">F43</f>
        <v>148.57</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6"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5" t="s">
        <v>1500</v>
      </c>
      <c r="C75" s="386">
        <f ca="1">ROUND(C13*C76,0)</f>
        <v>56243</v>
      </c>
      <c r="D75" s="1840"/>
      <c r="E75" s="1840"/>
      <c r="F75" s="1840"/>
      <c r="K75" s="1866"/>
      <c r="L75" s="1840"/>
      <c r="O75" s="1882" t="s">
        <v>1042</v>
      </c>
      <c r="P75" s="1883" t="s">
        <v>1543</v>
      </c>
      <c r="Q75" s="1884">
        <f ca="1">Q65+Q66</f>
        <v>4117834</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f ca="1">1-C80</f>
        <v>0.61199999999999999</v>
      </c>
    </row>
    <row r="80" spans="1:18">
      <c r="B80" s="385" t="s">
        <v>1505</v>
      </c>
      <c r="C80" s="317">
        <f ca="1">ROUND(C75/C39,3)</f>
        <v>0.38800000000000001</v>
      </c>
    </row>
    <row r="81" spans="2:3">
      <c r="B81" s="313" t="s">
        <v>1506</v>
      </c>
      <c r="C81" s="281"/>
    </row>
    <row r="82" spans="2:3">
      <c r="B82" s="316" t="s">
        <v>1507</v>
      </c>
      <c r="C82" s="318">
        <f ca="1">1-C83</f>
        <v>0.83899999999999997</v>
      </c>
    </row>
    <row r="83" spans="2:3">
      <c r="B83" s="316" t="s">
        <v>1508</v>
      </c>
      <c r="C83" s="317">
        <f ca="1">ROUND(C13/C40,3)</f>
        <v>0.161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2518</v>
      </c>
      <c r="B1" s="2558"/>
      <c r="C1" s="2558"/>
      <c r="D1" s="2558"/>
      <c r="E1" s="2559"/>
    </row>
    <row r="2" spans="1:6" ht="15.75">
      <c r="A2" s="2560" t="s">
        <v>2319</v>
      </c>
      <c r="B2" s="2561">
        <f ca="1">SUMIF(B6:B13,"&lt;&gt;#ref!",B6:B13)</f>
        <v>4470</v>
      </c>
      <c r="C2" s="2562" t="s">
        <v>2511</v>
      </c>
      <c r="D2" s="2563" t="s">
        <v>2512</v>
      </c>
      <c r="E2" s="2564">
        <f>SUM(E6:E13)</f>
        <v>1191.7</v>
      </c>
    </row>
    <row r="3" spans="1:6" ht="15.75">
      <c r="A3" s="2560" t="s">
        <v>1389</v>
      </c>
      <c r="B3" s="2561">
        <f ca="1">ROUND(B2*10000/E2,0)</f>
        <v>37509</v>
      </c>
      <c r="C3" s="2562" t="s">
        <v>2519</v>
      </c>
      <c r="D3" s="2565"/>
      <c r="E3" s="2566"/>
    </row>
    <row r="4" spans="1:6" ht="15.75">
      <c r="A4" s="2567"/>
      <c r="B4" s="2565"/>
      <c r="C4" s="2565"/>
      <c r="D4" s="2565"/>
      <c r="E4" s="2566"/>
    </row>
    <row r="5" spans="1:6" ht="15">
      <c r="A5" s="2568" t="s">
        <v>2513</v>
      </c>
      <c r="B5" s="3250" t="s">
        <v>2514</v>
      </c>
      <c r="C5" s="3250"/>
      <c r="D5" s="2569"/>
      <c r="E5" s="2570" t="s">
        <v>2515</v>
      </c>
      <c r="F5" s="2571" t="s">
        <v>2516</v>
      </c>
    </row>
    <row r="6" spans="1:6">
      <c r="A6" s="2572" t="str">
        <f>'数据-取费表'!AN6</f>
        <v>收益法 (元)</v>
      </c>
      <c r="B6" s="2571">
        <f ca="1">IF(F6="是",'数据-取费表'!AO6,0)</f>
        <v>412</v>
      </c>
      <c r="C6" s="2562" t="s">
        <v>2511</v>
      </c>
      <c r="D6" s="2565"/>
      <c r="E6" s="2573">
        <f>IF(OR(A6=0,F6="否"),0,'数据-取费表'!K6+'数据-取费表'!S6)</f>
        <v>148.57</v>
      </c>
      <c r="F6" s="2574" t="s">
        <v>2517</v>
      </c>
    </row>
    <row r="7" spans="1:6">
      <c r="A7" s="2572" t="str">
        <f>'数据-取费表'!AN7</f>
        <v>收益法</v>
      </c>
      <c r="B7" s="2571">
        <f ca="1">IF(F7="是",'数据-取费表'!AO7,0)</f>
        <v>4058</v>
      </c>
      <c r="C7" s="2562" t="s">
        <v>2511</v>
      </c>
      <c r="D7" s="2565"/>
      <c r="E7" s="2573">
        <f>IF(OR(A7=0,F7="否"),0,'数据-取费表'!K7+'数据-取费表'!S7)</f>
        <v>1043.1300000000001</v>
      </c>
      <c r="F7" s="2574" t="s">
        <v>2517</v>
      </c>
    </row>
    <row r="8" spans="1:6">
      <c r="A8" s="2572">
        <f>'数据-取费表'!AN8</f>
        <v>0</v>
      </c>
      <c r="B8" s="2571" t="e">
        <f ca="1">IF(F8="是",'数据-取费表'!AO8,0)</f>
        <v>#REF!</v>
      </c>
      <c r="C8" s="2562" t="s">
        <v>2511</v>
      </c>
      <c r="D8" s="2565"/>
      <c r="E8" s="2573">
        <f>IF(OR(A8=0,F8="否"),0,'数据-取费表'!K8+'数据-取费表'!S8)</f>
        <v>0</v>
      </c>
      <c r="F8" s="2574" t="s">
        <v>2517</v>
      </c>
    </row>
    <row r="9" spans="1:6">
      <c r="A9" s="2572">
        <f>'数据-取费表'!AN9</f>
        <v>0</v>
      </c>
      <c r="B9" s="2571" t="e">
        <f ca="1">IF(F9="是",'数据-取费表'!AO9,0)</f>
        <v>#REF!</v>
      </c>
      <c r="C9" s="2562" t="s">
        <v>2511</v>
      </c>
      <c r="D9" s="2565"/>
      <c r="E9" s="2573">
        <f>IF(OR(A9=0,F9="否"),0,'数据-取费表'!K9+'数据-取费表'!S9)</f>
        <v>0</v>
      </c>
      <c r="F9" s="2574" t="s">
        <v>2517</v>
      </c>
    </row>
    <row r="10" spans="1:6">
      <c r="A10" s="2572">
        <f>'数据-取费表'!AN10</f>
        <v>0</v>
      </c>
      <c r="B10" s="2571" t="e">
        <f ca="1">IF(F10="是",'数据-取费表'!AO10,0)</f>
        <v>#REF!</v>
      </c>
      <c r="C10" s="2562" t="s">
        <v>2511</v>
      </c>
      <c r="D10" s="2565"/>
      <c r="E10" s="2573">
        <f>IF(OR(A10=0,F10="否"),0,'数据-取费表'!K10+'数据-取费表'!S10)</f>
        <v>0</v>
      </c>
      <c r="F10" s="2574" t="s">
        <v>2517</v>
      </c>
    </row>
    <row r="11" spans="1:6">
      <c r="A11" s="2572">
        <f>'数据-取费表'!AN11</f>
        <v>0</v>
      </c>
      <c r="B11" s="2571" t="e">
        <f ca="1">IF(F11="是",'数据-取费表'!AO11,0)</f>
        <v>#REF!</v>
      </c>
      <c r="C11" s="2562" t="s">
        <v>2511</v>
      </c>
      <c r="D11" s="2565"/>
      <c r="E11" s="2573">
        <f>IF(OR(A11=0,F11="否"),0,'数据-取费表'!K11+'数据-取费表'!S11)</f>
        <v>0</v>
      </c>
      <c r="F11" s="2574" t="s">
        <v>2517</v>
      </c>
    </row>
    <row r="12" spans="1:6">
      <c r="A12" s="2572">
        <f>'数据-取费表'!AN12</f>
        <v>0</v>
      </c>
      <c r="B12" s="2571" t="e">
        <f ca="1">IF(F12="是",'数据-取费表'!AO12,0)</f>
        <v>#REF!</v>
      </c>
      <c r="C12" s="2562" t="s">
        <v>2511</v>
      </c>
      <c r="D12" s="2565"/>
      <c r="E12" s="2573">
        <f>IF(OR(A12=0,F12="否"),0,'数据-取费表'!K12+'数据-取费表'!S12)</f>
        <v>0</v>
      </c>
      <c r="F12" s="2574" t="s">
        <v>2517</v>
      </c>
    </row>
    <row r="13" spans="1:6" ht="15" thickBot="1">
      <c r="A13" s="2575">
        <f>'数据-取费表'!AN13</f>
        <v>0</v>
      </c>
      <c r="B13" s="2571" t="e">
        <f ca="1">IF(F13="是",'数据-取费表'!AO13,0)</f>
        <v>#REF!</v>
      </c>
      <c r="C13" s="2576" t="s">
        <v>2511</v>
      </c>
      <c r="D13" s="2577"/>
      <c r="E13" s="2573">
        <f>IF(OR(A13=0,F13="否"),0,'数据-取费表'!K13+'数据-取费表'!S13)</f>
        <v>0</v>
      </c>
      <c r="F13" s="2574"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51" t="s">
        <v>1072</v>
      </c>
      <c r="B1" s="3252"/>
      <c r="C1" s="3253"/>
      <c r="D1" s="3254">
        <f>SUM(I10,I15,I20,I21,I23)</f>
        <v>0</v>
      </c>
      <c r="E1" s="3254"/>
      <c r="F1" s="3254"/>
      <c r="G1" s="3254"/>
      <c r="H1" s="3254"/>
      <c r="I1" s="3255"/>
    </row>
    <row r="2" spans="1:9">
      <c r="A2" s="3256" t="s">
        <v>1073</v>
      </c>
      <c r="B2" s="3257" t="s">
        <v>1074</v>
      </c>
      <c r="C2" s="3257"/>
      <c r="D2" s="1299" t="s">
        <v>1075</v>
      </c>
      <c r="E2" s="1299" t="s">
        <v>1076</v>
      </c>
      <c r="F2" s="1299" t="s">
        <v>1077</v>
      </c>
      <c r="G2" s="1299" t="s">
        <v>1078</v>
      </c>
      <c r="H2" s="1299" t="s">
        <v>1079</v>
      </c>
      <c r="I2" s="1300" t="s">
        <v>1080</v>
      </c>
    </row>
    <row r="3" spans="1:9">
      <c r="A3" s="3256"/>
      <c r="B3" s="3257" t="s">
        <v>1081</v>
      </c>
      <c r="C3" s="3257"/>
      <c r="D3" s="1301"/>
      <c r="E3" s="1299"/>
      <c r="F3" s="1302"/>
      <c r="G3" s="1302"/>
      <c r="H3" s="1303"/>
      <c r="I3" s="1304">
        <f>ROUND(D3*E3*F3*G3*H3/10000,0)</f>
        <v>0</v>
      </c>
    </row>
    <row r="4" spans="1:9">
      <c r="A4" s="3256"/>
      <c r="B4" s="3257" t="s">
        <v>1082</v>
      </c>
      <c r="C4" s="3257"/>
      <c r="D4" s="1301"/>
      <c r="E4" s="1299"/>
      <c r="F4" s="1302"/>
      <c r="G4" s="1302"/>
      <c r="H4" s="1303"/>
      <c r="I4" s="1304">
        <f t="shared" ref="I4:I9" si="0">ROUND(D4*E4*F4*G4*H4/10000,0)</f>
        <v>0</v>
      </c>
    </row>
    <row r="5" spans="1:9">
      <c r="A5" s="3256"/>
      <c r="B5" s="3257" t="s">
        <v>1083</v>
      </c>
      <c r="C5" s="3257"/>
      <c r="D5" s="1301"/>
      <c r="E5" s="1299"/>
      <c r="F5" s="1302"/>
      <c r="G5" s="1302"/>
      <c r="H5" s="1303"/>
      <c r="I5" s="1304">
        <f t="shared" si="0"/>
        <v>0</v>
      </c>
    </row>
    <row r="6" spans="1:9">
      <c r="A6" s="3256"/>
      <c r="B6" s="3257" t="s">
        <v>1084</v>
      </c>
      <c r="C6" s="3257"/>
      <c r="D6" s="1301"/>
      <c r="E6" s="1299"/>
      <c r="F6" s="1302"/>
      <c r="G6" s="1302"/>
      <c r="H6" s="1303"/>
      <c r="I6" s="1304">
        <f t="shared" si="0"/>
        <v>0</v>
      </c>
    </row>
    <row r="7" spans="1:9">
      <c r="A7" s="3256"/>
      <c r="B7" s="3257" t="s">
        <v>1085</v>
      </c>
      <c r="C7" s="3257"/>
      <c r="D7" s="1301"/>
      <c r="E7" s="1299"/>
      <c r="F7" s="1302"/>
      <c r="G7" s="1302"/>
      <c r="H7" s="1303"/>
      <c r="I7" s="1304">
        <f t="shared" si="0"/>
        <v>0</v>
      </c>
    </row>
    <row r="8" spans="1:9">
      <c r="A8" s="3256"/>
      <c r="B8" s="3257" t="s">
        <v>1086</v>
      </c>
      <c r="C8" s="3257"/>
      <c r="D8" s="1301"/>
      <c r="E8" s="1299"/>
      <c r="F8" s="1302"/>
      <c r="G8" s="1302"/>
      <c r="H8" s="1303"/>
      <c r="I8" s="1304">
        <f t="shared" si="0"/>
        <v>0</v>
      </c>
    </row>
    <row r="9" spans="1:9">
      <c r="A9" s="3256"/>
      <c r="B9" s="3257" t="s">
        <v>1087</v>
      </c>
      <c r="C9" s="3257"/>
      <c r="D9" s="1301"/>
      <c r="E9" s="1299"/>
      <c r="F9" s="1302"/>
      <c r="G9" s="1302"/>
      <c r="H9" s="1303"/>
      <c r="I9" s="1304">
        <f t="shared" si="0"/>
        <v>0</v>
      </c>
    </row>
    <row r="10" spans="1:9">
      <c r="A10" s="3256"/>
      <c r="B10" s="3258" t="s">
        <v>1088</v>
      </c>
      <c r="C10" s="3258"/>
      <c r="D10" s="1305"/>
      <c r="E10" s="1305" t="e">
        <f>ROUND(D1*10000/D10/H9,0)</f>
        <v>#DIV/0!</v>
      </c>
      <c r="F10" s="1306"/>
      <c r="G10" s="1306"/>
      <c r="H10" s="1307"/>
      <c r="I10" s="1308">
        <f>SUM(I3:I9)</f>
        <v>0</v>
      </c>
    </row>
    <row r="11" spans="1:9" ht="14.25">
      <c r="A11" s="3256" t="s">
        <v>1089</v>
      </c>
      <c r="B11" s="3257" t="s">
        <v>1090</v>
      </c>
      <c r="C11" s="3257"/>
      <c r="D11" s="1301" t="s">
        <v>1091</v>
      </c>
      <c r="E11" s="1301" t="s">
        <v>1092</v>
      </c>
      <c r="F11" s="1302" t="s">
        <v>1093</v>
      </c>
      <c r="G11" s="1302" t="s">
        <v>1079</v>
      </c>
      <c r="H11" s="1309" t="s">
        <v>1094</v>
      </c>
      <c r="I11" s="1300" t="s">
        <v>1080</v>
      </c>
    </row>
    <row r="12" spans="1:9">
      <c r="A12" s="3256"/>
      <c r="B12" s="3257" t="s">
        <v>1095</v>
      </c>
      <c r="C12" s="3257"/>
      <c r="D12" s="1301"/>
      <c r="E12" s="1301"/>
      <c r="F12" s="1302"/>
      <c r="G12" s="1303"/>
      <c r="H12" s="1310"/>
      <c r="I12" s="1300">
        <f>ROUND(D12*E12*F12*G12/10000,0)</f>
        <v>0</v>
      </c>
    </row>
    <row r="13" spans="1:9">
      <c r="A13" s="3256"/>
      <c r="B13" s="3257" t="s">
        <v>1096</v>
      </c>
      <c r="C13" s="3257"/>
      <c r="D13" s="1301"/>
      <c r="E13" s="1301"/>
      <c r="F13" s="1302"/>
      <c r="G13" s="1303"/>
      <c r="H13" s="1310"/>
      <c r="I13" s="1300">
        <f>ROUND(D13*E13*F13*G13/10000,0)</f>
        <v>0</v>
      </c>
    </row>
    <row r="14" spans="1:9">
      <c r="A14" s="3256"/>
      <c r="B14" s="3257" t="s">
        <v>1097</v>
      </c>
      <c r="C14" s="3257"/>
      <c r="D14" s="1301"/>
      <c r="E14" s="1301"/>
      <c r="F14" s="1302"/>
      <c r="G14" s="1303"/>
      <c r="H14" s="1310"/>
      <c r="I14" s="1300">
        <f>ROUND(D14*E14*F14*G14/10000,0)</f>
        <v>0</v>
      </c>
    </row>
    <row r="15" spans="1:9">
      <c r="A15" s="3256"/>
      <c r="B15" s="3258" t="s">
        <v>1088</v>
      </c>
      <c r="C15" s="3258"/>
      <c r="D15" s="1305"/>
      <c r="E15" s="1305">
        <f>SUM(E12:E14)</f>
        <v>0</v>
      </c>
      <c r="F15" s="1306"/>
      <c r="G15" s="1303"/>
      <c r="H15" s="1310"/>
      <c r="I15" s="1311">
        <f>SUM(I12:I14)</f>
        <v>0</v>
      </c>
    </row>
    <row r="16" spans="1:9" ht="24">
      <c r="A16" s="3256" t="s">
        <v>1098</v>
      </c>
      <c r="B16" s="3257" t="s">
        <v>1099</v>
      </c>
      <c r="C16" s="3257"/>
      <c r="D16" s="1301" t="s">
        <v>1075</v>
      </c>
      <c r="E16" s="1312" t="s">
        <v>1100</v>
      </c>
      <c r="F16" s="1302" t="s">
        <v>1101</v>
      </c>
      <c r="G16" s="1303" t="s">
        <v>1079</v>
      </c>
      <c r="H16" s="1309" t="s">
        <v>1094</v>
      </c>
      <c r="I16" s="1300" t="s">
        <v>1080</v>
      </c>
    </row>
    <row r="17" spans="1:9" ht="14.25">
      <c r="A17" s="3256"/>
      <c r="B17" s="3257" t="s">
        <v>1102</v>
      </c>
      <c r="C17" s="3257"/>
      <c r="D17" s="1301"/>
      <c r="E17" s="1301"/>
      <c r="F17" s="1302"/>
      <c r="G17" s="1303"/>
      <c r="H17" s="1313"/>
      <c r="I17" s="1314">
        <f>ROUND(D17*E17*F17*G17/10000,0)</f>
        <v>0</v>
      </c>
    </row>
    <row r="18" spans="1:9" ht="14.25">
      <c r="A18" s="3256"/>
      <c r="B18" s="3257" t="s">
        <v>1103</v>
      </c>
      <c r="C18" s="3257"/>
      <c r="D18" s="1301"/>
      <c r="E18" s="1301"/>
      <c r="F18" s="1302"/>
      <c r="G18" s="1303"/>
      <c r="H18" s="1313"/>
      <c r="I18" s="1314">
        <f>ROUND(D18*E18*F18*G18/10000,0)</f>
        <v>0</v>
      </c>
    </row>
    <row r="19" spans="1:9" ht="14.25">
      <c r="A19" s="3256"/>
      <c r="B19" s="3257" t="s">
        <v>1104</v>
      </c>
      <c r="C19" s="3257"/>
      <c r="D19" s="1301"/>
      <c r="E19" s="1301"/>
      <c r="F19" s="1302"/>
      <c r="G19" s="1303"/>
      <c r="H19" s="1313"/>
      <c r="I19" s="1314">
        <f>ROUND(D19*E19*F19*G19/10000,0)</f>
        <v>0</v>
      </c>
    </row>
    <row r="20" spans="1:9">
      <c r="A20" s="3256"/>
      <c r="B20" s="3258" t="s">
        <v>1088</v>
      </c>
      <c r="C20" s="3258"/>
      <c r="D20" s="1305">
        <f>SUM(D17:D19)</f>
        <v>0</v>
      </c>
      <c r="E20" s="1305"/>
      <c r="F20" s="1306"/>
      <c r="G20" s="1303"/>
      <c r="H20" s="1310"/>
      <c r="I20" s="1311">
        <f>SUM(I17:I19)</f>
        <v>0</v>
      </c>
    </row>
    <row r="21" spans="1:9">
      <c r="A21" s="3256" t="s">
        <v>1105</v>
      </c>
      <c r="B21" s="3260"/>
      <c r="C21" s="3260"/>
      <c r="D21" s="3260"/>
      <c r="E21" s="3260"/>
      <c r="F21" s="3260"/>
      <c r="G21" s="3260"/>
      <c r="H21" s="1763">
        <v>0.1</v>
      </c>
      <c r="I21" s="1308">
        <f>ROUND(I10*H21,0)</f>
        <v>0</v>
      </c>
    </row>
    <row r="22" spans="1:9" ht="14.25">
      <c r="A22" s="3261" t="s">
        <v>1106</v>
      </c>
      <c r="B22" s="3262"/>
      <c r="C22" s="3263"/>
      <c r="D22" s="1315" t="s">
        <v>1107</v>
      </c>
      <c r="E22" s="1315" t="s">
        <v>1108</v>
      </c>
      <c r="F22" s="1316" t="s">
        <v>1109</v>
      </c>
      <c r="G22" s="1316" t="s">
        <v>1110</v>
      </c>
      <c r="H22" s="1309" t="s">
        <v>1111</v>
      </c>
      <c r="I22" s="1300" t="s">
        <v>1112</v>
      </c>
    </row>
    <row r="23" spans="1:9" ht="14.25" thickBot="1">
      <c r="A23" s="3264"/>
      <c r="B23" s="3265"/>
      <c r="C23" s="3266"/>
      <c r="D23" s="1317"/>
      <c r="E23" s="1317"/>
      <c r="F23" s="1317"/>
      <c r="G23" s="1318"/>
      <c r="H23" s="1319"/>
      <c r="I23" s="1320">
        <f>ROUND(E23*D23*F23*(1-G23)/10000,0)</f>
        <v>0</v>
      </c>
    </row>
    <row r="26" spans="1:9">
      <c r="A26" s="1321" t="s">
        <v>1113</v>
      </c>
      <c r="B26" s="1321"/>
      <c r="C26" s="1321"/>
      <c r="D26" s="1321"/>
      <c r="E26" s="3267">
        <f>C27-C30-C31-C32</f>
        <v>0</v>
      </c>
      <c r="F26" s="3267"/>
      <c r="G26" s="3267"/>
      <c r="H26" s="1735" t="s">
        <v>1335</v>
      </c>
    </row>
    <row r="27" spans="1:9">
      <c r="A27" s="1322">
        <v>1</v>
      </c>
      <c r="B27" s="1323" t="s">
        <v>1114</v>
      </c>
      <c r="C27" s="1323">
        <f>C28+C29</f>
        <v>0</v>
      </c>
      <c r="D27" s="1323"/>
      <c r="E27" s="3268"/>
      <c r="F27" s="3268"/>
      <c r="G27" s="3268"/>
    </row>
    <row r="28" spans="1:9">
      <c r="A28" s="1324" t="s">
        <v>1115</v>
      </c>
      <c r="B28" s="1323" t="s">
        <v>1116</v>
      </c>
      <c r="C28" s="1323"/>
      <c r="D28" s="1323"/>
      <c r="E28" s="3268"/>
      <c r="F28" s="3268"/>
      <c r="G28" s="3268"/>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59"/>
      <c r="F32" s="3259"/>
      <c r="G32" s="3259"/>
    </row>
    <row r="33" spans="1:7" hidden="1">
      <c r="A33" s="3269" t="s">
        <v>1125</v>
      </c>
      <c r="B33" s="3270"/>
      <c r="C33" s="3270"/>
      <c r="D33" s="3271"/>
      <c r="E33" s="3267"/>
      <c r="F33" s="3267"/>
      <c r="G33" s="3267"/>
    </row>
    <row r="34" spans="1:7" hidden="1">
      <c r="A34" s="1326">
        <v>1</v>
      </c>
      <c r="B34" s="1323" t="s">
        <v>1126</v>
      </c>
      <c r="C34" s="1323"/>
      <c r="D34" s="1323"/>
      <c r="E34" s="3268"/>
      <c r="F34" s="3268"/>
      <c r="G34" s="3268"/>
    </row>
    <row r="35" spans="1:7" hidden="1">
      <c r="A35" s="1326">
        <v>2</v>
      </c>
      <c r="B35" s="1323" t="s">
        <v>1127</v>
      </c>
      <c r="C35" s="1323"/>
      <c r="D35" s="1323"/>
      <c r="E35" s="3268"/>
      <c r="F35" s="3268"/>
      <c r="G35" s="3268"/>
    </row>
    <row r="36" spans="1:7" hidden="1">
      <c r="A36" s="1326">
        <v>3</v>
      </c>
      <c r="B36" s="1323" t="s">
        <v>1128</v>
      </c>
      <c r="C36" s="1323"/>
      <c r="D36" s="1323"/>
      <c r="E36" s="3268"/>
      <c r="F36" s="3268"/>
      <c r="G36" s="3268"/>
    </row>
    <row r="37" spans="1:7" hidden="1">
      <c r="A37" s="1326">
        <v>4</v>
      </c>
      <c r="B37" s="1323" t="s">
        <v>1129</v>
      </c>
      <c r="C37" s="1323"/>
      <c r="D37" s="1323"/>
      <c r="E37" s="3268"/>
      <c r="F37" s="3268"/>
      <c r="G37" s="3268"/>
    </row>
    <row r="38" spans="1:7" hidden="1">
      <c r="A38" s="3269" t="s">
        <v>1130</v>
      </c>
      <c r="B38" s="3270"/>
      <c r="C38" s="3270"/>
      <c r="D38" s="3271"/>
      <c r="E38" s="3267"/>
      <c r="F38" s="3267"/>
      <c r="G38" s="32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80" zoomScaleNormal="80" workbookViewId="0">
      <selection activeCell="D28" sqref="D2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78" t="s">
        <v>2521</v>
      </c>
      <c r="C1" s="1632" t="s">
        <v>2522</v>
      </c>
      <c r="D1" s="1619" t="s">
        <v>3077</v>
      </c>
      <c r="E1" s="2579"/>
      <c r="F1" s="2580" t="s">
        <v>2523</v>
      </c>
      <c r="G1" s="1629" t="s">
        <v>2524</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1388</v>
      </c>
      <c r="B2" s="1416">
        <f>IF(C2="——",ROUND(C49*D3/10000,0),ROUND(C49*D3/10000,0)-D2)</f>
        <v>1033</v>
      </c>
      <c r="C2" s="2582" t="s">
        <v>70</v>
      </c>
      <c r="D2" s="1363" t="e">
        <f ca="1">SUMIF(INDIRECT("'"&amp;F2&amp;"'"&amp;"!A:A"),"承租人权益价值",INDIRECT("'"&amp;F2&amp;"'"&amp;"!c:c"))</f>
        <v>#REF!</v>
      </c>
      <c r="E2" s="2583" t="s">
        <v>2525</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1389</v>
      </c>
      <c r="B3" s="398">
        <f>IF(C2="——",C49,ROUND(B2*10000/D3,0))</f>
        <v>69536</v>
      </c>
      <c r="C3" s="399" t="s">
        <v>2526</v>
      </c>
      <c r="D3" s="398">
        <f>IF(D1="",'数据-汇总表'!E3,SUMIF('数据-汇总表'!$C19:$C33,D1,'数据-汇总表'!$E19:$E33))</f>
        <v>148.57</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2527</v>
      </c>
      <c r="B4" s="401"/>
      <c r="C4" s="3290" t="s">
        <v>2528</v>
      </c>
      <c r="D4" s="3291"/>
      <c r="E4" s="3292" t="s">
        <v>2529</v>
      </c>
      <c r="F4" s="3293"/>
      <c r="G4" s="3290" t="s">
        <v>2530</v>
      </c>
      <c r="H4" s="3291"/>
      <c r="I4" s="3290" t="s">
        <v>2531</v>
      </c>
      <c r="J4" s="3291"/>
      <c r="K4" s="2592" t="s">
        <v>2532</v>
      </c>
      <c r="L4" s="1128"/>
      <c r="M4" s="1129"/>
      <c r="N4" s="1129"/>
      <c r="O4" s="1129"/>
      <c r="P4" s="3294" t="s">
        <v>2533</v>
      </c>
      <c r="Q4" s="3295"/>
      <c r="R4" s="3277" t="s">
        <v>2529</v>
      </c>
      <c r="S4" s="3278"/>
      <c r="T4" s="3277" t="s">
        <v>2530</v>
      </c>
      <c r="U4" s="3278"/>
      <c r="V4" s="3302" t="s">
        <v>2531</v>
      </c>
      <c r="W4" s="3302"/>
      <c r="X4" s="1811"/>
      <c r="Y4" s="3277" t="s">
        <v>2533</v>
      </c>
      <c r="Z4" s="3278"/>
      <c r="AA4" s="3272" t="s">
        <v>2529</v>
      </c>
      <c r="AB4" s="3272" t="s">
        <v>2530</v>
      </c>
      <c r="AC4" s="3272" t="s">
        <v>2531</v>
      </c>
    </row>
    <row r="5" spans="1:29" ht="15">
      <c r="A5" s="403"/>
      <c r="B5" s="404"/>
      <c r="C5" s="3283" t="s">
        <v>3170</v>
      </c>
      <c r="D5" s="3284"/>
      <c r="E5" s="3379" t="s">
        <v>3171</v>
      </c>
      <c r="F5" s="3380"/>
      <c r="G5" s="3381" t="s">
        <v>3171</v>
      </c>
      <c r="H5" s="3382"/>
      <c r="I5" s="3381" t="s">
        <v>3171</v>
      </c>
      <c r="J5" s="3382"/>
      <c r="K5" s="2593"/>
      <c r="L5" s="1128"/>
      <c r="M5" s="1129"/>
      <c r="N5" s="1129"/>
      <c r="O5" s="1129"/>
      <c r="P5" s="3296"/>
      <c r="Q5" s="3297"/>
      <c r="R5" s="3279"/>
      <c r="S5" s="3280"/>
      <c r="T5" s="3279"/>
      <c r="U5" s="3280"/>
      <c r="V5" s="3302"/>
      <c r="W5" s="3302"/>
      <c r="X5" s="1811"/>
      <c r="Y5" s="3279"/>
      <c r="Z5" s="3280"/>
      <c r="AA5" s="3273"/>
      <c r="AB5" s="3273"/>
      <c r="AC5" s="3273"/>
    </row>
    <row r="6" spans="1:29" ht="15.75" thickBot="1">
      <c r="A6" s="405"/>
      <c r="B6" s="406"/>
      <c r="C6" s="3285" t="s">
        <v>2538</v>
      </c>
      <c r="D6" s="3286"/>
      <c r="E6" s="3287" t="s">
        <v>2538</v>
      </c>
      <c r="F6" s="3288"/>
      <c r="G6" s="3285" t="s">
        <v>2538</v>
      </c>
      <c r="H6" s="3286"/>
      <c r="I6" s="3285" t="s">
        <v>2538</v>
      </c>
      <c r="J6" s="3286"/>
      <c r="K6" s="2593" t="s">
        <v>2539</v>
      </c>
      <c r="L6" s="1128"/>
      <c r="M6" s="1129"/>
      <c r="N6" s="1129"/>
      <c r="O6" s="1129"/>
      <c r="P6" s="3298"/>
      <c r="Q6" s="3299"/>
      <c r="R6" s="3279"/>
      <c r="S6" s="3280"/>
      <c r="T6" s="3300"/>
      <c r="U6" s="3301"/>
      <c r="V6" s="3302"/>
      <c r="W6" s="3302"/>
      <c r="X6" s="1811"/>
      <c r="Y6" s="3300"/>
      <c r="Z6" s="3301"/>
      <c r="AA6" s="3274"/>
      <c r="AB6" s="3274"/>
      <c r="AC6" s="3274"/>
    </row>
    <row r="7" spans="1:29" s="116" customFormat="1" ht="15.75" thickBot="1">
      <c r="A7" s="407" t="s">
        <v>2540</v>
      </c>
      <c r="B7" s="408"/>
      <c r="C7" s="409">
        <f>'数据-取费表'!B2</f>
        <v>43969</v>
      </c>
      <c r="D7" s="410">
        <v>100</v>
      </c>
      <c r="E7" s="411">
        <v>43832</v>
      </c>
      <c r="F7" s="412">
        <f>SUMIF(58:58,YEAR(E7)&amp;"-"&amp;MONTH(E7),59:59)</f>
        <v>100</v>
      </c>
      <c r="G7" s="411">
        <v>43673</v>
      </c>
      <c r="H7" s="410">
        <f>SUMIF(58:58,YEAR(G7)&amp;"-"&amp;MONTH(G7),59:59)</f>
        <v>100</v>
      </c>
      <c r="I7" s="411">
        <v>43666</v>
      </c>
      <c r="J7" s="410">
        <f>SUMIF(58:58,YEAR(I7)&amp;"-"&amp;MONTH(I7),59:59)</f>
        <v>100</v>
      </c>
      <c r="K7" s="2594"/>
      <c r="L7" s="1130"/>
      <c r="M7" s="1131"/>
      <c r="N7" s="1131"/>
      <c r="O7" s="1131"/>
      <c r="P7" s="3275" t="s">
        <v>2541</v>
      </c>
      <c r="Q7" s="3303"/>
      <c r="R7" s="768" t="s">
        <v>23</v>
      </c>
      <c r="S7" s="769">
        <f t="shared" ref="S7:S15" si="0">F7</f>
        <v>100</v>
      </c>
      <c r="T7" s="768" t="s">
        <v>23</v>
      </c>
      <c r="U7" s="769">
        <f t="shared" ref="U7:U15" si="1">H7</f>
        <v>100</v>
      </c>
      <c r="V7" s="768" t="s">
        <v>23</v>
      </c>
      <c r="W7" s="769">
        <f t="shared" ref="W7:W15" si="2">J7</f>
        <v>100</v>
      </c>
      <c r="X7" s="770"/>
      <c r="Y7" s="3275" t="s">
        <v>2541</v>
      </c>
      <c r="Z7" s="3276"/>
      <c r="AA7" s="771">
        <f>D7/F7</f>
        <v>1</v>
      </c>
      <c r="AB7" s="771">
        <f>D7/H7</f>
        <v>1</v>
      </c>
      <c r="AC7" s="771">
        <f>D7/J7</f>
        <v>1</v>
      </c>
    </row>
    <row r="8" spans="1:29" s="116" customFormat="1" ht="15.75" thickBot="1">
      <c r="A8" s="407" t="s">
        <v>2542</v>
      </c>
      <c r="B8" s="408"/>
      <c r="C8" s="413" t="s">
        <v>2543</v>
      </c>
      <c r="D8" s="410">
        <v>100</v>
      </c>
      <c r="E8" s="2595" t="s">
        <v>3168</v>
      </c>
      <c r="F8" s="412">
        <f>SUMIF(61:61,E8,62:62)-SUMIF(61:61,C8,62:62)+100</f>
        <v>100</v>
      </c>
      <c r="G8" s="2595" t="s">
        <v>3168</v>
      </c>
      <c r="H8" s="410">
        <f>SUMIF(61:61,G8,62:62)-SUMIF(61:61,C8,62:62)+100</f>
        <v>100</v>
      </c>
      <c r="I8" s="2595" t="s">
        <v>3168</v>
      </c>
      <c r="J8" s="410">
        <f>SUMIF(61:61,I8,62:62)-SUMIF(61:61,C8,62:62)+100</f>
        <v>100</v>
      </c>
      <c r="K8" s="2594"/>
      <c r="L8" s="1130"/>
      <c r="M8" s="1131"/>
      <c r="N8" s="1131"/>
      <c r="O8" s="1131"/>
      <c r="P8" s="3275" t="s">
        <v>2544</v>
      </c>
      <c r="Q8" s="3276"/>
      <c r="R8" s="768" t="s">
        <v>23</v>
      </c>
      <c r="S8" s="769">
        <f t="shared" si="0"/>
        <v>100</v>
      </c>
      <c r="T8" s="768" t="s">
        <v>23</v>
      </c>
      <c r="U8" s="769">
        <f t="shared" si="1"/>
        <v>100</v>
      </c>
      <c r="V8" s="768" t="s">
        <v>23</v>
      </c>
      <c r="W8" s="769">
        <f t="shared" si="2"/>
        <v>100</v>
      </c>
      <c r="X8" s="770"/>
      <c r="Y8" s="3275" t="s">
        <v>2544</v>
      </c>
      <c r="Z8" s="3276"/>
      <c r="AA8" s="771">
        <f t="shared" ref="AA8:AA19" si="3">D8/F8</f>
        <v>1</v>
      </c>
      <c r="AB8" s="771">
        <f t="shared" ref="AB8:AB19" si="4">D8/H8</f>
        <v>1</v>
      </c>
      <c r="AC8" s="771">
        <f t="shared" ref="AC8:AC19" si="5">D8/J8</f>
        <v>1</v>
      </c>
    </row>
    <row r="9" spans="1:29" s="116" customFormat="1">
      <c r="A9" s="414" t="s">
        <v>2545</v>
      </c>
      <c r="B9" s="70" t="s">
        <v>2546</v>
      </c>
      <c r="C9" s="2972" t="s">
        <v>3169</v>
      </c>
      <c r="D9" s="134">
        <v>100</v>
      </c>
      <c r="E9" s="416" t="s">
        <v>3077</v>
      </c>
      <c r="F9" s="417">
        <f>SUMIF(63:63,E9,64:64)-SUMIF(63:63,C9,64:64)+100</f>
        <v>100</v>
      </c>
      <c r="G9" s="416" t="s">
        <v>3077</v>
      </c>
      <c r="H9" s="134">
        <f>SUMIF(63:63,G9,64:64)-SUMIF(63:63,C9,64:64)+100</f>
        <v>100</v>
      </c>
      <c r="I9" s="416" t="s">
        <v>3077</v>
      </c>
      <c r="J9" s="134">
        <f>SUMIF(63:63,I9,64:64)-SUMIF(63:63,C9,64:64)+100</f>
        <v>100</v>
      </c>
      <c r="K9" s="2594"/>
      <c r="L9" s="1130"/>
      <c r="M9" s="1131"/>
      <c r="N9" s="1131"/>
      <c r="O9" s="1131"/>
      <c r="P9" s="3289" t="s">
        <v>2547</v>
      </c>
      <c r="Q9" s="1793" t="str">
        <f t="shared" ref="Q9:Q15" si="6">B9</f>
        <v>用途</v>
      </c>
      <c r="R9" s="768" t="s">
        <v>17</v>
      </c>
      <c r="S9" s="769">
        <f t="shared" si="0"/>
        <v>100</v>
      </c>
      <c r="T9" s="768" t="s">
        <v>17</v>
      </c>
      <c r="U9" s="769">
        <f t="shared" si="1"/>
        <v>100</v>
      </c>
      <c r="V9" s="768" t="s">
        <v>17</v>
      </c>
      <c r="W9" s="769">
        <f t="shared" si="2"/>
        <v>100</v>
      </c>
      <c r="X9" s="770"/>
      <c r="Y9" s="3099" t="s">
        <v>2548</v>
      </c>
      <c r="Z9" s="54" t="str">
        <f t="shared" ref="Z9:Z15" si="7">Q9</f>
        <v>用途</v>
      </c>
      <c r="AA9" s="771">
        <f t="shared" si="3"/>
        <v>1</v>
      </c>
      <c r="AB9" s="771">
        <f t="shared" si="4"/>
        <v>1</v>
      </c>
      <c r="AC9" s="771">
        <f t="shared" si="5"/>
        <v>1</v>
      </c>
    </row>
    <row r="10" spans="1:29" s="426" customFormat="1" ht="27">
      <c r="A10" s="420"/>
      <c r="B10" s="421" t="s">
        <v>2549</v>
      </c>
      <c r="C10" s="422" t="s">
        <v>3172</v>
      </c>
      <c r="D10" s="135">
        <v>100</v>
      </c>
      <c r="E10" s="422" t="s">
        <v>3172</v>
      </c>
      <c r="F10" s="424">
        <f>SUMIF(65:65,E10,66:66)-SUMIF(65:65,C10,66:66)+100</f>
        <v>100</v>
      </c>
      <c r="G10" s="422" t="s">
        <v>3172</v>
      </c>
      <c r="H10" s="135">
        <f>SUMIF(65:65,G10,66:66)-SUMIF(65:65,C10,66:66)+100</f>
        <v>100</v>
      </c>
      <c r="I10" s="422" t="s">
        <v>3172</v>
      </c>
      <c r="J10" s="135">
        <f>SUMIF(65:65,I10,66:66)-SUMIF(65:65,C10,66:66)+100</f>
        <v>100</v>
      </c>
      <c r="K10" s="425">
        <v>2</v>
      </c>
      <c r="L10" s="1133"/>
      <c r="M10" s="1134"/>
      <c r="N10" s="1134"/>
      <c r="O10" s="1134"/>
      <c r="P10" s="3289"/>
      <c r="Q10" s="1793" t="str">
        <f t="shared" si="6"/>
        <v>土地使用年限（年）</v>
      </c>
      <c r="R10" s="768" t="s">
        <v>17</v>
      </c>
      <c r="S10" s="769">
        <f t="shared" si="0"/>
        <v>100</v>
      </c>
      <c r="T10" s="768" t="s">
        <v>17</v>
      </c>
      <c r="U10" s="769">
        <f t="shared" si="1"/>
        <v>100</v>
      </c>
      <c r="V10" s="768" t="s">
        <v>17</v>
      </c>
      <c r="W10" s="769">
        <f t="shared" si="2"/>
        <v>100</v>
      </c>
      <c r="X10" s="770"/>
      <c r="Y10" s="3099"/>
      <c r="Z10" s="54" t="str">
        <f t="shared" si="7"/>
        <v>土地使用年限（年）</v>
      </c>
      <c r="AA10" s="771">
        <f t="shared" si="3"/>
        <v>1</v>
      </c>
      <c r="AB10" s="771">
        <f t="shared" si="4"/>
        <v>1</v>
      </c>
      <c r="AC10" s="771">
        <f t="shared" si="5"/>
        <v>1</v>
      </c>
    </row>
    <row r="11" spans="1:29" ht="15">
      <c r="A11" s="427"/>
      <c r="B11" s="421" t="s">
        <v>2550</v>
      </c>
      <c r="C11" s="428">
        <v>2.2000000000000002</v>
      </c>
      <c r="D11" s="135">
        <v>100</v>
      </c>
      <c r="E11" s="429">
        <v>2.2000000000000002</v>
      </c>
      <c r="F11" s="424">
        <f>LOOKUP(E11,68:68,69:69)-LOOKUP(C11,68:68,69:69)+100</f>
        <v>100</v>
      </c>
      <c r="G11" s="428">
        <v>2.2000000000000002</v>
      </c>
      <c r="H11" s="135">
        <f>LOOKUP(G11,68:68,69:69)-LOOKUP(C11,68:68,69:69)+100</f>
        <v>100</v>
      </c>
      <c r="I11" s="428">
        <v>2.2000000000000002</v>
      </c>
      <c r="J11" s="135">
        <f>LOOKUP(I11,68:68,69:69)-LOOKUP(C11,68:68,69:69)+100</f>
        <v>100</v>
      </c>
      <c r="K11" s="425">
        <v>1</v>
      </c>
      <c r="L11" s="1136"/>
      <c r="M11" s="1129"/>
      <c r="N11" s="1129"/>
      <c r="O11" s="1129"/>
      <c r="P11" s="3289"/>
      <c r="Q11" s="1793" t="str">
        <f t="shared" si="6"/>
        <v>容积率</v>
      </c>
      <c r="R11" s="768" t="s">
        <v>21</v>
      </c>
      <c r="S11" s="769">
        <f t="shared" si="0"/>
        <v>100</v>
      </c>
      <c r="T11" s="768" t="s">
        <v>21</v>
      </c>
      <c r="U11" s="769">
        <f t="shared" si="1"/>
        <v>100</v>
      </c>
      <c r="V11" s="768" t="s">
        <v>21</v>
      </c>
      <c r="W11" s="769">
        <f t="shared" si="2"/>
        <v>100</v>
      </c>
      <c r="X11" s="770"/>
      <c r="Y11" s="3099"/>
      <c r="Z11" s="54" t="str">
        <f t="shared" si="7"/>
        <v>容积率</v>
      </c>
      <c r="AA11" s="771">
        <f t="shared" si="3"/>
        <v>1</v>
      </c>
      <c r="AB11" s="771">
        <f t="shared" si="4"/>
        <v>1</v>
      </c>
      <c r="AC11" s="771">
        <f t="shared" si="5"/>
        <v>1</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89"/>
      <c r="Q12" s="1793">
        <f t="shared" si="6"/>
        <v>111</v>
      </c>
      <c r="R12" s="768" t="s">
        <v>21</v>
      </c>
      <c r="S12" s="769">
        <f t="shared" si="0"/>
        <v>100</v>
      </c>
      <c r="T12" s="768" t="s">
        <v>21</v>
      </c>
      <c r="U12" s="769">
        <f t="shared" si="1"/>
        <v>100</v>
      </c>
      <c r="V12" s="768" t="s">
        <v>21</v>
      </c>
      <c r="W12" s="769">
        <f t="shared" si="2"/>
        <v>100</v>
      </c>
      <c r="X12" s="770"/>
      <c r="Y12" s="3099"/>
      <c r="Z12" s="54">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89"/>
      <c r="Q13" s="1793">
        <f t="shared" si="6"/>
        <v>111</v>
      </c>
      <c r="R13" s="768" t="s">
        <v>21</v>
      </c>
      <c r="S13" s="769">
        <f t="shared" si="0"/>
        <v>100</v>
      </c>
      <c r="T13" s="768" t="s">
        <v>21</v>
      </c>
      <c r="U13" s="769">
        <f t="shared" si="1"/>
        <v>100</v>
      </c>
      <c r="V13" s="768" t="s">
        <v>21</v>
      </c>
      <c r="W13" s="769">
        <f t="shared" si="2"/>
        <v>100</v>
      </c>
      <c r="X13" s="770"/>
      <c r="Y13" s="3099"/>
      <c r="Z13" s="54">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89"/>
      <c r="Q14" s="1793">
        <f t="shared" si="6"/>
        <v>111</v>
      </c>
      <c r="R14" s="768" t="s">
        <v>21</v>
      </c>
      <c r="S14" s="769">
        <f t="shared" si="0"/>
        <v>100</v>
      </c>
      <c r="T14" s="768" t="s">
        <v>21</v>
      </c>
      <c r="U14" s="769">
        <f t="shared" si="1"/>
        <v>100</v>
      </c>
      <c r="V14" s="768" t="s">
        <v>21</v>
      </c>
      <c r="W14" s="769">
        <f t="shared" si="2"/>
        <v>100</v>
      </c>
      <c r="X14" s="770"/>
      <c r="Y14" s="3099"/>
      <c r="Z14" s="54">
        <f t="shared" si="7"/>
        <v>111</v>
      </c>
      <c r="AA14" s="771">
        <f t="shared" si="3"/>
        <v>1</v>
      </c>
      <c r="AB14" s="771">
        <f t="shared" si="4"/>
        <v>1</v>
      </c>
      <c r="AC14" s="771">
        <f t="shared" si="5"/>
        <v>1</v>
      </c>
    </row>
    <row r="15" spans="1:29" ht="15">
      <c r="A15" s="439" t="s">
        <v>2551</v>
      </c>
      <c r="B15" s="68" t="s">
        <v>2079</v>
      </c>
      <c r="C15" s="2599"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316" t="s">
        <v>2552</v>
      </c>
      <c r="Q15" s="1808" t="str">
        <f t="shared" si="6"/>
        <v>居住社区成熟度</v>
      </c>
      <c r="R15" s="772" t="s">
        <v>21</v>
      </c>
      <c r="S15" s="773">
        <f t="shared" si="0"/>
        <v>100</v>
      </c>
      <c r="T15" s="772" t="s">
        <v>21</v>
      </c>
      <c r="U15" s="773">
        <f t="shared" si="1"/>
        <v>100</v>
      </c>
      <c r="V15" s="772" t="s">
        <v>21</v>
      </c>
      <c r="W15" s="773">
        <f t="shared" si="2"/>
        <v>100</v>
      </c>
      <c r="X15" s="1811"/>
      <c r="Y15" s="3309" t="s">
        <v>2552</v>
      </c>
      <c r="Z15" s="1812" t="str">
        <f t="shared" si="7"/>
        <v>居住社区成熟度</v>
      </c>
      <c r="AA15" s="1809">
        <f t="shared" si="3"/>
        <v>1</v>
      </c>
      <c r="AB15" s="1809">
        <f t="shared" si="4"/>
        <v>1</v>
      </c>
      <c r="AC15" s="1809">
        <f t="shared" si="5"/>
        <v>1</v>
      </c>
    </row>
    <row r="16" spans="1:29" ht="15">
      <c r="A16" s="427"/>
      <c r="B16" s="445"/>
      <c r="C16" s="446" t="s">
        <v>3173</v>
      </c>
      <c r="D16" s="447"/>
      <c r="E16" s="446" t="s">
        <v>3173</v>
      </c>
      <c r="F16" s="447"/>
      <c r="G16" s="446" t="s">
        <v>3173</v>
      </c>
      <c r="H16" s="449"/>
      <c r="I16" s="446" t="s">
        <v>3173</v>
      </c>
      <c r="J16" s="447"/>
      <c r="K16" s="2602"/>
      <c r="L16" s="1138"/>
      <c r="M16" s="1129"/>
      <c r="N16" s="1129"/>
      <c r="O16" s="1129"/>
      <c r="P16" s="3317"/>
      <c r="Q16" s="1808"/>
      <c r="R16" s="772"/>
      <c r="S16" s="773"/>
      <c r="T16" s="772"/>
      <c r="U16" s="773"/>
      <c r="V16" s="772"/>
      <c r="W16" s="773"/>
      <c r="X16" s="1811"/>
      <c r="Y16" s="3310"/>
      <c r="Z16" s="1812"/>
      <c r="AA16" s="1809">
        <v>1</v>
      </c>
      <c r="AB16" s="1809">
        <v>1</v>
      </c>
      <c r="AC16" s="1809">
        <v>1</v>
      </c>
    </row>
    <row r="17" spans="1:29" ht="15">
      <c r="A17" s="427"/>
      <c r="B17" s="450" t="s">
        <v>2089</v>
      </c>
      <c r="C17" s="2603"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317"/>
      <c r="Q17" s="1808" t="str">
        <f>B17</f>
        <v>交通便捷度</v>
      </c>
      <c r="R17" s="772" t="s">
        <v>21</v>
      </c>
      <c r="S17" s="773">
        <f>F17</f>
        <v>100</v>
      </c>
      <c r="T17" s="772" t="s">
        <v>21</v>
      </c>
      <c r="U17" s="773">
        <f>H17</f>
        <v>100</v>
      </c>
      <c r="V17" s="772" t="s">
        <v>21</v>
      </c>
      <c r="W17" s="773">
        <f>J17</f>
        <v>100</v>
      </c>
      <c r="X17" s="1811"/>
      <c r="Y17" s="3310"/>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317"/>
      <c r="Q18" s="1808"/>
      <c r="R18" s="772"/>
      <c r="S18" s="773"/>
      <c r="T18" s="772"/>
      <c r="U18" s="773"/>
      <c r="V18" s="772"/>
      <c r="W18" s="773"/>
      <c r="X18" s="1811"/>
      <c r="Y18" s="3310"/>
      <c r="Z18" s="1812"/>
      <c r="AA18" s="1809">
        <v>1</v>
      </c>
      <c r="AB18" s="1809">
        <v>1</v>
      </c>
      <c r="AC18" s="1809">
        <v>1</v>
      </c>
    </row>
    <row r="19" spans="1:29" ht="15">
      <c r="A19" s="427"/>
      <c r="B19" s="450" t="s">
        <v>2087</v>
      </c>
      <c r="C19" s="2603"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317"/>
      <c r="Q19" s="1808" t="str">
        <f>B19</f>
        <v>公共配套设施</v>
      </c>
      <c r="R19" s="772" t="s">
        <v>21</v>
      </c>
      <c r="S19" s="773">
        <f>F19</f>
        <v>100</v>
      </c>
      <c r="T19" s="772" t="s">
        <v>21</v>
      </c>
      <c r="U19" s="773">
        <f>H19</f>
        <v>100</v>
      </c>
      <c r="V19" s="772" t="s">
        <v>21</v>
      </c>
      <c r="W19" s="773">
        <f>J19</f>
        <v>100</v>
      </c>
      <c r="X19" s="1811"/>
      <c r="Y19" s="3310"/>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317"/>
      <c r="Q20" s="1808"/>
      <c r="R20" s="772"/>
      <c r="S20" s="773"/>
      <c r="T20" s="772"/>
      <c r="U20" s="773"/>
      <c r="V20" s="772"/>
      <c r="W20" s="773"/>
      <c r="X20" s="1811"/>
      <c r="Y20" s="3310"/>
      <c r="Z20" s="1812"/>
      <c r="AA20" s="1809">
        <v>1</v>
      </c>
      <c r="AB20" s="1809">
        <v>1</v>
      </c>
      <c r="AC20" s="1809">
        <v>1</v>
      </c>
    </row>
    <row r="21" spans="1:29" ht="15">
      <c r="A21" s="427"/>
      <c r="B21" s="1382" t="s">
        <v>2090</v>
      </c>
      <c r="C21" s="2603"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317"/>
      <c r="Q21" s="1808" t="str">
        <f>B21</f>
        <v>基础设施水平</v>
      </c>
      <c r="R21" s="772" t="s">
        <v>17</v>
      </c>
      <c r="S21" s="773">
        <f>F21</f>
        <v>100</v>
      </c>
      <c r="T21" s="772" t="s">
        <v>17</v>
      </c>
      <c r="U21" s="773">
        <f>H21</f>
        <v>100</v>
      </c>
      <c r="V21" s="772" t="s">
        <v>17</v>
      </c>
      <c r="W21" s="773">
        <f>J21</f>
        <v>100</v>
      </c>
      <c r="X21" s="1811"/>
      <c r="Y21" s="331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317"/>
      <c r="Q22" s="1808"/>
      <c r="R22" s="772"/>
      <c r="S22" s="773"/>
      <c r="T22" s="772"/>
      <c r="U22" s="773"/>
      <c r="V22" s="772"/>
      <c r="W22" s="773"/>
      <c r="X22" s="1811"/>
      <c r="Y22" s="3310"/>
      <c r="Z22" s="1812"/>
      <c r="AA22" s="1809">
        <v>1</v>
      </c>
      <c r="AB22" s="1809">
        <v>1</v>
      </c>
      <c r="AC22" s="1809">
        <v>1</v>
      </c>
    </row>
    <row r="23" spans="1:29" ht="15">
      <c r="A23" s="427"/>
      <c r="B23" s="450" t="s">
        <v>2094</v>
      </c>
      <c r="C23" s="2603"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317"/>
      <c r="Q23" s="1808" t="str">
        <f>B23</f>
        <v>自然及人文环境</v>
      </c>
      <c r="R23" s="772" t="s">
        <v>21</v>
      </c>
      <c r="S23" s="773">
        <f>F23</f>
        <v>100</v>
      </c>
      <c r="T23" s="772" t="s">
        <v>21</v>
      </c>
      <c r="U23" s="773">
        <f>H23</f>
        <v>100</v>
      </c>
      <c r="V23" s="772" t="s">
        <v>21</v>
      </c>
      <c r="W23" s="773">
        <f>J23</f>
        <v>100</v>
      </c>
      <c r="X23" s="1811"/>
      <c r="Y23" s="3310"/>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317"/>
      <c r="Q24" s="1808"/>
      <c r="R24" s="772"/>
      <c r="S24" s="773"/>
      <c r="T24" s="772"/>
      <c r="U24" s="773"/>
      <c r="V24" s="772"/>
      <c r="W24" s="773"/>
      <c r="X24" s="1811"/>
      <c r="Y24" s="3310"/>
      <c r="Z24" s="1812"/>
      <c r="AA24" s="1809">
        <v>1</v>
      </c>
      <c r="AB24" s="1809">
        <v>1</v>
      </c>
      <c r="AC24" s="1809">
        <v>1</v>
      </c>
    </row>
    <row r="25" spans="1:29" ht="15">
      <c r="A25" s="427"/>
      <c r="B25" s="421" t="s">
        <v>2553</v>
      </c>
      <c r="C25" s="459"/>
      <c r="D25" s="434">
        <v>100</v>
      </c>
      <c r="E25" s="2609"/>
      <c r="F25" s="434">
        <f>SUMIF(86:86,E25,87:87)-SUMIF(86:86,C25,87:87)+100</f>
        <v>100</v>
      </c>
      <c r="G25" s="2610"/>
      <c r="H25" s="434">
        <f>SUMIF(86:86,G25,87:87)-SUMIF(86:86,C25,87:87)+100</f>
        <v>100</v>
      </c>
      <c r="I25" s="2610"/>
      <c r="J25" s="434">
        <f>SUMIF(86:86,I25,87:87)-SUMIF(86:86,C25,87:87)+100</f>
        <v>100</v>
      </c>
      <c r="K25" s="425">
        <v>2</v>
      </c>
      <c r="L25" s="1138"/>
      <c r="M25" s="1129"/>
      <c r="N25" s="1129"/>
      <c r="O25" s="1129"/>
      <c r="P25" s="331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10"/>
      <c r="Z25" s="1812" t="str">
        <f>Q25</f>
        <v>楼层-1</v>
      </c>
      <c r="AA25" s="1809">
        <f t="shared" ref="AA25:AA46" si="15">D25/F25</f>
        <v>1</v>
      </c>
      <c r="AB25" s="1809">
        <f t="shared" ref="AB25:AB46" si="16">D25/H25</f>
        <v>1</v>
      </c>
      <c r="AC25" s="1809">
        <f t="shared" ref="AC25:AC46" si="17">D25/J25</f>
        <v>1</v>
      </c>
    </row>
    <row r="26" spans="1:29" ht="15">
      <c r="A26" s="427"/>
      <c r="B26" s="421" t="s">
        <v>2554</v>
      </c>
      <c r="C26" s="459" t="s">
        <v>3100</v>
      </c>
      <c r="D26" s="434">
        <v>100</v>
      </c>
      <c r="E26" s="2609" t="s">
        <v>3200</v>
      </c>
      <c r="F26" s="434">
        <f>SUMIF(88:88,E26,89:89)-SUMIF(88:88,C26,89:89)+100</f>
        <v>98</v>
      </c>
      <c r="G26" s="2610" t="s">
        <v>3119</v>
      </c>
      <c r="H26" s="434">
        <f>SUMIF(88:88,G26,89:89)-SUMIF(88:88,C26,89:89)+100</f>
        <v>104</v>
      </c>
      <c r="I26" s="2610" t="s">
        <v>3200</v>
      </c>
      <c r="J26" s="434">
        <f>SUMIF(88:88,I26,89:89)-SUMIF(88:88,C26,89:89)+100</f>
        <v>98</v>
      </c>
      <c r="K26" s="425">
        <v>2</v>
      </c>
      <c r="L26" s="1138"/>
      <c r="M26" s="1129"/>
      <c r="N26" s="1129"/>
      <c r="O26" s="1129"/>
      <c r="P26" s="3317"/>
      <c r="Q26" s="1808" t="str">
        <f t="shared" si="11"/>
        <v>朝向</v>
      </c>
      <c r="R26" s="772" t="s">
        <v>21</v>
      </c>
      <c r="S26" s="773">
        <f t="shared" si="12"/>
        <v>98</v>
      </c>
      <c r="T26" s="772" t="s">
        <v>21</v>
      </c>
      <c r="U26" s="773">
        <f t="shared" si="13"/>
        <v>104</v>
      </c>
      <c r="V26" s="772" t="s">
        <v>21</v>
      </c>
      <c r="W26" s="773">
        <f t="shared" si="14"/>
        <v>98</v>
      </c>
      <c r="X26" s="1811"/>
      <c r="Y26" s="3310"/>
      <c r="Z26" s="1812" t="str">
        <f>Q26</f>
        <v>朝向</v>
      </c>
      <c r="AA26" s="1809">
        <f t="shared" si="15"/>
        <v>1.0204081632653061</v>
      </c>
      <c r="AB26" s="1809">
        <f t="shared" si="16"/>
        <v>0.96153846153846156</v>
      </c>
      <c r="AC26" s="1809">
        <f t="shared" si="17"/>
        <v>1.0204081632653061</v>
      </c>
    </row>
    <row r="27" spans="1:29" s="116" customFormat="1" ht="15">
      <c r="A27" s="430"/>
      <c r="B27" s="3384" t="s">
        <v>3187</v>
      </c>
      <c r="C27" s="2980" t="s">
        <v>3193</v>
      </c>
      <c r="D27" s="461">
        <v>100</v>
      </c>
      <c r="E27" s="2981" t="s">
        <v>3189</v>
      </c>
      <c r="F27" s="461">
        <f>SUMIF(90:90,E27,91:91)-SUMIF(90:90,C27,91:91)+100</f>
        <v>102</v>
      </c>
      <c r="G27" s="2980" t="s">
        <v>3193</v>
      </c>
      <c r="H27" s="461">
        <f>SUMIF(90:90,G27,91:91)-SUMIF(90:90,C27,91:91)+100</f>
        <v>100</v>
      </c>
      <c r="I27" s="2981" t="s">
        <v>3231</v>
      </c>
      <c r="J27" s="461">
        <f>SUMIF(90:90,I27,91:91)-SUMIF(90:90,C27,91:91)+100</f>
        <v>102</v>
      </c>
      <c r="K27" s="2597"/>
      <c r="L27" s="1130"/>
      <c r="M27" s="1131"/>
      <c r="N27" s="1131"/>
      <c r="O27" s="1131"/>
      <c r="P27" s="3317"/>
      <c r="Q27" s="1793" t="str">
        <f t="shared" si="11"/>
        <v>楼层</v>
      </c>
      <c r="R27" s="768" t="s">
        <v>21</v>
      </c>
      <c r="S27" s="769">
        <f t="shared" si="12"/>
        <v>102</v>
      </c>
      <c r="T27" s="768" t="s">
        <v>21</v>
      </c>
      <c r="U27" s="769">
        <f t="shared" si="13"/>
        <v>100</v>
      </c>
      <c r="V27" s="768" t="s">
        <v>21</v>
      </c>
      <c r="W27" s="769">
        <f t="shared" si="14"/>
        <v>102</v>
      </c>
      <c r="X27" s="770"/>
      <c r="Y27" s="3310"/>
      <c r="Z27" s="54" t="str">
        <f>Q27</f>
        <v>楼层</v>
      </c>
      <c r="AA27" s="1809">
        <f t="shared" si="15"/>
        <v>0.98039215686274506</v>
      </c>
      <c r="AB27" s="1809">
        <f t="shared" si="16"/>
        <v>1</v>
      </c>
      <c r="AC27" s="1809">
        <f t="shared" si="17"/>
        <v>0.98039215686274506</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317"/>
      <c r="Q28" s="1808">
        <f t="shared" si="11"/>
        <v>111</v>
      </c>
      <c r="R28" s="772" t="s">
        <v>21</v>
      </c>
      <c r="S28" s="773">
        <f t="shared" si="12"/>
        <v>100</v>
      </c>
      <c r="T28" s="772" t="s">
        <v>21</v>
      </c>
      <c r="U28" s="773">
        <f t="shared" si="13"/>
        <v>100</v>
      </c>
      <c r="V28" s="772" t="s">
        <v>21</v>
      </c>
      <c r="W28" s="773">
        <f t="shared" si="14"/>
        <v>100</v>
      </c>
      <c r="X28" s="1811"/>
      <c r="Y28" s="3310"/>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317"/>
      <c r="Q29" s="1808">
        <f t="shared" si="11"/>
        <v>111</v>
      </c>
      <c r="R29" s="772" t="s">
        <v>21</v>
      </c>
      <c r="S29" s="773">
        <f t="shared" si="12"/>
        <v>100</v>
      </c>
      <c r="T29" s="772" t="s">
        <v>21</v>
      </c>
      <c r="U29" s="773">
        <f t="shared" si="13"/>
        <v>100</v>
      </c>
      <c r="V29" s="772" t="s">
        <v>21</v>
      </c>
      <c r="W29" s="773">
        <f t="shared" si="14"/>
        <v>100</v>
      </c>
      <c r="X29" s="1811"/>
      <c r="Y29" s="3310"/>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317"/>
      <c r="Q30" s="1808">
        <f t="shared" si="11"/>
        <v>111</v>
      </c>
      <c r="R30" s="772" t="s">
        <v>21</v>
      </c>
      <c r="S30" s="773">
        <f t="shared" si="12"/>
        <v>100</v>
      </c>
      <c r="T30" s="772" t="s">
        <v>21</v>
      </c>
      <c r="U30" s="773">
        <f t="shared" si="13"/>
        <v>100</v>
      </c>
      <c r="V30" s="772" t="s">
        <v>21</v>
      </c>
      <c r="W30" s="773">
        <f t="shared" si="14"/>
        <v>100</v>
      </c>
      <c r="X30" s="1811"/>
      <c r="Y30" s="3310"/>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317"/>
      <c r="Q31" s="1808">
        <f t="shared" si="11"/>
        <v>111</v>
      </c>
      <c r="R31" s="772" t="s">
        <v>21</v>
      </c>
      <c r="S31" s="773">
        <f t="shared" si="12"/>
        <v>100</v>
      </c>
      <c r="T31" s="772" t="s">
        <v>21</v>
      </c>
      <c r="U31" s="773">
        <f t="shared" si="13"/>
        <v>100</v>
      </c>
      <c r="V31" s="772" t="s">
        <v>21</v>
      </c>
      <c r="W31" s="773">
        <f t="shared" si="14"/>
        <v>100</v>
      </c>
      <c r="X31" s="1811"/>
      <c r="Y31" s="3310"/>
      <c r="Z31" s="1812">
        <f t="shared" si="18"/>
        <v>111</v>
      </c>
      <c r="AA31" s="1809">
        <f t="shared" si="15"/>
        <v>1</v>
      </c>
      <c r="AB31" s="1809">
        <f t="shared" si="16"/>
        <v>1</v>
      </c>
      <c r="AC31" s="1809">
        <f t="shared" si="17"/>
        <v>1</v>
      </c>
    </row>
    <row r="32" spans="1:29" ht="15">
      <c r="A32" s="439" t="s">
        <v>2555</v>
      </c>
      <c r="B32" s="70" t="s">
        <v>2556</v>
      </c>
      <c r="C32" s="2613" t="s">
        <v>3205</v>
      </c>
      <c r="D32" s="466">
        <v>100</v>
      </c>
      <c r="E32" s="2613" t="s">
        <v>3205</v>
      </c>
      <c r="F32" s="460">
        <f>SUMIF(100:100,E32,101:101)-SUMIF(100:100,C32,101:101)+100</f>
        <v>100</v>
      </c>
      <c r="G32" s="2613" t="s">
        <v>3205</v>
      </c>
      <c r="H32" s="466">
        <f>SUMIF(100:100,G32,101:101)-SUMIF(100:100,C32,101:101)+100</f>
        <v>100</v>
      </c>
      <c r="I32" s="2613" t="s">
        <v>3205</v>
      </c>
      <c r="J32" s="434">
        <f>SUMIF(100:100,I32,101:101)-SUMIF(100:100,C32,101:101)+100</f>
        <v>100</v>
      </c>
      <c r="K32" s="425">
        <v>2</v>
      </c>
      <c r="L32" s="1138"/>
      <c r="M32" s="1129"/>
      <c r="N32" s="1129"/>
      <c r="O32" s="1129"/>
      <c r="P32" s="3311" t="s">
        <v>2557</v>
      </c>
      <c r="Q32" s="1808" t="str">
        <f t="shared" si="11"/>
        <v>建筑类型</v>
      </c>
      <c r="R32" s="772" t="s">
        <v>21</v>
      </c>
      <c r="S32" s="773">
        <f t="shared" si="12"/>
        <v>100</v>
      </c>
      <c r="T32" s="772" t="s">
        <v>21</v>
      </c>
      <c r="U32" s="773">
        <f t="shared" si="13"/>
        <v>100</v>
      </c>
      <c r="V32" s="772" t="s">
        <v>21</v>
      </c>
      <c r="W32" s="773">
        <f t="shared" si="14"/>
        <v>100</v>
      </c>
      <c r="X32" s="1811"/>
      <c r="Y32" s="3314" t="s">
        <v>2557</v>
      </c>
      <c r="Z32" s="1812" t="str">
        <f t="shared" si="18"/>
        <v>建筑类型</v>
      </c>
      <c r="AA32" s="1809">
        <f t="shared" si="15"/>
        <v>1</v>
      </c>
      <c r="AB32" s="1809">
        <f t="shared" si="16"/>
        <v>1</v>
      </c>
      <c r="AC32" s="1809">
        <f t="shared" si="17"/>
        <v>1</v>
      </c>
    </row>
    <row r="33" spans="1:29" s="470" customFormat="1" ht="15">
      <c r="A33" s="467"/>
      <c r="B33" s="421" t="s">
        <v>2558</v>
      </c>
      <c r="C33" s="468">
        <f>'数据-基础表'!I13</f>
        <v>148.57</v>
      </c>
      <c r="D33" s="135">
        <v>100</v>
      </c>
      <c r="E33" s="429">
        <v>127.69</v>
      </c>
      <c r="F33" s="424">
        <f>LOOKUP(E33,103:103,104:104)-LOOKUP(C33,103:103,104:104)+100</f>
        <v>102</v>
      </c>
      <c r="G33" s="428">
        <v>156.81</v>
      </c>
      <c r="H33" s="135">
        <f>LOOKUP(G33,103:103,104:104)-LOOKUP(C33,103:103,104:104)+100</f>
        <v>100</v>
      </c>
      <c r="I33" s="429">
        <v>128</v>
      </c>
      <c r="J33" s="135">
        <f>LOOKUP(I33,103:103,104:104)-LOOKUP(C33,103:103,104:104)+100</f>
        <v>102</v>
      </c>
      <c r="K33" s="2597"/>
      <c r="L33" s="1136"/>
      <c r="M33" s="1139"/>
      <c r="N33" s="1139"/>
      <c r="O33" s="1139"/>
      <c r="P33" s="3312"/>
      <c r="Q33" s="774" t="str">
        <f t="shared" si="11"/>
        <v>项目建筑规模</v>
      </c>
      <c r="R33" s="775" t="s">
        <v>21</v>
      </c>
      <c r="S33" s="776">
        <f t="shared" si="12"/>
        <v>102</v>
      </c>
      <c r="T33" s="775" t="s">
        <v>21</v>
      </c>
      <c r="U33" s="776">
        <f t="shared" si="13"/>
        <v>100</v>
      </c>
      <c r="V33" s="775" t="s">
        <v>21</v>
      </c>
      <c r="W33" s="776">
        <f t="shared" si="14"/>
        <v>102</v>
      </c>
      <c r="X33" s="777"/>
      <c r="Y33" s="3314"/>
      <c r="Z33" s="778" t="str">
        <f t="shared" si="18"/>
        <v>项目建筑规模</v>
      </c>
      <c r="AA33" s="1809">
        <f t="shared" si="15"/>
        <v>0.98039215686274506</v>
      </c>
      <c r="AB33" s="1809">
        <f t="shared" si="16"/>
        <v>1</v>
      </c>
      <c r="AC33" s="1809">
        <f t="shared" si="17"/>
        <v>0.98039215686274506</v>
      </c>
    </row>
    <row r="34" spans="1:29" ht="15">
      <c r="A34" s="471"/>
      <c r="B34" s="421" t="s">
        <v>2559</v>
      </c>
      <c r="C34" s="2614" t="s">
        <v>3106</v>
      </c>
      <c r="D34" s="434">
        <v>100</v>
      </c>
      <c r="E34" s="2614" t="s">
        <v>3106</v>
      </c>
      <c r="F34" s="460">
        <f>SUMIF(105:105,E34,106:106)-SUMIF(105:105,C34,106:106)+100</f>
        <v>100</v>
      </c>
      <c r="G34" s="2614" t="s">
        <v>3106</v>
      </c>
      <c r="H34" s="434">
        <f>SUMIF(105:105,G34,106:106)-SUMIF(105:105,C34,106:106)+100</f>
        <v>100</v>
      </c>
      <c r="I34" s="2614" t="s">
        <v>3106</v>
      </c>
      <c r="J34" s="434">
        <f>SUMIF(105:105,I34,106:106)-SUMIF(105:105,C34,106:106)+100</f>
        <v>100</v>
      </c>
      <c r="K34" s="425">
        <v>2</v>
      </c>
      <c r="L34" s="1138"/>
      <c r="M34" s="1129"/>
      <c r="N34" s="1129"/>
      <c r="O34" s="1129"/>
      <c r="P34" s="3312"/>
      <c r="Q34" s="1808" t="str">
        <f t="shared" si="11"/>
        <v>建筑结构</v>
      </c>
      <c r="R34" s="772" t="s">
        <v>21</v>
      </c>
      <c r="S34" s="773">
        <f t="shared" si="12"/>
        <v>100</v>
      </c>
      <c r="T34" s="772" t="s">
        <v>21</v>
      </c>
      <c r="U34" s="773">
        <f t="shared" si="13"/>
        <v>100</v>
      </c>
      <c r="V34" s="772" t="s">
        <v>21</v>
      </c>
      <c r="W34" s="773">
        <f t="shared" si="14"/>
        <v>100</v>
      </c>
      <c r="X34" s="1811"/>
      <c r="Y34" s="3314"/>
      <c r="Z34" s="1812" t="str">
        <f t="shared" si="18"/>
        <v>建筑结构</v>
      </c>
      <c r="AA34" s="1809">
        <f t="shared" si="15"/>
        <v>1</v>
      </c>
      <c r="AB34" s="1809">
        <f t="shared" si="16"/>
        <v>1</v>
      </c>
      <c r="AC34" s="1809">
        <f t="shared" si="17"/>
        <v>1</v>
      </c>
    </row>
    <row r="35" spans="1:29" ht="15">
      <c r="A35" s="471"/>
      <c r="B35" s="421" t="s">
        <v>2560</v>
      </c>
      <c r="C35" s="2609" t="s">
        <v>3211</v>
      </c>
      <c r="D35" s="434">
        <v>100</v>
      </c>
      <c r="E35" s="2609" t="s">
        <v>3211</v>
      </c>
      <c r="F35" s="460">
        <f>SUMIF(107:107,E35,108:108)-SUMIF(107:107,C35,108:108)+100</f>
        <v>100</v>
      </c>
      <c r="G35" s="2609" t="s">
        <v>3211</v>
      </c>
      <c r="H35" s="434">
        <f>SUMIF(107:107,G35,108:108)-SUMIF(107:107,C35,108:108)+100</f>
        <v>100</v>
      </c>
      <c r="I35" s="2609" t="s">
        <v>3211</v>
      </c>
      <c r="J35" s="434">
        <f>SUMIF(107:107,I35,108:108)-SUMIF(107:107,C35,108:108)+100</f>
        <v>100</v>
      </c>
      <c r="K35" s="425">
        <v>2</v>
      </c>
      <c r="L35" s="1138"/>
      <c r="M35" s="1129"/>
      <c r="N35" s="1129"/>
      <c r="O35" s="1129"/>
      <c r="P35" s="3312"/>
      <c r="Q35" s="1808" t="str">
        <f t="shared" si="11"/>
        <v>建筑品质</v>
      </c>
      <c r="R35" s="772" t="s">
        <v>21</v>
      </c>
      <c r="S35" s="773">
        <f t="shared" si="12"/>
        <v>100</v>
      </c>
      <c r="T35" s="772" t="s">
        <v>21</v>
      </c>
      <c r="U35" s="773">
        <f t="shared" si="13"/>
        <v>100</v>
      </c>
      <c r="V35" s="772" t="s">
        <v>21</v>
      </c>
      <c r="W35" s="773">
        <f t="shared" si="14"/>
        <v>100</v>
      </c>
      <c r="X35" s="1811"/>
      <c r="Y35" s="3314"/>
      <c r="Z35" s="1812" t="str">
        <f t="shared" si="18"/>
        <v>建筑品质</v>
      </c>
      <c r="AA35" s="1809">
        <f t="shared" si="15"/>
        <v>1</v>
      </c>
      <c r="AB35" s="1809">
        <f t="shared" si="16"/>
        <v>1</v>
      </c>
      <c r="AC35" s="1809">
        <f t="shared" si="17"/>
        <v>1</v>
      </c>
    </row>
    <row r="36" spans="1:29" ht="15">
      <c r="A36" s="471"/>
      <c r="B36" s="421" t="s">
        <v>2561</v>
      </c>
      <c r="C36" s="2609" t="s">
        <v>3216</v>
      </c>
      <c r="D36" s="434">
        <v>100</v>
      </c>
      <c r="E36" s="2609" t="s">
        <v>3216</v>
      </c>
      <c r="F36" s="460">
        <f>SUMIF(109:109,E36,110:110)-SUMIF(109:109,C36,110:110)+100</f>
        <v>100</v>
      </c>
      <c r="G36" s="2609" t="s">
        <v>3216</v>
      </c>
      <c r="H36" s="434">
        <f>SUMIF(109:109,G36,110:110)-SUMIF(109:109,C36,110:110)+100</f>
        <v>100</v>
      </c>
      <c r="I36" s="2609" t="s">
        <v>3216</v>
      </c>
      <c r="J36" s="434">
        <f>SUMIF(109:109,I36,110:110)-SUMIF(109:109,C36,110:110)+100</f>
        <v>100</v>
      </c>
      <c r="K36" s="425">
        <v>2</v>
      </c>
      <c r="L36" s="1138"/>
      <c r="M36" s="1129"/>
      <c r="N36" s="1129"/>
      <c r="O36" s="1129"/>
      <c r="P36" s="3312"/>
      <c r="Q36" s="1808" t="str">
        <f t="shared" si="11"/>
        <v>公共部分装修</v>
      </c>
      <c r="R36" s="772" t="s">
        <v>21</v>
      </c>
      <c r="S36" s="773">
        <f t="shared" si="12"/>
        <v>100</v>
      </c>
      <c r="T36" s="772" t="s">
        <v>21</v>
      </c>
      <c r="U36" s="773">
        <f t="shared" si="13"/>
        <v>100</v>
      </c>
      <c r="V36" s="772" t="s">
        <v>21</v>
      </c>
      <c r="W36" s="773">
        <f t="shared" si="14"/>
        <v>100</v>
      </c>
      <c r="X36" s="1811"/>
      <c r="Y36" s="3314"/>
      <c r="Z36" s="1812" t="str">
        <f t="shared" si="18"/>
        <v>公共部分装修</v>
      </c>
      <c r="AA36" s="1809">
        <f t="shared" si="15"/>
        <v>1</v>
      </c>
      <c r="AB36" s="1809">
        <f t="shared" si="16"/>
        <v>1</v>
      </c>
      <c r="AC36" s="1809">
        <f t="shared" si="17"/>
        <v>1</v>
      </c>
    </row>
    <row r="37" spans="1:29" s="116" customFormat="1" ht="15">
      <c r="A37" s="472"/>
      <c r="B37" s="421" t="s">
        <v>2562</v>
      </c>
      <c r="C37" s="473">
        <f>'数据-取费表'!N6</f>
        <v>0.8</v>
      </c>
      <c r="D37" s="135">
        <v>100</v>
      </c>
      <c r="E37" s="473">
        <f>C37</f>
        <v>0.8</v>
      </c>
      <c r="F37" s="424">
        <f>LOOKUP(E37,112:112,113:113)-LOOKUP(C37,112:112,113:113)+100</f>
        <v>100</v>
      </c>
      <c r="G37" s="473">
        <f>E37</f>
        <v>0.8</v>
      </c>
      <c r="H37" s="135">
        <f>LOOKUP(G37,112:112,113:113)-LOOKUP(C37,112:112,113:113)+100</f>
        <v>100</v>
      </c>
      <c r="I37" s="473">
        <f>G37</f>
        <v>0.8</v>
      </c>
      <c r="J37" s="135">
        <f>LOOKUP(I37,112:112,113:113)-LOOKUP(C37,112:112,113:113)+100</f>
        <v>100</v>
      </c>
      <c r="K37" s="425">
        <v>2</v>
      </c>
      <c r="L37" s="1130"/>
      <c r="M37" s="1131"/>
      <c r="N37" s="1131"/>
      <c r="O37" s="1131"/>
      <c r="P37" s="3312"/>
      <c r="Q37" s="1793" t="str">
        <f t="shared" si="11"/>
        <v>成新度</v>
      </c>
      <c r="R37" s="768" t="s">
        <v>21</v>
      </c>
      <c r="S37" s="769">
        <f t="shared" si="12"/>
        <v>100</v>
      </c>
      <c r="T37" s="768" t="s">
        <v>21</v>
      </c>
      <c r="U37" s="769">
        <f t="shared" si="13"/>
        <v>100</v>
      </c>
      <c r="V37" s="768" t="s">
        <v>21</v>
      </c>
      <c r="W37" s="769">
        <f t="shared" si="14"/>
        <v>100</v>
      </c>
      <c r="X37" s="770"/>
      <c r="Y37" s="3314"/>
      <c r="Z37" s="54" t="str">
        <f t="shared" si="18"/>
        <v>成新度</v>
      </c>
      <c r="AA37" s="771">
        <f t="shared" si="15"/>
        <v>1</v>
      </c>
      <c r="AB37" s="771">
        <f t="shared" si="16"/>
        <v>1</v>
      </c>
      <c r="AC37" s="771">
        <f t="shared" si="17"/>
        <v>1</v>
      </c>
    </row>
    <row r="38" spans="1:29" ht="15">
      <c r="A38" s="471"/>
      <c r="B38" s="421" t="s">
        <v>2563</v>
      </c>
      <c r="C38" s="2609" t="s">
        <v>3223</v>
      </c>
      <c r="D38" s="434">
        <v>100</v>
      </c>
      <c r="E38" s="2609" t="s">
        <v>3223</v>
      </c>
      <c r="F38" s="460">
        <f>SUMIF(114:114,E38,115:115)-SUMIF(114:114,C38,115:115)+100</f>
        <v>100</v>
      </c>
      <c r="G38" s="2609" t="s">
        <v>3223</v>
      </c>
      <c r="H38" s="434">
        <f>SUMIF(114:114,G38,115:115)-SUMIF(114:114,C38,115:115)+100</f>
        <v>100</v>
      </c>
      <c r="I38" s="2609" t="s">
        <v>3223</v>
      </c>
      <c r="J38" s="434">
        <f>SUMIF(114:114,I38,115:115)-SUMIF(114:114,C38,115:115)+100</f>
        <v>100</v>
      </c>
      <c r="K38" s="425">
        <v>2</v>
      </c>
      <c r="L38" s="1138"/>
      <c r="M38" s="1129"/>
      <c r="N38" s="1129"/>
      <c r="O38" s="1129"/>
      <c r="P38" s="3312" t="s">
        <v>2557</v>
      </c>
      <c r="Q38" s="1808" t="str">
        <f t="shared" si="11"/>
        <v>物业管理</v>
      </c>
      <c r="R38" s="772" t="s">
        <v>21</v>
      </c>
      <c r="S38" s="773">
        <f t="shared" si="12"/>
        <v>100</v>
      </c>
      <c r="T38" s="772" t="s">
        <v>21</v>
      </c>
      <c r="U38" s="773">
        <f t="shared" si="13"/>
        <v>100</v>
      </c>
      <c r="V38" s="772" t="s">
        <v>21</v>
      </c>
      <c r="W38" s="773">
        <f t="shared" si="14"/>
        <v>100</v>
      </c>
      <c r="X38" s="1811"/>
      <c r="Y38" s="3314" t="s">
        <v>2557</v>
      </c>
      <c r="Z38" s="1812" t="str">
        <f t="shared" si="18"/>
        <v>物业管理</v>
      </c>
      <c r="AA38" s="1809">
        <f t="shared" si="15"/>
        <v>1</v>
      </c>
      <c r="AB38" s="1809">
        <f t="shared" si="16"/>
        <v>1</v>
      </c>
      <c r="AC38" s="1809">
        <f t="shared" si="17"/>
        <v>1</v>
      </c>
    </row>
    <row r="39" spans="1:29" ht="15">
      <c r="A39" s="471"/>
      <c r="B39" s="421" t="s">
        <v>2564</v>
      </c>
      <c r="C39" s="2609" t="s">
        <v>3177</v>
      </c>
      <c r="D39" s="434">
        <v>100</v>
      </c>
      <c r="E39" s="2609" t="s">
        <v>3177</v>
      </c>
      <c r="F39" s="460">
        <f>SUMIF(116:116,E39,117:117)-SUMIF(116:116,C39,117:117)+100</f>
        <v>100</v>
      </c>
      <c r="G39" s="2609" t="s">
        <v>3177</v>
      </c>
      <c r="H39" s="434">
        <f>SUMIF(116:116,G39,117:117)-SUMIF(116:116,C39,117:117)+100</f>
        <v>100</v>
      </c>
      <c r="I39" s="2609" t="s">
        <v>3177</v>
      </c>
      <c r="J39" s="434">
        <f>SUMIF(116:116,I39,117:117)-SUMIF(116:116,C39,117:117)+100</f>
        <v>100</v>
      </c>
      <c r="K39" s="425">
        <v>2</v>
      </c>
      <c r="L39" s="1138"/>
      <c r="M39" s="1129"/>
      <c r="N39" s="1129"/>
      <c r="O39" s="1129"/>
      <c r="P39" s="3312"/>
      <c r="Q39" s="1808" t="str">
        <f t="shared" si="11"/>
        <v>市政基础设施</v>
      </c>
      <c r="R39" s="772" t="s">
        <v>21</v>
      </c>
      <c r="S39" s="773">
        <f t="shared" si="12"/>
        <v>100</v>
      </c>
      <c r="T39" s="772" t="s">
        <v>21</v>
      </c>
      <c r="U39" s="773">
        <f t="shared" si="13"/>
        <v>100</v>
      </c>
      <c r="V39" s="772" t="s">
        <v>21</v>
      </c>
      <c r="W39" s="773">
        <f t="shared" si="14"/>
        <v>100</v>
      </c>
      <c r="X39" s="1811"/>
      <c r="Y39" s="3314"/>
      <c r="Z39" s="1812" t="str">
        <f t="shared" si="18"/>
        <v>市政基础设施</v>
      </c>
      <c r="AA39" s="1809">
        <f t="shared" si="15"/>
        <v>1</v>
      </c>
      <c r="AB39" s="1809">
        <f t="shared" si="16"/>
        <v>1</v>
      </c>
      <c r="AC39" s="1809">
        <f t="shared" si="17"/>
        <v>1</v>
      </c>
    </row>
    <row r="40" spans="1:29" ht="15">
      <c r="A40" s="471"/>
      <c r="B40" s="421" t="s">
        <v>2565</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v>2</v>
      </c>
      <c r="L40" s="1138"/>
      <c r="M40" s="1129"/>
      <c r="N40" s="1129"/>
      <c r="O40" s="1129"/>
      <c r="P40" s="3312"/>
      <c r="Q40" s="1808" t="str">
        <f t="shared" si="11"/>
        <v>房型</v>
      </c>
      <c r="R40" s="772" t="s">
        <v>21</v>
      </c>
      <c r="S40" s="773">
        <f t="shared" si="12"/>
        <v>100</v>
      </c>
      <c r="T40" s="772" t="s">
        <v>21</v>
      </c>
      <c r="U40" s="773">
        <f t="shared" si="13"/>
        <v>100</v>
      </c>
      <c r="V40" s="772" t="s">
        <v>21</v>
      </c>
      <c r="W40" s="773">
        <f t="shared" si="14"/>
        <v>100</v>
      </c>
      <c r="X40" s="1811"/>
      <c r="Y40" s="3314"/>
      <c r="Z40" s="1812" t="str">
        <f t="shared" si="18"/>
        <v>房型</v>
      </c>
      <c r="AA40" s="1809">
        <f t="shared" si="15"/>
        <v>1</v>
      </c>
      <c r="AB40" s="1809">
        <f t="shared" si="16"/>
        <v>1</v>
      </c>
      <c r="AC40" s="1809">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312"/>
      <c r="Q41" s="774" t="str">
        <f t="shared" si="11"/>
        <v>单套/主力户型建筑面积</v>
      </c>
      <c r="R41" s="775" t="s">
        <v>21</v>
      </c>
      <c r="S41" s="776">
        <f t="shared" si="12"/>
        <v>100</v>
      </c>
      <c r="T41" s="775" t="s">
        <v>21</v>
      </c>
      <c r="U41" s="776">
        <f t="shared" si="13"/>
        <v>100</v>
      </c>
      <c r="V41" s="775" t="s">
        <v>21</v>
      </c>
      <c r="W41" s="776">
        <f t="shared" si="14"/>
        <v>100</v>
      </c>
      <c r="X41" s="777"/>
      <c r="Y41" s="3314"/>
      <c r="Z41" s="778" t="str">
        <f t="shared" si="18"/>
        <v>单套/主力户型建筑面积</v>
      </c>
      <c r="AA41" s="1809">
        <f t="shared" si="15"/>
        <v>1</v>
      </c>
      <c r="AB41" s="1809">
        <f t="shared" si="16"/>
        <v>1</v>
      </c>
      <c r="AC41" s="1809">
        <f t="shared" si="17"/>
        <v>1</v>
      </c>
    </row>
    <row r="42" spans="1:29" ht="15">
      <c r="A42" s="471"/>
      <c r="B42" s="421" t="s">
        <v>2567</v>
      </c>
      <c r="C42" s="2609" t="s">
        <v>3216</v>
      </c>
      <c r="D42" s="434">
        <v>100</v>
      </c>
      <c r="E42" s="2610" t="s">
        <v>3218</v>
      </c>
      <c r="F42" s="460">
        <f>SUMIF(122:122,E42,123:123)-SUMIF(122:122,C42,123:123)+100</f>
        <v>98</v>
      </c>
      <c r="G42" s="2610" t="s">
        <v>3218</v>
      </c>
      <c r="H42" s="434">
        <f>SUMIF(122:122,G42,123:123)-SUMIF(122:122,C42,123:123)+100</f>
        <v>98</v>
      </c>
      <c r="I42" s="2610" t="s">
        <v>3216</v>
      </c>
      <c r="J42" s="434">
        <f>SUMIF(122:122,I42,123:123)-SUMIF(122:122,C42,123:123)+100</f>
        <v>100</v>
      </c>
      <c r="K42" s="425">
        <v>2</v>
      </c>
      <c r="L42" s="1138"/>
      <c r="M42" s="1129"/>
      <c r="N42" s="1129"/>
      <c r="O42" s="1129"/>
      <c r="P42" s="3312"/>
      <c r="Q42" s="1808" t="str">
        <f t="shared" si="11"/>
        <v>内部装修</v>
      </c>
      <c r="R42" s="772" t="s">
        <v>21</v>
      </c>
      <c r="S42" s="773">
        <f t="shared" si="12"/>
        <v>98</v>
      </c>
      <c r="T42" s="772" t="s">
        <v>21</v>
      </c>
      <c r="U42" s="773">
        <f t="shared" si="13"/>
        <v>98</v>
      </c>
      <c r="V42" s="772" t="s">
        <v>21</v>
      </c>
      <c r="W42" s="773">
        <f t="shared" si="14"/>
        <v>100</v>
      </c>
      <c r="X42" s="1811"/>
      <c r="Y42" s="3314"/>
      <c r="Z42" s="1812" t="str">
        <f t="shared" si="18"/>
        <v>内部装修</v>
      </c>
      <c r="AA42" s="1809">
        <f t="shared" si="15"/>
        <v>1.0204081632653061</v>
      </c>
      <c r="AB42" s="1809">
        <f t="shared" si="16"/>
        <v>1.0204081632653061</v>
      </c>
      <c r="AC42" s="1809">
        <f t="shared" si="17"/>
        <v>1</v>
      </c>
    </row>
    <row r="43" spans="1:29" ht="15">
      <c r="A43" s="471"/>
      <c r="B43" s="421" t="s">
        <v>2568</v>
      </c>
      <c r="C43" s="2609" t="s">
        <v>3173</v>
      </c>
      <c r="D43" s="434">
        <v>100</v>
      </c>
      <c r="E43" s="2609" t="s">
        <v>3173</v>
      </c>
      <c r="F43" s="460">
        <f>SUMIF(124:124,E43,125:125)-SUMIF(124:124,C43,125:125)+100</f>
        <v>100</v>
      </c>
      <c r="G43" s="2609" t="s">
        <v>3173</v>
      </c>
      <c r="H43" s="434">
        <f>SUMIF(124:124,G43,125:125)-SUMIF(124:124,C43,125:125)+100</f>
        <v>100</v>
      </c>
      <c r="I43" s="2609" t="s">
        <v>3173</v>
      </c>
      <c r="J43" s="434">
        <f>SUMIF(124:124,I43,125:125)-SUMIF(124:124,C43,125:125)+100</f>
        <v>100</v>
      </c>
      <c r="K43" s="425">
        <v>2</v>
      </c>
      <c r="L43" s="1138"/>
      <c r="M43" s="1129"/>
      <c r="N43" s="1129"/>
      <c r="O43" s="1129"/>
      <c r="P43" s="3312"/>
      <c r="Q43" s="1808" t="str">
        <f t="shared" si="11"/>
        <v>内部装修维护情况</v>
      </c>
      <c r="R43" s="772" t="s">
        <v>21</v>
      </c>
      <c r="S43" s="773">
        <f t="shared" si="12"/>
        <v>100</v>
      </c>
      <c r="T43" s="772" t="s">
        <v>21</v>
      </c>
      <c r="U43" s="773">
        <f t="shared" si="13"/>
        <v>100</v>
      </c>
      <c r="V43" s="772" t="s">
        <v>21</v>
      </c>
      <c r="W43" s="773">
        <f t="shared" si="14"/>
        <v>100</v>
      </c>
      <c r="X43" s="1811"/>
      <c r="Y43" s="3314"/>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312"/>
      <c r="Q44" s="1793">
        <f t="shared" si="11"/>
        <v>111</v>
      </c>
      <c r="R44" s="768" t="s">
        <v>21</v>
      </c>
      <c r="S44" s="769">
        <f t="shared" si="12"/>
        <v>100</v>
      </c>
      <c r="T44" s="768" t="s">
        <v>21</v>
      </c>
      <c r="U44" s="769">
        <f t="shared" si="13"/>
        <v>100</v>
      </c>
      <c r="V44" s="768" t="s">
        <v>21</v>
      </c>
      <c r="W44" s="769">
        <f t="shared" si="14"/>
        <v>100</v>
      </c>
      <c r="X44" s="770"/>
      <c r="Y44" s="3314"/>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312"/>
      <c r="Q45" s="1808">
        <f t="shared" si="11"/>
        <v>111</v>
      </c>
      <c r="R45" s="772" t="s">
        <v>21</v>
      </c>
      <c r="S45" s="773">
        <f t="shared" si="12"/>
        <v>100</v>
      </c>
      <c r="T45" s="772" t="s">
        <v>21</v>
      </c>
      <c r="U45" s="773">
        <f t="shared" si="13"/>
        <v>100</v>
      </c>
      <c r="V45" s="772" t="s">
        <v>21</v>
      </c>
      <c r="W45" s="773">
        <f t="shared" si="14"/>
        <v>100</v>
      </c>
      <c r="X45" s="1811"/>
      <c r="Y45" s="3314"/>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313"/>
      <c r="Q46" s="1808">
        <f t="shared" si="11"/>
        <v>111</v>
      </c>
      <c r="R46" s="772" t="s">
        <v>20</v>
      </c>
      <c r="S46" s="773">
        <f t="shared" si="12"/>
        <v>100</v>
      </c>
      <c r="T46" s="772" t="s">
        <v>20</v>
      </c>
      <c r="U46" s="773">
        <f t="shared" si="13"/>
        <v>100</v>
      </c>
      <c r="V46" s="772" t="s">
        <v>20</v>
      </c>
      <c r="W46" s="773">
        <f t="shared" si="14"/>
        <v>100</v>
      </c>
      <c r="X46" s="1811"/>
      <c r="Y46" s="3315"/>
      <c r="Z46" s="1812">
        <f t="shared" si="18"/>
        <v>111</v>
      </c>
      <c r="AA46" s="1809">
        <f t="shared" si="15"/>
        <v>1</v>
      </c>
      <c r="AB46" s="1809">
        <f t="shared" si="16"/>
        <v>1</v>
      </c>
      <c r="AC46" s="1809">
        <f t="shared" si="17"/>
        <v>1</v>
      </c>
    </row>
    <row r="47" spans="1:29" ht="15">
      <c r="A47" s="478" t="s">
        <v>2569</v>
      </c>
      <c r="B47" s="479"/>
      <c r="C47" s="1405" t="s">
        <v>19</v>
      </c>
      <c r="D47" s="1406"/>
      <c r="E47" s="1407">
        <v>68291</v>
      </c>
      <c r="F47" s="1408"/>
      <c r="G47" s="1409">
        <v>70149</v>
      </c>
      <c r="H47" s="1410"/>
      <c r="I47" s="1407">
        <v>72833</v>
      </c>
      <c r="J47" s="1410"/>
      <c r="K47" s="2615"/>
      <c r="L47" s="1141"/>
      <c r="M47" s="1142"/>
      <c r="N47" s="1129"/>
      <c r="O47" s="1142"/>
      <c r="P47" s="3307" t="str">
        <f>A47</f>
        <v>成交单价（元/平方米）</v>
      </c>
      <c r="Q47" s="3307"/>
      <c r="R47" s="3308">
        <f>E47</f>
        <v>68291</v>
      </c>
      <c r="S47" s="3308"/>
      <c r="T47" s="3308">
        <f>G47</f>
        <v>70149</v>
      </c>
      <c r="U47" s="3308"/>
      <c r="V47" s="3308">
        <f>I47</f>
        <v>72833</v>
      </c>
      <c r="W47" s="3308"/>
      <c r="X47" s="757"/>
      <c r="Y47" s="779"/>
      <c r="Z47" s="757"/>
      <c r="AA47" s="757"/>
      <c r="AB47" s="757"/>
      <c r="AC47" s="757"/>
    </row>
    <row r="48" spans="1:29" ht="15.75" thickBot="1">
      <c r="A48" s="485" t="s">
        <v>2570</v>
      </c>
      <c r="B48" s="486"/>
      <c r="C48" s="1411">
        <f>R49</f>
        <v>69536</v>
      </c>
      <c r="D48" s="1412"/>
      <c r="E48" s="1413">
        <f>R48</f>
        <v>68346</v>
      </c>
      <c r="F48" s="1413"/>
      <c r="G48" s="1411">
        <f>T48</f>
        <v>68828</v>
      </c>
      <c r="H48" s="1412"/>
      <c r="I48" s="1413">
        <f>V48</f>
        <v>71433</v>
      </c>
      <c r="J48" s="1412"/>
      <c r="K48" s="2616"/>
      <c r="L48" s="1141"/>
      <c r="M48" s="1142"/>
      <c r="N48" s="1142"/>
      <c r="O48" s="1142"/>
      <c r="P48" s="3307" t="str">
        <f>A48</f>
        <v>比较价值（元/平方米）</v>
      </c>
      <c r="Q48" s="3307"/>
      <c r="R48" s="3308">
        <f>IF(F1="售价",ROUND(PRODUCT(R47,AA7:AA46),0),ROUND(PRODUCT(R47,AA7:AA46),1))</f>
        <v>68346</v>
      </c>
      <c r="S48" s="3308"/>
      <c r="T48" s="3308">
        <f>IF(F1="售价",ROUND(PRODUCT(T47,AB7:AB46),0),ROUND(PRODUCT(T47,AB7:AB46),1))</f>
        <v>68828</v>
      </c>
      <c r="U48" s="3308"/>
      <c r="V48" s="3308">
        <f>IF(F1="售价",ROUND(PRODUCT(V47,AC7:AC46),0),ROUND(PRODUCT(V47,AC7:AC46),1))</f>
        <v>71433</v>
      </c>
      <c r="W48" s="3308"/>
      <c r="X48" s="757"/>
      <c r="Y48" s="757"/>
      <c r="Z48" s="757"/>
      <c r="AA48" s="757"/>
      <c r="AB48" s="757"/>
      <c r="AC48" s="757"/>
    </row>
    <row r="49" spans="1:29" ht="15.75" thickBot="1">
      <c r="A49" s="491" t="s">
        <v>2571</v>
      </c>
      <c r="B49" s="492"/>
      <c r="C49" s="1414">
        <f>R49</f>
        <v>69536</v>
      </c>
      <c r="D49" s="1415"/>
      <c r="E49" s="1415"/>
      <c r="F49" s="1415"/>
      <c r="G49" s="1415"/>
      <c r="H49" s="1415"/>
      <c r="I49" s="1415"/>
      <c r="J49" s="1415"/>
      <c r="K49" s="2617"/>
      <c r="L49" s="1141"/>
      <c r="M49" s="1142"/>
      <c r="N49" s="1142"/>
      <c r="O49" s="1142"/>
      <c r="P49" s="3304" t="str">
        <f>A49</f>
        <v>估价对象XX用房的比较价值（楼面单价，元/平方米）</v>
      </c>
      <c r="Q49" s="3305"/>
      <c r="R49" s="3306">
        <f>IF(F1="售价",ROUND(AVERAGE(R48:V48),0),ROUND(AVERAGE(R48:V48),1))</f>
        <v>69536</v>
      </c>
      <c r="S49" s="3306"/>
      <c r="T49" s="3306"/>
      <c r="U49" s="3306"/>
      <c r="V49" s="3306"/>
      <c r="W49" s="330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8.0537698964722182E-4</v>
      </c>
      <c r="F52" s="499" t="str">
        <f>IF(OR(E52&gt;=0.3,E52&lt;=-0.3),"超过30%","")</f>
        <v/>
      </c>
      <c r="G52" s="498">
        <f>IF(G47&lt;G48,G48/G47-1,G47/G48-1)</f>
        <v>1.9192770384145907E-2</v>
      </c>
      <c r="H52" s="499" t="str">
        <f>IF(OR(G52&gt;=0.3,G52&lt;=-0.3),"超过30%","")</f>
        <v/>
      </c>
      <c r="I52" s="498">
        <f>IF(I47&lt;I48,I48/I47-1,I47/I48-1)</f>
        <v>1.9598784875337838E-2</v>
      </c>
      <c r="J52" s="499" t="str">
        <f>IF(OR(I52&gt;=0.3,I52&lt;=-0.3),"超过30%","")</f>
        <v/>
      </c>
      <c r="K52" s="1103"/>
      <c r="L52" s="1104"/>
      <c r="M52" s="1142"/>
      <c r="N52" s="1142"/>
      <c r="O52" s="1142"/>
    </row>
    <row r="53" spans="1:29" ht="13.5" customHeight="1">
      <c r="A53" s="1142"/>
      <c r="B53" s="1142"/>
      <c r="C53" s="496" t="s">
        <v>2573</v>
      </c>
      <c r="D53" s="500"/>
      <c r="E53" s="498">
        <f>IF(E48&lt;G48,G48/E48-1,E48/G48-1)</f>
        <v>7.0523512714715242E-3</v>
      </c>
      <c r="F53" s="499" t="str">
        <f>IF(OR(E53&gt;=0.2,E53&lt;=-0.2),"超过20%","")</f>
        <v/>
      </c>
      <c r="G53" s="498">
        <f>IF(G48&lt;I48,I48/G48-1,G48/I48-1)</f>
        <v>3.7847968849886726E-2</v>
      </c>
      <c r="H53" s="499" t="str">
        <f>IF(OR(G53&gt;=0.2,G53&lt;=-0.2),"超过20%","")</f>
        <v/>
      </c>
      <c r="I53" s="498">
        <f>IF(I48&lt;E48,E48/I48-1,I48/E48-1)</f>
        <v>4.5167237292599527E-2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2.7207099032083182E-2</v>
      </c>
      <c r="F54" s="499" t="str">
        <f>IF(OR(E54&gt;=0.3,E54&lt;=-0.3),"超过30%","")</f>
        <v/>
      </c>
      <c r="G54" s="498">
        <f>IF(G47&lt;I47,I47/G47-1,G47/I47-1)</f>
        <v>3.8261414988096876E-2</v>
      </c>
      <c r="H54" s="499" t="str">
        <f>IF(OR(G54&gt;=0.3,G54&lt;=-0.3),"超过30%","")</f>
        <v/>
      </c>
      <c r="I54" s="498">
        <f>IF(I47&lt;E47,E47/I47-1,I47/E47-1)</f>
        <v>6.650949612686885E-2</v>
      </c>
      <c r="J54" s="499" t="str">
        <f>IF(OR(I54&gt;=0.3,I54&lt;=-0.3),"超过30%","")</f>
        <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20"/>
      <c r="Q57" s="503"/>
    </row>
    <row r="58" spans="1:29" s="507" customFormat="1" ht="15">
      <c r="A58" s="504" t="s">
        <v>2576</v>
      </c>
      <c r="B58" s="505"/>
      <c r="C58" s="1574" t="str">
        <f>YEAR(C7)&amp;"-"&amp;MONTH(C7)</f>
        <v>2020-5</v>
      </c>
      <c r="D58" s="1573">
        <f>EDATE(C58,-1)</f>
        <v>43922</v>
      </c>
      <c r="E58" s="1573">
        <f>EDATE(D58,-1)</f>
        <v>43891</v>
      </c>
      <c r="F58" s="1573">
        <f t="shared" ref="F58:O58" si="19">EDATE(E58,-1)</f>
        <v>43862</v>
      </c>
      <c r="G58" s="1573">
        <f t="shared" si="19"/>
        <v>43831</v>
      </c>
      <c r="H58" s="1573">
        <f t="shared" si="19"/>
        <v>43800</v>
      </c>
      <c r="I58" s="1573">
        <f t="shared" si="19"/>
        <v>43770</v>
      </c>
      <c r="J58" s="1573">
        <f t="shared" si="19"/>
        <v>43739</v>
      </c>
      <c r="K58" s="1573">
        <f t="shared" si="19"/>
        <v>43709</v>
      </c>
      <c r="L58" s="1573">
        <f t="shared" si="19"/>
        <v>43678</v>
      </c>
      <c r="M58" s="1573">
        <f t="shared" si="19"/>
        <v>43647</v>
      </c>
      <c r="N58" s="1573">
        <f t="shared" si="19"/>
        <v>43617</v>
      </c>
      <c r="O58" s="1573">
        <f t="shared" si="19"/>
        <v>43586</v>
      </c>
      <c r="P58" s="1568"/>
    </row>
    <row r="59" spans="1:29" s="116" customFormat="1" ht="15">
      <c r="A59" s="508"/>
      <c r="B59" s="2621"/>
      <c r="C59" s="1571">
        <v>100</v>
      </c>
      <c r="D59" s="511">
        <v>100</v>
      </c>
      <c r="E59" s="511">
        <v>100</v>
      </c>
      <c r="F59" s="511">
        <v>100</v>
      </c>
      <c r="G59" s="511">
        <v>100</v>
      </c>
      <c r="H59" s="511">
        <v>100</v>
      </c>
      <c r="I59" s="511">
        <v>100</v>
      </c>
      <c r="J59" s="511">
        <v>100</v>
      </c>
      <c r="K59" s="511">
        <v>100</v>
      </c>
      <c r="L59" s="511">
        <v>100</v>
      </c>
      <c r="M59" s="511">
        <v>100</v>
      </c>
      <c r="N59" s="511">
        <v>100</v>
      </c>
      <c r="O59" s="511">
        <v>100</v>
      </c>
      <c r="P59" s="2622"/>
    </row>
    <row r="60" spans="1:29" s="116" customFormat="1" ht="15.75" thickBot="1">
      <c r="A60" s="514" t="s">
        <v>2577</v>
      </c>
      <c r="B60" s="515"/>
      <c r="C60" s="516"/>
      <c r="D60" s="517"/>
      <c r="E60" s="517"/>
      <c r="F60" s="517"/>
      <c r="G60" s="517"/>
      <c r="H60" s="517"/>
      <c r="I60" s="517"/>
      <c r="J60" s="517"/>
      <c r="K60" s="517"/>
      <c r="L60" s="517"/>
      <c r="M60" s="518"/>
      <c r="N60" s="517"/>
      <c r="O60" s="518"/>
      <c r="P60" s="2622"/>
      <c r="Q60" s="503"/>
    </row>
    <row r="61" spans="1:29" s="116" customFormat="1" ht="15">
      <c r="A61" s="520" t="s">
        <v>2578</v>
      </c>
      <c r="B61" s="509"/>
      <c r="C61" s="521" t="s">
        <v>2579</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2580</v>
      </c>
      <c r="B63" s="527" t="s">
        <v>2546</v>
      </c>
      <c r="C63" s="528" t="str">
        <f>C9</f>
        <v>住宅</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1"/>
      <c r="O66" s="1151"/>
      <c r="P66" s="2624"/>
      <c r="Q66" s="503"/>
    </row>
    <row r="67" spans="1:17" ht="15.75" thickTop="1">
      <c r="A67" s="533"/>
      <c r="B67" s="545" t="s">
        <v>2550</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4"/>
      <c r="Q67" s="503"/>
    </row>
    <row r="68" spans="1:17" ht="15">
      <c r="A68" s="533"/>
      <c r="B68" s="547"/>
      <c r="C68" s="548">
        <v>0</v>
      </c>
      <c r="D68" s="548">
        <v>1</v>
      </c>
      <c r="E68" s="548">
        <v>2</v>
      </c>
      <c r="F68" s="548">
        <v>3</v>
      </c>
      <c r="G68" s="548"/>
      <c r="H68" s="548"/>
      <c r="I68" s="548"/>
      <c r="J68" s="548"/>
      <c r="K68" s="549"/>
      <c r="L68" s="550"/>
      <c r="M68" s="551"/>
      <c r="N68" s="1150"/>
      <c r="O68" s="1150"/>
      <c r="P68" s="2624"/>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4"/>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4"/>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4"/>
      <c r="Q81" s="503"/>
    </row>
    <row r="82" spans="1:17" ht="15.75" thickTop="1">
      <c r="A82" s="533"/>
      <c r="B82" s="545" t="s">
        <v>2090</v>
      </c>
      <c r="C82" s="538" t="s">
        <v>2596</v>
      </c>
      <c r="D82" s="538" t="s">
        <v>2597</v>
      </c>
      <c r="E82" s="538" t="s">
        <v>2598</v>
      </c>
      <c r="F82" s="538" t="s">
        <v>2599</v>
      </c>
      <c r="G82" s="538" t="s">
        <v>2600</v>
      </c>
      <c r="H82" s="538"/>
      <c r="I82" s="538"/>
      <c r="J82" s="538"/>
      <c r="K82" s="538"/>
      <c r="L82" s="538"/>
      <c r="M82" s="1380"/>
      <c r="N82" s="1151"/>
      <c r="O82" s="1151"/>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4"/>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6" customFormat="1" ht="15.75" thickTop="1">
      <c r="A86" s="578"/>
      <c r="B86" s="537" t="s">
        <v>2602</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4"/>
      <c r="Q87" s="503"/>
    </row>
    <row r="88" spans="1:17" s="116" customFormat="1" ht="15.75" thickTop="1">
      <c r="A88" s="578"/>
      <c r="B88" s="537" t="s">
        <v>2603</v>
      </c>
      <c r="C88" s="2976" t="s">
        <v>3194</v>
      </c>
      <c r="D88" s="2976" t="s">
        <v>3195</v>
      </c>
      <c r="E88" s="2976" t="s">
        <v>3196</v>
      </c>
      <c r="F88" s="2977" t="s">
        <v>3197</v>
      </c>
      <c r="G88" s="3383" t="s">
        <v>3198</v>
      </c>
      <c r="H88" s="3383" t="s">
        <v>3199</v>
      </c>
      <c r="I88" s="2976" t="s">
        <v>3201</v>
      </c>
      <c r="J88" s="2976" t="s">
        <v>3202</v>
      </c>
      <c r="K88" s="2976" t="s">
        <v>3203</v>
      </c>
      <c r="L88" s="2976" t="s">
        <v>3204</v>
      </c>
      <c r="M88" s="580"/>
      <c r="N88" s="1149"/>
      <c r="O88" s="1149"/>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4"/>
      <c r="Q89" s="503"/>
    </row>
    <row r="90" spans="1:17" s="470" customFormat="1" ht="15.75" thickTop="1">
      <c r="A90" s="552"/>
      <c r="B90" s="537" t="str">
        <f>B27</f>
        <v>楼层</v>
      </c>
      <c r="C90" s="2976" t="s">
        <v>3189</v>
      </c>
      <c r="D90" s="2976" t="s">
        <v>3191</v>
      </c>
      <c r="E90" s="2976" t="s">
        <v>3193</v>
      </c>
      <c r="F90" s="553"/>
      <c r="G90" s="553"/>
      <c r="H90" s="554"/>
      <c r="I90" s="554"/>
      <c r="J90" s="554"/>
      <c r="K90" s="554"/>
      <c r="L90" s="555"/>
      <c r="M90" s="556"/>
      <c r="N90" s="1152"/>
      <c r="O90" s="1152"/>
      <c r="P90" s="2625"/>
      <c r="Q90" s="558"/>
    </row>
    <row r="91" spans="1:17" s="470" customFormat="1" ht="15.75" thickBot="1">
      <c r="A91" s="552"/>
      <c r="B91" s="542"/>
      <c r="C91" s="559">
        <v>100</v>
      </c>
      <c r="D91" s="559">
        <v>99</v>
      </c>
      <c r="E91" s="559">
        <v>98</v>
      </c>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2555</v>
      </c>
      <c r="B100" s="527" t="s">
        <v>2604</v>
      </c>
      <c r="C100" s="2978" t="s">
        <v>3206</v>
      </c>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4"/>
      <c r="Q101" s="503"/>
    </row>
    <row r="102" spans="1:17" ht="15.75" thickTop="1">
      <c r="A102" s="533"/>
      <c r="B102" s="537" t="s">
        <v>2605</v>
      </c>
      <c r="C102" s="577" t="str">
        <f>C103&amp;"(含)"&amp;"-"&amp;D103</f>
        <v>0(含)-140</v>
      </c>
      <c r="D102" s="577" t="str">
        <f t="shared" ref="D102:L102" si="27">D103&amp;"(含)"&amp;"-"&amp;E103</f>
        <v>140(含)-180</v>
      </c>
      <c r="E102" s="577" t="str">
        <f t="shared" si="27"/>
        <v>180(含)-220</v>
      </c>
      <c r="F102" s="577" t="str">
        <f t="shared" si="27"/>
        <v>220(含)-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4"/>
      <c r="Q102" s="503"/>
    </row>
    <row r="103" spans="1:17" s="470" customFormat="1">
      <c r="A103" s="592"/>
      <c r="B103" s="593"/>
      <c r="C103" s="594">
        <v>0</v>
      </c>
      <c r="D103" s="594">
        <v>140</v>
      </c>
      <c r="E103" s="594">
        <v>180</v>
      </c>
      <c r="F103" s="594">
        <v>220</v>
      </c>
      <c r="G103" s="594"/>
      <c r="H103" s="594"/>
      <c r="I103" s="594"/>
      <c r="J103" s="595"/>
      <c r="K103" s="595"/>
      <c r="L103" s="596"/>
      <c r="M103" s="597"/>
      <c r="N103" s="1152"/>
      <c r="O103" s="1152"/>
      <c r="P103" s="2625"/>
      <c r="Q103" s="558"/>
    </row>
    <row r="104" spans="1:17" s="470" customFormat="1" ht="15.75" thickBot="1">
      <c r="A104" s="552"/>
      <c r="B104" s="542"/>
      <c r="C104" s="559">
        <v>100</v>
      </c>
      <c r="D104" s="535">
        <v>98</v>
      </c>
      <c r="E104" s="535">
        <v>96</v>
      </c>
      <c r="F104" s="535">
        <v>94</v>
      </c>
      <c r="G104" s="535"/>
      <c r="H104" s="535"/>
      <c r="I104" s="535"/>
      <c r="J104" s="535"/>
      <c r="K104" s="535"/>
      <c r="L104" s="535"/>
      <c r="M104" s="535"/>
      <c r="N104" s="1151"/>
      <c r="O104" s="1151"/>
      <c r="P104" s="2625"/>
      <c r="Q104" s="558"/>
    </row>
    <row r="105" spans="1:17" ht="15" thickTop="1">
      <c r="A105" s="598"/>
      <c r="B105" s="537" t="s">
        <v>2606</v>
      </c>
      <c r="C105" s="2976" t="s">
        <v>3207</v>
      </c>
      <c r="D105" s="2976" t="s">
        <v>3208</v>
      </c>
      <c r="E105" s="2979" t="s">
        <v>3209</v>
      </c>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4"/>
      <c r="Q106" s="503"/>
    </row>
    <row r="107" spans="1:17" ht="15" thickTop="1">
      <c r="A107" s="598"/>
      <c r="B107" s="537" t="s">
        <v>2607</v>
      </c>
      <c r="C107" s="2979" t="s">
        <v>3210</v>
      </c>
      <c r="D107" s="2979" t="s">
        <v>3212</v>
      </c>
      <c r="E107" s="2979" t="s">
        <v>3213</v>
      </c>
      <c r="F107" s="2979" t="s">
        <v>3214</v>
      </c>
      <c r="G107" s="2979" t="s">
        <v>3215</v>
      </c>
      <c r="H107" s="582"/>
      <c r="I107" s="582"/>
      <c r="J107" s="582"/>
      <c r="K107" s="583"/>
      <c r="L107" s="584"/>
      <c r="M107" s="585"/>
      <c r="N107" s="1150"/>
      <c r="O107" s="1150"/>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4"/>
      <c r="Q108" s="503"/>
    </row>
    <row r="109" spans="1:17" ht="15" thickTop="1">
      <c r="A109" s="598"/>
      <c r="B109" s="537" t="s">
        <v>2608</v>
      </c>
      <c r="C109" s="2976" t="s">
        <v>3217</v>
      </c>
      <c r="D109" s="2976" t="s">
        <v>3219</v>
      </c>
      <c r="E109" s="2976" t="s">
        <v>3221</v>
      </c>
      <c r="F109" s="2979" t="s">
        <v>3222</v>
      </c>
      <c r="G109" s="582"/>
      <c r="H109" s="582"/>
      <c r="I109" s="582"/>
      <c r="J109" s="582"/>
      <c r="K109" s="583"/>
      <c r="L109" s="584"/>
      <c r="M109" s="585"/>
      <c r="N109" s="1150"/>
      <c r="O109" s="1150"/>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4"/>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5"/>
      <c r="Q113" s="558"/>
    </row>
    <row r="114" spans="1:17" ht="15" thickTop="1">
      <c r="A114" s="598"/>
      <c r="B114" s="537" t="s">
        <v>2609</v>
      </c>
      <c r="C114" s="2976" t="s">
        <v>3224</v>
      </c>
      <c r="D114" s="2976" t="s">
        <v>3225</v>
      </c>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4"/>
      <c r="Q115" s="503"/>
    </row>
    <row r="116" spans="1:17" ht="15" thickTop="1">
      <c r="A116" s="598"/>
      <c r="B116" s="537" t="s">
        <v>2610</v>
      </c>
      <c r="C116" s="2976" t="s">
        <v>3226</v>
      </c>
      <c r="D116" s="2976" t="s">
        <v>3228</v>
      </c>
      <c r="E116" s="2976" t="s">
        <v>3229</v>
      </c>
      <c r="F116" s="553"/>
      <c r="G116" s="553"/>
      <c r="H116" s="582"/>
      <c r="I116" s="582"/>
      <c r="J116" s="582"/>
      <c r="K116" s="583"/>
      <c r="L116" s="584"/>
      <c r="M116" s="585"/>
      <c r="N116" s="1150"/>
      <c r="O116" s="1150"/>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2611</v>
      </c>
      <c r="C118" s="2979" t="s">
        <v>3230</v>
      </c>
      <c r="D118" s="582"/>
      <c r="E118" s="582"/>
      <c r="F118" s="582"/>
      <c r="G118" s="582"/>
      <c r="H118" s="582"/>
      <c r="I118" s="582"/>
      <c r="J118" s="582"/>
      <c r="K118" s="583"/>
      <c r="L118" s="584"/>
      <c r="M118" s="585"/>
      <c r="N118" s="1150"/>
      <c r="O118" s="1150"/>
      <c r="P118" s="2624"/>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4"/>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2612</v>
      </c>
      <c r="C122" s="2976" t="s">
        <v>3217</v>
      </c>
      <c r="D122" s="2976" t="s">
        <v>3219</v>
      </c>
      <c r="E122" s="2976" t="s">
        <v>3221</v>
      </c>
      <c r="F122" s="2979" t="s">
        <v>3222</v>
      </c>
      <c r="G122" s="582"/>
      <c r="H122" s="582"/>
      <c r="I122" s="582"/>
      <c r="J122" s="582"/>
      <c r="K122" s="583"/>
      <c r="L122" s="584"/>
      <c r="M122" s="585"/>
      <c r="N122" s="1150"/>
      <c r="O122" s="1150"/>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4"/>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2614</v>
      </c>
    </row>
    <row r="137" spans="1:17" ht="15">
      <c r="B137" s="2632" t="s">
        <v>2615</v>
      </c>
      <c r="C137" s="2633"/>
      <c r="D137" s="2633"/>
      <c r="E137" s="2633"/>
      <c r="F137" s="2633"/>
      <c r="G137" s="2634"/>
      <c r="H137" s="2635"/>
      <c r="I137" s="2636" t="s">
        <v>2616</v>
      </c>
      <c r="J137" s="2633"/>
      <c r="K137" s="2637"/>
    </row>
    <row r="138" spans="1:17" ht="15">
      <c r="B138" s="2638"/>
      <c r="C138" s="145" t="s">
        <v>2617</v>
      </c>
      <c r="D138" s="145" t="s">
        <v>2618</v>
      </c>
      <c r="E138" s="2639" t="s">
        <v>2619</v>
      </c>
      <c r="F138" s="2640" t="s">
        <v>2620</v>
      </c>
      <c r="G138" s="145" t="s">
        <v>2618</v>
      </c>
      <c r="H138" s="146" t="s">
        <v>2619</v>
      </c>
      <c r="I138" s="2641"/>
      <c r="J138" s="145" t="s">
        <v>2621</v>
      </c>
      <c r="K138" s="146" t="s">
        <v>2622</v>
      </c>
    </row>
    <row r="139" spans="1:17" ht="15">
      <c r="B139" s="1082">
        <v>6</v>
      </c>
      <c r="C139" s="1083">
        <v>96</v>
      </c>
      <c r="D139" s="2642" t="s">
        <v>2623</v>
      </c>
      <c r="E139" s="1084">
        <v>100</v>
      </c>
      <c r="F139" s="1085">
        <v>102.5</v>
      </c>
      <c r="G139" s="2642" t="s">
        <v>2623</v>
      </c>
      <c r="H139" s="1086">
        <v>105</v>
      </c>
      <c r="I139" s="2643" t="s">
        <v>2624</v>
      </c>
      <c r="J139" s="1083">
        <v>20</v>
      </c>
      <c r="K139" s="1087">
        <f>C145/(J139-2)</f>
        <v>4.0555555555555553E-3</v>
      </c>
    </row>
    <row r="140" spans="1:17" ht="15">
      <c r="B140" s="1088">
        <v>5</v>
      </c>
      <c r="C140" s="1089">
        <v>100</v>
      </c>
      <c r="D140" s="1089"/>
      <c r="E140" s="1090"/>
      <c r="F140" s="1091">
        <v>102</v>
      </c>
      <c r="G140" s="1089"/>
      <c r="H140" s="1092"/>
      <c r="I140" s="2644" t="s">
        <v>2625</v>
      </c>
      <c r="J140" s="314">
        <f>ROUNDUP((J139-1)/2,0)</f>
        <v>10</v>
      </c>
      <c r="K140" s="1093">
        <v>100</v>
      </c>
    </row>
    <row r="141" spans="1:17" ht="15">
      <c r="B141" s="1088">
        <v>4</v>
      </c>
      <c r="C141" s="1089">
        <v>102</v>
      </c>
      <c r="D141" s="1089"/>
      <c r="E141" s="1090"/>
      <c r="F141" s="1091">
        <v>101.5</v>
      </c>
      <c r="G141" s="1089"/>
      <c r="H141" s="1092"/>
      <c r="I141" s="2644" t="s">
        <v>2626</v>
      </c>
      <c r="J141" s="314">
        <v>1</v>
      </c>
      <c r="K141" s="1094">
        <f>ROUND(100+(J141-J140)*K139*100,1)</f>
        <v>96.4</v>
      </c>
    </row>
    <row r="142" spans="1:17" ht="15">
      <c r="B142" s="1088">
        <v>3</v>
      </c>
      <c r="C142" s="1089">
        <v>103</v>
      </c>
      <c r="D142" s="1089"/>
      <c r="E142" s="1090"/>
      <c r="F142" s="1091">
        <v>101</v>
      </c>
      <c r="G142" s="1089"/>
      <c r="H142" s="1092"/>
      <c r="I142" s="2644" t="s">
        <v>2627</v>
      </c>
      <c r="J142" s="314">
        <f>J139</f>
        <v>20</v>
      </c>
      <c r="K142" s="1095">
        <v>95</v>
      </c>
    </row>
    <row r="143" spans="1:17" ht="15">
      <c r="B143" s="1088">
        <v>2</v>
      </c>
      <c r="C143" s="1089">
        <v>100</v>
      </c>
      <c r="D143" s="1089"/>
      <c r="E143" s="1090"/>
      <c r="F143" s="1091">
        <v>100.5</v>
      </c>
      <c r="G143" s="1089"/>
      <c r="H143" s="1092"/>
      <c r="I143" s="2644" t="s">
        <v>2628</v>
      </c>
      <c r="J143" s="1089">
        <v>15</v>
      </c>
      <c r="K143" s="1094">
        <f>ROUND(100+(J143-J140)*K139*100,1)</f>
        <v>102</v>
      </c>
    </row>
    <row r="144" spans="1:17" ht="15">
      <c r="B144" s="1088">
        <v>1</v>
      </c>
      <c r="C144" s="1089">
        <v>98</v>
      </c>
      <c r="D144" s="2645" t="s">
        <v>2629</v>
      </c>
      <c r="E144" s="1090">
        <v>102</v>
      </c>
      <c r="F144" s="1096">
        <v>100</v>
      </c>
      <c r="G144" s="2645" t="s">
        <v>2629</v>
      </c>
      <c r="H144" s="1092">
        <v>105</v>
      </c>
      <c r="I144" s="2644" t="s">
        <v>2628</v>
      </c>
      <c r="J144" s="1089">
        <v>18</v>
      </c>
      <c r="K144" s="1094">
        <f>ROUND(100+(J144-J140)*K139*100,1)</f>
        <v>103.2</v>
      </c>
    </row>
    <row r="145" spans="2:11" ht="15.75" thickBot="1">
      <c r="B145" s="2646" t="s">
        <v>2630</v>
      </c>
      <c r="C145" s="1097">
        <f>ROUND(MAX(C139:C144)/MIN(C139:C144)-1,3)</f>
        <v>7.2999999999999995E-2</v>
      </c>
      <c r="D145" s="1098"/>
      <c r="E145" s="1098"/>
      <c r="F145" s="2647" t="s">
        <v>2631</v>
      </c>
      <c r="G145" s="2648"/>
      <c r="H145" s="2649"/>
      <c r="I145" s="2650" t="s">
        <v>2628</v>
      </c>
      <c r="J145" s="1099">
        <v>8</v>
      </c>
      <c r="K145" s="1100">
        <f>ROUND(100+(J145-J140)*K139*100,1)</f>
        <v>99.2</v>
      </c>
    </row>
    <row r="147" spans="2:11">
      <c r="B147" s="2631" t="s">
        <v>2632</v>
      </c>
    </row>
    <row r="148" spans="2:11">
      <c r="B148" s="2631"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6" sqref="G6:H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78" t="s">
        <v>2634</v>
      </c>
      <c r="C1" s="1632" t="s">
        <v>2522</v>
      </c>
      <c r="D1" s="1619"/>
      <c r="E1" s="2651"/>
      <c r="F1" s="2580"/>
      <c r="G1" s="1629" t="s">
        <v>2635</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2319</v>
      </c>
      <c r="B2" s="1416" t="e">
        <f ca="1">IF(C2="——",ROUND(C49*D3/10000,0),ROUND(C49*D3/10000,0)-D2)</f>
        <v>#DIV/0!</v>
      </c>
      <c r="C2" s="2582"/>
      <c r="D2" s="1363" t="e">
        <f ca="1">SUMIF(INDIRECT("'"&amp;F2&amp;"'"&amp;"!A:A"),"承租人权益价值",INDIRECT("'"&amp;F2&amp;"'"&amp;"!c:c"))</f>
        <v>#REF!</v>
      </c>
      <c r="E2" s="2583" t="s">
        <v>2320</v>
      </c>
      <c r="F2" s="2584"/>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2321</v>
      </c>
      <c r="B3" s="608" t="e">
        <f ca="1">IF(C2="——",C49,ROUND(B2*10000/D3,0))</f>
        <v>#DIV/0!</v>
      </c>
      <c r="C3" s="399" t="s">
        <v>2636</v>
      </c>
      <c r="D3" s="398">
        <f>IF(D1="",'数据-汇总表'!E3,SUMIF('数据-汇总表'!$C19:$C33,D1,'数据-汇总表'!$E19:$E33))</f>
        <v>1191.7</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2637</v>
      </c>
      <c r="B4" s="401"/>
      <c r="C4" s="3290" t="s">
        <v>2638</v>
      </c>
      <c r="D4" s="3291"/>
      <c r="E4" s="3292" t="s">
        <v>2639</v>
      </c>
      <c r="F4" s="3293"/>
      <c r="G4" s="3290" t="s">
        <v>2640</v>
      </c>
      <c r="H4" s="3291"/>
      <c r="I4" s="3290" t="s">
        <v>2641</v>
      </c>
      <c r="J4" s="3291"/>
      <c r="K4" s="609" t="s">
        <v>2642</v>
      </c>
      <c r="L4" s="1128"/>
      <c r="M4" s="1129"/>
      <c r="N4" s="1129"/>
      <c r="O4" s="1129"/>
      <c r="P4" s="3294" t="s">
        <v>2643</v>
      </c>
      <c r="Q4" s="3295"/>
      <c r="R4" s="3277" t="s">
        <v>2639</v>
      </c>
      <c r="S4" s="3278"/>
      <c r="T4" s="3277" t="s">
        <v>2640</v>
      </c>
      <c r="U4" s="3278"/>
      <c r="V4" s="3302" t="s">
        <v>2641</v>
      </c>
      <c r="W4" s="3302"/>
      <c r="X4" s="1811"/>
      <c r="Y4" s="3277" t="s">
        <v>2643</v>
      </c>
      <c r="Z4" s="3278"/>
      <c r="AA4" s="3272" t="s">
        <v>2639</v>
      </c>
      <c r="AB4" s="3302" t="s">
        <v>2640</v>
      </c>
      <c r="AC4" s="3272" t="s">
        <v>2641</v>
      </c>
    </row>
    <row r="5" spans="1:29" ht="15">
      <c r="A5" s="403"/>
      <c r="B5" s="404"/>
      <c r="C5" s="3319" t="s">
        <v>2534</v>
      </c>
      <c r="D5" s="3284"/>
      <c r="E5" s="3318" t="s">
        <v>2535</v>
      </c>
      <c r="F5" s="3282"/>
      <c r="G5" s="3319" t="s">
        <v>2536</v>
      </c>
      <c r="H5" s="3284"/>
      <c r="I5" s="3319" t="s">
        <v>2537</v>
      </c>
      <c r="J5" s="3284"/>
      <c r="K5" s="609"/>
      <c r="L5" s="1128"/>
      <c r="M5" s="1129"/>
      <c r="N5" s="1129"/>
      <c r="O5" s="1129"/>
      <c r="P5" s="3296"/>
      <c r="Q5" s="3297"/>
      <c r="R5" s="3279"/>
      <c r="S5" s="3280"/>
      <c r="T5" s="3279"/>
      <c r="U5" s="3280"/>
      <c r="V5" s="3302"/>
      <c r="W5" s="3302"/>
      <c r="X5" s="1811"/>
      <c r="Y5" s="3279"/>
      <c r="Z5" s="3280"/>
      <c r="AA5" s="3273"/>
      <c r="AB5" s="3302"/>
      <c r="AC5" s="3273"/>
    </row>
    <row r="6" spans="1:29" ht="15.75" thickBot="1">
      <c r="A6" s="405"/>
      <c r="B6" s="406"/>
      <c r="C6" s="3285" t="s">
        <v>2538</v>
      </c>
      <c r="D6" s="3286"/>
      <c r="E6" s="3287" t="s">
        <v>2538</v>
      </c>
      <c r="F6" s="3288"/>
      <c r="G6" s="3285" t="s">
        <v>2538</v>
      </c>
      <c r="H6" s="3286"/>
      <c r="I6" s="3285" t="s">
        <v>2538</v>
      </c>
      <c r="J6" s="3286"/>
      <c r="K6" s="609" t="s">
        <v>2539</v>
      </c>
      <c r="L6" s="1128"/>
      <c r="M6" s="1129"/>
      <c r="N6" s="1129"/>
      <c r="O6" s="1129"/>
      <c r="P6" s="3298"/>
      <c r="Q6" s="3299"/>
      <c r="R6" s="3279"/>
      <c r="S6" s="3280"/>
      <c r="T6" s="3300"/>
      <c r="U6" s="3301"/>
      <c r="V6" s="3302"/>
      <c r="W6" s="3302"/>
      <c r="X6" s="1811"/>
      <c r="Y6" s="3300"/>
      <c r="Z6" s="3301"/>
      <c r="AA6" s="3274"/>
      <c r="AB6" s="3302"/>
      <c r="AC6" s="3274"/>
    </row>
    <row r="7" spans="1:29" s="116" customFormat="1" ht="15.75" thickBot="1">
      <c r="A7" s="407" t="s">
        <v>2540</v>
      </c>
      <c r="B7" s="408"/>
      <c r="C7" s="409">
        <f>'数据-取费表'!B2</f>
        <v>43969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75" t="s">
        <v>2541</v>
      </c>
      <c r="Q7" s="3303"/>
      <c r="R7" s="768" t="s">
        <v>17</v>
      </c>
      <c r="S7" s="769">
        <f t="shared" ref="S7:S15" si="0">F7</f>
        <v>0</v>
      </c>
      <c r="T7" s="768" t="s">
        <v>17</v>
      </c>
      <c r="U7" s="769">
        <f t="shared" ref="U7:U15" si="1">H7</f>
        <v>0</v>
      </c>
      <c r="V7" s="768" t="s">
        <v>17</v>
      </c>
      <c r="W7" s="769">
        <f t="shared" ref="W7:W15" si="2">J7</f>
        <v>0</v>
      </c>
      <c r="X7" s="770"/>
      <c r="Y7" s="3275" t="s">
        <v>2541</v>
      </c>
      <c r="Z7" s="3276"/>
      <c r="AA7" s="771" t="e">
        <f>D7/F7</f>
        <v>#DIV/0!</v>
      </c>
      <c r="AB7" s="771" t="e">
        <f>D7/H7</f>
        <v>#DIV/0!</v>
      </c>
      <c r="AC7" s="771"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75" t="s">
        <v>2544</v>
      </c>
      <c r="Q8" s="3276"/>
      <c r="R8" s="768" t="s">
        <v>17</v>
      </c>
      <c r="S8" s="769">
        <f t="shared" si="0"/>
        <v>0</v>
      </c>
      <c r="T8" s="768" t="s">
        <v>17</v>
      </c>
      <c r="U8" s="769">
        <f t="shared" si="1"/>
        <v>0</v>
      </c>
      <c r="V8" s="768" t="s">
        <v>17</v>
      </c>
      <c r="W8" s="769">
        <f t="shared" si="2"/>
        <v>0</v>
      </c>
      <c r="X8" s="770"/>
      <c r="Y8" s="3275" t="s">
        <v>2544</v>
      </c>
      <c r="Z8" s="3276"/>
      <c r="AA8" s="771" t="e">
        <f t="shared" ref="AA8:AA46" si="3">D8/F8</f>
        <v>#DIV/0!</v>
      </c>
      <c r="AB8" s="771" t="e">
        <f t="shared" ref="AB8:AB46" si="4">D8/H8</f>
        <v>#DIV/0!</v>
      </c>
      <c r="AC8" s="771" t="e">
        <f t="shared" ref="AC8:AC46" si="5">D8/J8</f>
        <v>#DIV/0!</v>
      </c>
    </row>
    <row r="9" spans="1:29" s="116" customFormat="1">
      <c r="A9" s="414" t="s">
        <v>2545</v>
      </c>
      <c r="B9" s="70"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89" t="s">
        <v>2547</v>
      </c>
      <c r="Q9" s="1793" t="str">
        <f t="shared" ref="Q9:Q15" si="6">B9</f>
        <v>用途</v>
      </c>
      <c r="R9" s="768" t="s">
        <v>17</v>
      </c>
      <c r="S9" s="769">
        <f t="shared" si="0"/>
        <v>100</v>
      </c>
      <c r="T9" s="768" t="s">
        <v>17</v>
      </c>
      <c r="U9" s="769">
        <f t="shared" si="1"/>
        <v>100</v>
      </c>
      <c r="V9" s="768" t="s">
        <v>17</v>
      </c>
      <c r="W9" s="769">
        <f t="shared" si="2"/>
        <v>100</v>
      </c>
      <c r="X9" s="770"/>
      <c r="Y9" s="3099" t="s">
        <v>2548</v>
      </c>
      <c r="Z9" s="54"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89"/>
      <c r="Q10" s="1793" t="str">
        <f t="shared" si="6"/>
        <v>土地使用年限（年）</v>
      </c>
      <c r="R10" s="768" t="s">
        <v>17</v>
      </c>
      <c r="S10" s="769">
        <f t="shared" si="0"/>
        <v>100</v>
      </c>
      <c r="T10" s="768" t="s">
        <v>17</v>
      </c>
      <c r="U10" s="769">
        <f t="shared" si="1"/>
        <v>100</v>
      </c>
      <c r="V10" s="768" t="s">
        <v>17</v>
      </c>
      <c r="W10" s="769">
        <f t="shared" si="2"/>
        <v>100</v>
      </c>
      <c r="X10" s="770"/>
      <c r="Y10" s="3099"/>
      <c r="Z10" s="54"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89"/>
      <c r="Q11" s="1793" t="str">
        <f t="shared" si="6"/>
        <v>容积率</v>
      </c>
      <c r="R11" s="768" t="s">
        <v>17</v>
      </c>
      <c r="S11" s="769" t="e">
        <f t="shared" si="0"/>
        <v>#N/A</v>
      </c>
      <c r="T11" s="768" t="s">
        <v>17</v>
      </c>
      <c r="U11" s="769" t="e">
        <f t="shared" si="1"/>
        <v>#N/A</v>
      </c>
      <c r="V11" s="768" t="s">
        <v>17</v>
      </c>
      <c r="W11" s="769" t="e">
        <f t="shared" si="2"/>
        <v>#N/A</v>
      </c>
      <c r="X11" s="770"/>
      <c r="Y11" s="3099"/>
      <c r="Z11" s="54" t="str">
        <f t="shared" si="7"/>
        <v>容积率</v>
      </c>
      <c r="AA11" s="771" t="e">
        <f t="shared" si="3"/>
        <v>#N/A</v>
      </c>
      <c r="AB11" s="771" t="e">
        <f t="shared" si="4"/>
        <v>#N/A</v>
      </c>
      <c r="AC11" s="771"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89"/>
      <c r="Q12" s="1793">
        <f t="shared" si="6"/>
        <v>111</v>
      </c>
      <c r="R12" s="768" t="s">
        <v>17</v>
      </c>
      <c r="S12" s="769">
        <f t="shared" si="0"/>
        <v>100</v>
      </c>
      <c r="T12" s="768" t="s">
        <v>17</v>
      </c>
      <c r="U12" s="769">
        <f t="shared" si="1"/>
        <v>100</v>
      </c>
      <c r="V12" s="768" t="s">
        <v>17</v>
      </c>
      <c r="W12" s="769">
        <f t="shared" si="2"/>
        <v>100</v>
      </c>
      <c r="X12" s="770"/>
      <c r="Y12" s="3099"/>
      <c r="Z12" s="54">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89"/>
      <c r="Q13" s="1793">
        <f t="shared" si="6"/>
        <v>111</v>
      </c>
      <c r="R13" s="768" t="s">
        <v>17</v>
      </c>
      <c r="S13" s="769">
        <f t="shared" si="0"/>
        <v>100</v>
      </c>
      <c r="T13" s="768" t="s">
        <v>17</v>
      </c>
      <c r="U13" s="769">
        <f t="shared" si="1"/>
        <v>100</v>
      </c>
      <c r="V13" s="768" t="s">
        <v>17</v>
      </c>
      <c r="W13" s="769">
        <f t="shared" si="2"/>
        <v>100</v>
      </c>
      <c r="X13" s="770"/>
      <c r="Y13" s="3099"/>
      <c r="Z13" s="54">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89"/>
      <c r="Q14" s="1793">
        <f t="shared" si="6"/>
        <v>111</v>
      </c>
      <c r="R14" s="768" t="s">
        <v>17</v>
      </c>
      <c r="S14" s="769">
        <f t="shared" si="0"/>
        <v>100</v>
      </c>
      <c r="T14" s="768" t="s">
        <v>17</v>
      </c>
      <c r="U14" s="769">
        <f t="shared" si="1"/>
        <v>100</v>
      </c>
      <c r="V14" s="768" t="s">
        <v>17</v>
      </c>
      <c r="W14" s="769">
        <f t="shared" si="2"/>
        <v>100</v>
      </c>
      <c r="X14" s="770"/>
      <c r="Y14" s="3099"/>
      <c r="Z14" s="54">
        <f t="shared" si="7"/>
        <v>111</v>
      </c>
      <c r="AA14" s="771">
        <f t="shared" si="3"/>
        <v>1</v>
      </c>
      <c r="AB14" s="771">
        <f t="shared" si="4"/>
        <v>1</v>
      </c>
      <c r="AC14" s="771">
        <f t="shared" si="5"/>
        <v>1</v>
      </c>
    </row>
    <row r="15" spans="1:29" ht="71.25">
      <c r="A15" s="439" t="s">
        <v>2551</v>
      </c>
      <c r="B15" s="68" t="s">
        <v>2645</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16" t="s">
        <v>2552</v>
      </c>
      <c r="Q15" s="1808" t="str">
        <f t="shared" si="6"/>
        <v>商业繁华度</v>
      </c>
      <c r="R15" s="772" t="s">
        <v>17</v>
      </c>
      <c r="S15" s="773">
        <f t="shared" si="0"/>
        <v>100</v>
      </c>
      <c r="T15" s="772" t="s">
        <v>17</v>
      </c>
      <c r="U15" s="773">
        <f t="shared" si="1"/>
        <v>100</v>
      </c>
      <c r="V15" s="772" t="s">
        <v>17</v>
      </c>
      <c r="W15" s="773">
        <f t="shared" si="2"/>
        <v>100</v>
      </c>
      <c r="X15" s="1811"/>
      <c r="Y15" s="3309" t="s">
        <v>2552</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317"/>
      <c r="Q16" s="1808"/>
      <c r="R16" s="772"/>
      <c r="S16" s="773"/>
      <c r="T16" s="772"/>
      <c r="U16" s="773"/>
      <c r="V16" s="772"/>
      <c r="W16" s="773"/>
      <c r="X16" s="1811"/>
      <c r="Y16" s="3310"/>
      <c r="Z16" s="1812"/>
      <c r="AA16" s="1809">
        <v>1</v>
      </c>
      <c r="AB16" s="1809">
        <v>1</v>
      </c>
      <c r="AC16" s="1809">
        <v>1</v>
      </c>
    </row>
    <row r="17" spans="1:29" ht="15">
      <c r="A17" s="427"/>
      <c r="B17" s="450" t="s">
        <v>2089</v>
      </c>
      <c r="C17" s="2603"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17"/>
      <c r="Q17" s="1808" t="str">
        <f>B17</f>
        <v>交通便捷度</v>
      </c>
      <c r="R17" s="772" t="s">
        <v>17</v>
      </c>
      <c r="S17" s="773">
        <f>F17</f>
        <v>100</v>
      </c>
      <c r="T17" s="772" t="s">
        <v>17</v>
      </c>
      <c r="U17" s="773">
        <f>H17</f>
        <v>100</v>
      </c>
      <c r="V17" s="772" t="s">
        <v>17</v>
      </c>
      <c r="W17" s="773">
        <f>J17</f>
        <v>100</v>
      </c>
      <c r="X17" s="1811"/>
      <c r="Y17" s="3310"/>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317"/>
      <c r="Q18" s="1808"/>
      <c r="R18" s="772"/>
      <c r="S18" s="773"/>
      <c r="T18" s="772"/>
      <c r="U18" s="773"/>
      <c r="V18" s="772"/>
      <c r="W18" s="773"/>
      <c r="X18" s="1811"/>
      <c r="Y18" s="3310"/>
      <c r="Z18" s="1812"/>
      <c r="AA18" s="1809">
        <v>1</v>
      </c>
      <c r="AB18" s="1809">
        <v>1</v>
      </c>
      <c r="AC18" s="1809">
        <v>1</v>
      </c>
    </row>
    <row r="19" spans="1:29" ht="15">
      <c r="A19" s="427"/>
      <c r="B19" s="450" t="s">
        <v>2646</v>
      </c>
      <c r="C19" s="2603"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17"/>
      <c r="Q19" s="1808" t="str">
        <f>B19</f>
        <v>公共配套设施</v>
      </c>
      <c r="R19" s="772" t="s">
        <v>17</v>
      </c>
      <c r="S19" s="773">
        <f>F19</f>
        <v>100</v>
      </c>
      <c r="T19" s="772" t="s">
        <v>17</v>
      </c>
      <c r="U19" s="773">
        <f>H19</f>
        <v>100</v>
      </c>
      <c r="V19" s="772" t="s">
        <v>17</v>
      </c>
      <c r="W19" s="773">
        <f>J19</f>
        <v>100</v>
      </c>
      <c r="X19" s="1811"/>
      <c r="Y19" s="3310"/>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317"/>
      <c r="Q20" s="1808"/>
      <c r="R20" s="772"/>
      <c r="S20" s="773"/>
      <c r="T20" s="772"/>
      <c r="U20" s="773"/>
      <c r="V20" s="772"/>
      <c r="W20" s="773"/>
      <c r="X20" s="1811"/>
      <c r="Y20" s="3310"/>
      <c r="Z20" s="1812"/>
      <c r="AA20" s="1809">
        <v>1</v>
      </c>
      <c r="AB20" s="1809">
        <v>1</v>
      </c>
      <c r="AC20" s="1809">
        <v>1</v>
      </c>
    </row>
    <row r="21" spans="1:29" ht="15">
      <c r="A21" s="427"/>
      <c r="B21" s="1382" t="s">
        <v>2647</v>
      </c>
      <c r="C21" s="2603"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17"/>
      <c r="Q21" s="1808" t="str">
        <f>B21</f>
        <v>基础设施水平</v>
      </c>
      <c r="R21" s="772" t="s">
        <v>17</v>
      </c>
      <c r="S21" s="773">
        <f>F21</f>
        <v>100</v>
      </c>
      <c r="T21" s="772" t="s">
        <v>17</v>
      </c>
      <c r="U21" s="773">
        <f>H21</f>
        <v>100</v>
      </c>
      <c r="V21" s="772" t="s">
        <v>17</v>
      </c>
      <c r="W21" s="773">
        <f>J21</f>
        <v>100</v>
      </c>
      <c r="X21" s="1811"/>
      <c r="Y21" s="331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317"/>
      <c r="Q22" s="1808"/>
      <c r="R22" s="772"/>
      <c r="S22" s="773"/>
      <c r="T22" s="772"/>
      <c r="U22" s="773"/>
      <c r="V22" s="772"/>
      <c r="W22" s="773"/>
      <c r="X22" s="1811"/>
      <c r="Y22" s="3310"/>
      <c r="Z22" s="1812"/>
      <c r="AA22" s="1809">
        <v>1</v>
      </c>
      <c r="AB22" s="1809">
        <v>1</v>
      </c>
      <c r="AC22" s="1809">
        <v>1</v>
      </c>
    </row>
    <row r="23" spans="1:29" ht="15">
      <c r="A23" s="427"/>
      <c r="B23" s="450" t="s">
        <v>2094</v>
      </c>
      <c r="C23" s="2658"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17"/>
      <c r="Q23" s="1808" t="str">
        <f>B23</f>
        <v>自然及人文环境</v>
      </c>
      <c r="R23" s="772" t="s">
        <v>17</v>
      </c>
      <c r="S23" s="773">
        <f>F23</f>
        <v>100</v>
      </c>
      <c r="T23" s="772" t="s">
        <v>17</v>
      </c>
      <c r="U23" s="773">
        <f>H23</f>
        <v>100</v>
      </c>
      <c r="V23" s="772" t="s">
        <v>17</v>
      </c>
      <c r="W23" s="773">
        <f>J23</f>
        <v>100</v>
      </c>
      <c r="X23" s="1811"/>
      <c r="Y23" s="3310"/>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317"/>
      <c r="Q24" s="1808"/>
      <c r="R24" s="772"/>
      <c r="S24" s="773"/>
      <c r="T24" s="772"/>
      <c r="U24" s="773"/>
      <c r="V24" s="772"/>
      <c r="W24" s="773"/>
      <c r="X24" s="1811"/>
      <c r="Y24" s="3310"/>
      <c r="Z24" s="1812"/>
      <c r="AA24" s="1809">
        <v>1</v>
      </c>
      <c r="AB24" s="1809">
        <v>1</v>
      </c>
      <c r="AC24" s="1809">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17"/>
      <c r="Q25" s="1808" t="str">
        <f t="shared" ref="Q25:Q46" si="11">B25</f>
        <v>临街状况</v>
      </c>
      <c r="R25" s="772" t="s">
        <v>17</v>
      </c>
      <c r="S25" s="773">
        <f>F25</f>
        <v>100</v>
      </c>
      <c r="T25" s="772" t="s">
        <v>17</v>
      </c>
      <c r="U25" s="773">
        <f>H25</f>
        <v>100</v>
      </c>
      <c r="V25" s="772" t="s">
        <v>17</v>
      </c>
      <c r="W25" s="773">
        <f>J25</f>
        <v>100</v>
      </c>
      <c r="X25" s="1811"/>
      <c r="Y25" s="3310"/>
      <c r="Z25" s="1812" t="str">
        <f>Q25</f>
        <v>临街状况</v>
      </c>
      <c r="AA25" s="1809">
        <f t="shared" si="3"/>
        <v>1</v>
      </c>
      <c r="AB25" s="1809">
        <f t="shared" si="4"/>
        <v>1</v>
      </c>
      <c r="AC25" s="1809">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17"/>
      <c r="Q26" s="1808" t="str">
        <f t="shared" si="11"/>
        <v>平面位置/可视性</v>
      </c>
      <c r="R26" s="772" t="s">
        <v>17</v>
      </c>
      <c r="S26" s="773">
        <f>F26</f>
        <v>100</v>
      </c>
      <c r="T26" s="772" t="s">
        <v>17</v>
      </c>
      <c r="U26" s="773">
        <f>H26</f>
        <v>100</v>
      </c>
      <c r="V26" s="772" t="s">
        <v>17</v>
      </c>
      <c r="W26" s="773">
        <f>J26</f>
        <v>100</v>
      </c>
      <c r="X26" s="1811"/>
      <c r="Y26" s="3310"/>
      <c r="Z26" s="1812" t="str">
        <f>Q26</f>
        <v>平面位置/可视性</v>
      </c>
      <c r="AA26" s="1809">
        <f t="shared" si="3"/>
        <v>1</v>
      </c>
      <c r="AB26" s="1809">
        <f t="shared" si="4"/>
        <v>1</v>
      </c>
      <c r="AC26" s="1809">
        <f t="shared" si="5"/>
        <v>1</v>
      </c>
    </row>
    <row r="27" spans="1:29" s="116" customFormat="1" ht="15">
      <c r="A27" s="430"/>
      <c r="B27" s="450" t="s">
        <v>2650</v>
      </c>
      <c r="C27" s="2659"/>
      <c r="D27" s="461">
        <v>100</v>
      </c>
      <c r="E27" s="2659"/>
      <c r="F27" s="463">
        <f>SUMIF(90:90,E27,91:91)-SUMIF(90:90,C27,91:91)+100</f>
        <v>100</v>
      </c>
      <c r="G27" s="2659"/>
      <c r="H27" s="461">
        <f>SUMIF(90:90,G27,91:91)-SUMIF(90:90,C27,91:91)+100</f>
        <v>100</v>
      </c>
      <c r="I27" s="2659"/>
      <c r="J27" s="461">
        <f>SUMIF(90:90,I27,91:91)-SUMIF(90:90,C27,91:91)+100</f>
        <v>100</v>
      </c>
      <c r="K27" s="611"/>
      <c r="L27" s="1130"/>
      <c r="M27" s="1131"/>
      <c r="N27" s="1131"/>
      <c r="O27" s="1131"/>
      <c r="P27" s="3317"/>
      <c r="Q27" s="1793" t="str">
        <f t="shared" si="11"/>
        <v>人流量</v>
      </c>
      <c r="R27" s="768" t="s">
        <v>17</v>
      </c>
      <c r="S27" s="769">
        <f>F27</f>
        <v>100</v>
      </c>
      <c r="T27" s="768" t="s">
        <v>17</v>
      </c>
      <c r="U27" s="769">
        <f>H27</f>
        <v>100</v>
      </c>
      <c r="V27" s="768" t="s">
        <v>17</v>
      </c>
      <c r="W27" s="769">
        <f>J27</f>
        <v>100</v>
      </c>
      <c r="X27" s="770"/>
      <c r="Y27" s="3310"/>
      <c r="Z27" s="54" t="str">
        <f>Q27</f>
        <v>人流量</v>
      </c>
      <c r="AA27" s="1809">
        <f>D27/F27</f>
        <v>1</v>
      </c>
      <c r="AB27" s="1809">
        <f>D27/H27</f>
        <v>1</v>
      </c>
      <c r="AC27" s="1809">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1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10"/>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17"/>
      <c r="Q29" s="1808">
        <f t="shared" si="11"/>
        <v>111</v>
      </c>
      <c r="R29" s="772" t="s">
        <v>17</v>
      </c>
      <c r="S29" s="773">
        <f t="shared" si="12"/>
        <v>100</v>
      </c>
      <c r="T29" s="772" t="s">
        <v>17</v>
      </c>
      <c r="U29" s="773">
        <f t="shared" si="13"/>
        <v>100</v>
      </c>
      <c r="V29" s="772" t="s">
        <v>17</v>
      </c>
      <c r="W29" s="773">
        <f t="shared" si="14"/>
        <v>100</v>
      </c>
      <c r="X29" s="1811"/>
      <c r="Y29" s="3310"/>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17"/>
      <c r="Q30" s="1808">
        <f t="shared" si="11"/>
        <v>111</v>
      </c>
      <c r="R30" s="772" t="s">
        <v>17</v>
      </c>
      <c r="S30" s="773">
        <f t="shared" si="12"/>
        <v>100</v>
      </c>
      <c r="T30" s="772" t="s">
        <v>17</v>
      </c>
      <c r="U30" s="773">
        <f t="shared" si="13"/>
        <v>100</v>
      </c>
      <c r="V30" s="772" t="s">
        <v>17</v>
      </c>
      <c r="W30" s="773">
        <f t="shared" si="14"/>
        <v>100</v>
      </c>
      <c r="X30" s="1811"/>
      <c r="Y30" s="3310"/>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17"/>
      <c r="Q31" s="1808">
        <f t="shared" si="11"/>
        <v>111</v>
      </c>
      <c r="R31" s="772" t="s">
        <v>17</v>
      </c>
      <c r="S31" s="773">
        <f t="shared" si="12"/>
        <v>100</v>
      </c>
      <c r="T31" s="772" t="s">
        <v>17</v>
      </c>
      <c r="U31" s="773">
        <f t="shared" si="13"/>
        <v>100</v>
      </c>
      <c r="V31" s="772" t="s">
        <v>17</v>
      </c>
      <c r="W31" s="773">
        <f t="shared" si="14"/>
        <v>100</v>
      </c>
      <c r="X31" s="1811"/>
      <c r="Y31" s="3310"/>
      <c r="Z31" s="1812">
        <f t="shared" si="15"/>
        <v>111</v>
      </c>
      <c r="AA31" s="1809">
        <f t="shared" si="3"/>
        <v>1</v>
      </c>
      <c r="AB31" s="1809">
        <f t="shared" si="4"/>
        <v>1</v>
      </c>
      <c r="AC31" s="1809">
        <f t="shared" si="5"/>
        <v>1</v>
      </c>
    </row>
    <row r="32" spans="1:29" ht="15">
      <c r="A32" s="439" t="s">
        <v>2555</v>
      </c>
      <c r="B32" s="70" t="s">
        <v>2652</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311" t="s">
        <v>2557</v>
      </c>
      <c r="Q32" s="1808" t="str">
        <f t="shared" si="11"/>
        <v>商业类型</v>
      </c>
      <c r="R32" s="772" t="s">
        <v>17</v>
      </c>
      <c r="S32" s="773">
        <f t="shared" si="12"/>
        <v>100</v>
      </c>
      <c r="T32" s="772" t="s">
        <v>17</v>
      </c>
      <c r="U32" s="773">
        <f t="shared" si="13"/>
        <v>100</v>
      </c>
      <c r="V32" s="772" t="s">
        <v>17</v>
      </c>
      <c r="W32" s="773">
        <f t="shared" si="14"/>
        <v>100</v>
      </c>
      <c r="X32" s="1811"/>
      <c r="Y32" s="3314" t="s">
        <v>2557</v>
      </c>
      <c r="Z32" s="1812" t="str">
        <f t="shared" si="15"/>
        <v>商业类型</v>
      </c>
      <c r="AA32" s="1809">
        <f t="shared" si="3"/>
        <v>1</v>
      </c>
      <c r="AB32" s="1809">
        <f t="shared" si="4"/>
        <v>1</v>
      </c>
      <c r="AC32" s="1809">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312"/>
      <c r="Q33" s="774" t="str">
        <f t="shared" si="11"/>
        <v>项目建筑规模</v>
      </c>
      <c r="R33" s="775" t="s">
        <v>17</v>
      </c>
      <c r="S33" s="776" t="e">
        <f t="shared" si="12"/>
        <v>#N/A</v>
      </c>
      <c r="T33" s="775" t="s">
        <v>17</v>
      </c>
      <c r="U33" s="776" t="e">
        <f t="shared" si="13"/>
        <v>#N/A</v>
      </c>
      <c r="V33" s="775" t="s">
        <v>17</v>
      </c>
      <c r="W33" s="776" t="e">
        <f t="shared" si="14"/>
        <v>#N/A</v>
      </c>
      <c r="X33" s="777"/>
      <c r="Y33" s="3314"/>
      <c r="Z33" s="778" t="str">
        <f t="shared" si="15"/>
        <v>项目建筑规模</v>
      </c>
      <c r="AA33" s="1809" t="e">
        <f t="shared" si="3"/>
        <v>#N/A</v>
      </c>
      <c r="AB33" s="1809" t="e">
        <f t="shared" si="4"/>
        <v>#N/A</v>
      </c>
      <c r="AC33" s="1809" t="e">
        <f t="shared" si="5"/>
        <v>#N/A</v>
      </c>
    </row>
    <row r="34" spans="1:29" ht="15">
      <c r="A34" s="471"/>
      <c r="B34" s="421" t="s">
        <v>2559</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8"/>
      <c r="M34" s="1129"/>
      <c r="N34" s="1129"/>
      <c r="O34" s="1129"/>
      <c r="P34" s="3312"/>
      <c r="Q34" s="1808" t="str">
        <f t="shared" si="11"/>
        <v>建筑结构</v>
      </c>
      <c r="R34" s="772" t="s">
        <v>17</v>
      </c>
      <c r="S34" s="773">
        <f t="shared" si="12"/>
        <v>100</v>
      </c>
      <c r="T34" s="772" t="s">
        <v>17</v>
      </c>
      <c r="U34" s="773">
        <f t="shared" si="13"/>
        <v>100</v>
      </c>
      <c r="V34" s="772" t="s">
        <v>17</v>
      </c>
      <c r="W34" s="773">
        <f t="shared" si="14"/>
        <v>100</v>
      </c>
      <c r="X34" s="1811"/>
      <c r="Y34" s="3314"/>
      <c r="Z34" s="1812" t="str">
        <f t="shared" si="15"/>
        <v>建筑结构</v>
      </c>
      <c r="AA34" s="1809">
        <f t="shared" si="3"/>
        <v>1</v>
      </c>
      <c r="AB34" s="1809">
        <f t="shared" si="4"/>
        <v>1</v>
      </c>
      <c r="AC34" s="1809">
        <f t="shared" si="5"/>
        <v>1</v>
      </c>
    </row>
    <row r="35" spans="1:29" ht="15">
      <c r="A35" s="471"/>
      <c r="B35" s="421" t="s">
        <v>2653</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312"/>
      <c r="Q35" s="1808" t="str">
        <f t="shared" si="11"/>
        <v>公共部分装修</v>
      </c>
      <c r="R35" s="772" t="s">
        <v>17</v>
      </c>
      <c r="S35" s="773">
        <f t="shared" si="12"/>
        <v>100</v>
      </c>
      <c r="T35" s="772" t="s">
        <v>17</v>
      </c>
      <c r="U35" s="773">
        <f t="shared" si="13"/>
        <v>100</v>
      </c>
      <c r="V35" s="772" t="s">
        <v>17</v>
      </c>
      <c r="W35" s="773">
        <f t="shared" si="14"/>
        <v>100</v>
      </c>
      <c r="X35" s="1811"/>
      <c r="Y35" s="3314"/>
      <c r="Z35" s="1812" t="str">
        <f t="shared" si="15"/>
        <v>公共部分装修</v>
      </c>
      <c r="AA35" s="1809">
        <f t="shared" si="3"/>
        <v>1</v>
      </c>
      <c r="AB35" s="1809">
        <f t="shared" si="4"/>
        <v>1</v>
      </c>
      <c r="AC35" s="1809">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312"/>
      <c r="Q36" s="1808" t="str">
        <f t="shared" si="11"/>
        <v>成新度</v>
      </c>
      <c r="R36" s="772" t="s">
        <v>17</v>
      </c>
      <c r="S36" s="773" t="e">
        <f t="shared" si="12"/>
        <v>#N/A</v>
      </c>
      <c r="T36" s="772" t="s">
        <v>17</v>
      </c>
      <c r="U36" s="773" t="e">
        <f t="shared" si="13"/>
        <v>#N/A</v>
      </c>
      <c r="V36" s="772" t="s">
        <v>17</v>
      </c>
      <c r="W36" s="773" t="e">
        <f t="shared" si="14"/>
        <v>#N/A</v>
      </c>
      <c r="X36" s="1811"/>
      <c r="Y36" s="3314"/>
      <c r="Z36" s="1812" t="str">
        <f t="shared" si="15"/>
        <v>成新度</v>
      </c>
      <c r="AA36" s="1809" t="e">
        <f t="shared" si="3"/>
        <v>#N/A</v>
      </c>
      <c r="AB36" s="1809" t="e">
        <f t="shared" si="4"/>
        <v>#N/A</v>
      </c>
      <c r="AC36" s="1809" t="e">
        <f t="shared" si="5"/>
        <v>#N/A</v>
      </c>
    </row>
    <row r="37" spans="1:29" s="116" customFormat="1" ht="15">
      <c r="A37" s="472"/>
      <c r="B37" s="421" t="s">
        <v>2655</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312"/>
      <c r="Q37" s="1793" t="str">
        <f t="shared" si="11"/>
        <v>市政基础设施</v>
      </c>
      <c r="R37" s="768" t="s">
        <v>17</v>
      </c>
      <c r="S37" s="769">
        <f t="shared" si="12"/>
        <v>100</v>
      </c>
      <c r="T37" s="768" t="s">
        <v>17</v>
      </c>
      <c r="U37" s="769">
        <f t="shared" si="13"/>
        <v>100</v>
      </c>
      <c r="V37" s="768" t="s">
        <v>17</v>
      </c>
      <c r="W37" s="769">
        <f t="shared" si="14"/>
        <v>100</v>
      </c>
      <c r="X37" s="770"/>
      <c r="Y37" s="3314"/>
      <c r="Z37" s="54" t="str">
        <f t="shared" si="15"/>
        <v>市政基础设施</v>
      </c>
      <c r="AA37" s="771">
        <f t="shared" si="3"/>
        <v>1</v>
      </c>
      <c r="AB37" s="771">
        <f t="shared" si="4"/>
        <v>1</v>
      </c>
      <c r="AC37" s="771">
        <f t="shared" si="5"/>
        <v>1</v>
      </c>
    </row>
    <row r="38" spans="1:29" ht="15">
      <c r="A38" s="471"/>
      <c r="B38" s="421" t="s">
        <v>2656</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312" t="s">
        <v>2557</v>
      </c>
      <c r="Q38" s="1808" t="str">
        <f t="shared" si="11"/>
        <v>业态</v>
      </c>
      <c r="R38" s="772" t="s">
        <v>17</v>
      </c>
      <c r="S38" s="773">
        <f t="shared" si="12"/>
        <v>100</v>
      </c>
      <c r="T38" s="772" t="s">
        <v>17</v>
      </c>
      <c r="U38" s="773">
        <f t="shared" si="13"/>
        <v>100</v>
      </c>
      <c r="V38" s="772" t="s">
        <v>17</v>
      </c>
      <c r="W38" s="773">
        <f t="shared" si="14"/>
        <v>100</v>
      </c>
      <c r="X38" s="1811"/>
      <c r="Y38" s="3314" t="s">
        <v>2557</v>
      </c>
      <c r="Z38" s="1812" t="str">
        <f t="shared" si="15"/>
        <v>业态</v>
      </c>
      <c r="AA38" s="1809">
        <f t="shared" si="3"/>
        <v>1</v>
      </c>
      <c r="AB38" s="1809">
        <f t="shared" si="4"/>
        <v>1</v>
      </c>
      <c r="AC38" s="1809">
        <f t="shared" si="5"/>
        <v>1</v>
      </c>
    </row>
    <row r="39" spans="1:29" ht="15">
      <c r="A39" s="471"/>
      <c r="B39" s="421" t="s">
        <v>2657</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312"/>
      <c r="Q39" s="1808" t="str">
        <f t="shared" si="11"/>
        <v>层高</v>
      </c>
      <c r="R39" s="772" t="s">
        <v>17</v>
      </c>
      <c r="S39" s="773">
        <f t="shared" si="12"/>
        <v>100</v>
      </c>
      <c r="T39" s="772" t="s">
        <v>17</v>
      </c>
      <c r="U39" s="773">
        <f t="shared" si="13"/>
        <v>100</v>
      </c>
      <c r="V39" s="772" t="s">
        <v>17</v>
      </c>
      <c r="W39" s="773">
        <f t="shared" si="14"/>
        <v>100</v>
      </c>
      <c r="X39" s="1811"/>
      <c r="Y39" s="3314"/>
      <c r="Z39" s="1812" t="str">
        <f t="shared" si="15"/>
        <v>层高</v>
      </c>
      <c r="AA39" s="1809">
        <f t="shared" si="3"/>
        <v>1</v>
      </c>
      <c r="AB39" s="1809">
        <f t="shared" si="4"/>
        <v>1</v>
      </c>
      <c r="AC39" s="1809">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312"/>
      <c r="Q40" s="1808" t="str">
        <f t="shared" si="11"/>
        <v>单套建筑面积</v>
      </c>
      <c r="R40" s="772" t="s">
        <v>17</v>
      </c>
      <c r="S40" s="773">
        <f t="shared" si="12"/>
        <v>100</v>
      </c>
      <c r="T40" s="772" t="s">
        <v>17</v>
      </c>
      <c r="U40" s="773">
        <f t="shared" si="13"/>
        <v>100</v>
      </c>
      <c r="V40" s="772" t="s">
        <v>17</v>
      </c>
      <c r="W40" s="773">
        <f t="shared" si="14"/>
        <v>100</v>
      </c>
      <c r="X40" s="1811"/>
      <c r="Y40" s="3314"/>
      <c r="Z40" s="1812" t="str">
        <f t="shared" si="15"/>
        <v>单套建筑面积</v>
      </c>
      <c r="AA40" s="1809">
        <f t="shared" si="3"/>
        <v>1</v>
      </c>
      <c r="AB40" s="1809">
        <f t="shared" si="4"/>
        <v>1</v>
      </c>
      <c r="AC40" s="1809">
        <f t="shared" si="5"/>
        <v>1</v>
      </c>
    </row>
    <row r="41" spans="1:29" s="470" customFormat="1" ht="15">
      <c r="A41" s="467"/>
      <c r="B41" s="1810"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312"/>
      <c r="Q41" s="774" t="str">
        <f t="shared" si="11"/>
        <v>进深比</v>
      </c>
      <c r="R41" s="775" t="s">
        <v>17</v>
      </c>
      <c r="S41" s="776">
        <f t="shared" si="12"/>
        <v>100</v>
      </c>
      <c r="T41" s="775" t="s">
        <v>17</v>
      </c>
      <c r="U41" s="776">
        <f t="shared" si="13"/>
        <v>100</v>
      </c>
      <c r="V41" s="775" t="s">
        <v>17</v>
      </c>
      <c r="W41" s="776">
        <f t="shared" si="14"/>
        <v>100</v>
      </c>
      <c r="X41" s="777"/>
      <c r="Y41" s="3314"/>
      <c r="Z41" s="778" t="str">
        <f t="shared" si="15"/>
        <v>进深比</v>
      </c>
      <c r="AA41" s="1809">
        <f t="shared" si="3"/>
        <v>1</v>
      </c>
      <c r="AB41" s="1809">
        <f t="shared" si="4"/>
        <v>1</v>
      </c>
      <c r="AC41" s="1809">
        <f t="shared" si="5"/>
        <v>1</v>
      </c>
    </row>
    <row r="42" spans="1:29" ht="15">
      <c r="A42" s="471"/>
      <c r="B42" s="421" t="s">
        <v>2660</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312"/>
      <c r="Q42" s="1808" t="str">
        <f t="shared" si="11"/>
        <v>内部装修</v>
      </c>
      <c r="R42" s="772" t="s">
        <v>17</v>
      </c>
      <c r="S42" s="773">
        <f t="shared" si="12"/>
        <v>100</v>
      </c>
      <c r="T42" s="772" t="s">
        <v>17</v>
      </c>
      <c r="U42" s="773">
        <f t="shared" si="13"/>
        <v>100</v>
      </c>
      <c r="V42" s="772" t="s">
        <v>17</v>
      </c>
      <c r="W42" s="773">
        <f t="shared" si="14"/>
        <v>100</v>
      </c>
      <c r="X42" s="1811"/>
      <c r="Y42" s="3314"/>
      <c r="Z42" s="1812" t="str">
        <f t="shared" si="15"/>
        <v>内部装修</v>
      </c>
      <c r="AA42" s="1809">
        <f t="shared" si="3"/>
        <v>1</v>
      </c>
      <c r="AB42" s="1809">
        <f t="shared" si="4"/>
        <v>1</v>
      </c>
      <c r="AC42" s="1809">
        <f t="shared" si="5"/>
        <v>1</v>
      </c>
    </row>
    <row r="43" spans="1:29" ht="15">
      <c r="A43" s="471"/>
      <c r="B43" s="421" t="s">
        <v>2568</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312"/>
      <c r="Q43" s="1808" t="str">
        <f t="shared" si="11"/>
        <v>内部装修维护情况</v>
      </c>
      <c r="R43" s="772" t="s">
        <v>17</v>
      </c>
      <c r="S43" s="773">
        <f t="shared" si="12"/>
        <v>100</v>
      </c>
      <c r="T43" s="772" t="s">
        <v>17</v>
      </c>
      <c r="U43" s="773">
        <f t="shared" si="13"/>
        <v>100</v>
      </c>
      <c r="V43" s="772" t="s">
        <v>17</v>
      </c>
      <c r="W43" s="773">
        <f t="shared" si="14"/>
        <v>100</v>
      </c>
      <c r="X43" s="1811"/>
      <c r="Y43" s="3314"/>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312"/>
      <c r="Q44" s="1793">
        <f t="shared" si="11"/>
        <v>111</v>
      </c>
      <c r="R44" s="768" t="s">
        <v>17</v>
      </c>
      <c r="S44" s="769">
        <f t="shared" si="12"/>
        <v>100</v>
      </c>
      <c r="T44" s="768" t="s">
        <v>17</v>
      </c>
      <c r="U44" s="769">
        <f t="shared" si="13"/>
        <v>100</v>
      </c>
      <c r="V44" s="768" t="s">
        <v>17</v>
      </c>
      <c r="W44" s="769">
        <f t="shared" si="14"/>
        <v>100</v>
      </c>
      <c r="X44" s="770"/>
      <c r="Y44" s="3314"/>
      <c r="Z44" s="54">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312"/>
      <c r="Q45" s="1808">
        <f t="shared" si="11"/>
        <v>111</v>
      </c>
      <c r="R45" s="772" t="s">
        <v>17</v>
      </c>
      <c r="S45" s="773">
        <f t="shared" si="12"/>
        <v>100</v>
      </c>
      <c r="T45" s="772" t="s">
        <v>17</v>
      </c>
      <c r="U45" s="773">
        <f t="shared" si="13"/>
        <v>100</v>
      </c>
      <c r="V45" s="772" t="s">
        <v>17</v>
      </c>
      <c r="W45" s="773">
        <f t="shared" si="14"/>
        <v>100</v>
      </c>
      <c r="X45" s="1811"/>
      <c r="Y45" s="3314"/>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13"/>
      <c r="Q46" s="1808">
        <f t="shared" si="11"/>
        <v>111</v>
      </c>
      <c r="R46" s="772" t="s">
        <v>17</v>
      </c>
      <c r="S46" s="773">
        <f t="shared" si="12"/>
        <v>100</v>
      </c>
      <c r="T46" s="772" t="s">
        <v>17</v>
      </c>
      <c r="U46" s="773">
        <f t="shared" si="13"/>
        <v>100</v>
      </c>
      <c r="V46" s="772" t="s">
        <v>17</v>
      </c>
      <c r="W46" s="773">
        <f t="shared" si="14"/>
        <v>100</v>
      </c>
      <c r="X46" s="1811"/>
      <c r="Y46" s="3315"/>
      <c r="Z46" s="1812">
        <f t="shared" si="15"/>
        <v>111</v>
      </c>
      <c r="AA46" s="1809">
        <f t="shared" si="3"/>
        <v>1</v>
      </c>
      <c r="AB46" s="1809">
        <f t="shared" si="4"/>
        <v>1</v>
      </c>
      <c r="AC46" s="1809">
        <f t="shared" si="5"/>
        <v>1</v>
      </c>
    </row>
    <row r="47" spans="1:29" ht="15">
      <c r="A47" s="478" t="s">
        <v>2569</v>
      </c>
      <c r="B47" s="479"/>
      <c r="C47" s="1405" t="s">
        <v>1</v>
      </c>
      <c r="D47" s="1406"/>
      <c r="E47" s="1407"/>
      <c r="F47" s="1408"/>
      <c r="G47" s="1409"/>
      <c r="H47" s="1410"/>
      <c r="I47" s="1407"/>
      <c r="J47" s="1410"/>
      <c r="K47" s="781"/>
      <c r="L47" s="1141"/>
      <c r="M47" s="1142"/>
      <c r="N47" s="1129"/>
      <c r="O47" s="1142"/>
      <c r="P47" s="3307" t="str">
        <f>A47</f>
        <v>成交单价（元/平方米）</v>
      </c>
      <c r="Q47" s="3307"/>
      <c r="R47" s="3302">
        <f>E47</f>
        <v>0</v>
      </c>
      <c r="S47" s="3302"/>
      <c r="T47" s="3302">
        <f>G47</f>
        <v>0</v>
      </c>
      <c r="U47" s="3302"/>
      <c r="V47" s="3302">
        <f>I47</f>
        <v>0</v>
      </c>
      <c r="W47" s="3302"/>
      <c r="X47" s="757"/>
      <c r="Y47" s="779"/>
      <c r="Z47" s="757"/>
      <c r="AA47" s="757"/>
      <c r="AB47" s="757"/>
      <c r="AC47" s="757"/>
    </row>
    <row r="48" spans="1:29" ht="15.75" thickBot="1">
      <c r="A48" s="485" t="s">
        <v>2661</v>
      </c>
      <c r="B48" s="486"/>
      <c r="C48" s="1411" t="e">
        <f>R49</f>
        <v>#DIV/0!</v>
      </c>
      <c r="D48" s="1412"/>
      <c r="E48" s="1413" t="e">
        <f>R48</f>
        <v>#DIV/0!</v>
      </c>
      <c r="F48" s="1413"/>
      <c r="G48" s="1411" t="e">
        <f>T48</f>
        <v>#DIV/0!</v>
      </c>
      <c r="H48" s="1412"/>
      <c r="I48" s="1413" t="e">
        <f>V48</f>
        <v>#DIV/0!</v>
      </c>
      <c r="J48" s="1412"/>
      <c r="K48" s="782"/>
      <c r="L48" s="1141"/>
      <c r="M48" s="1142"/>
      <c r="N48" s="1129"/>
      <c r="O48" s="1142"/>
      <c r="P48" s="3307" t="str">
        <f>A48</f>
        <v>比较价值（元/平方米）</v>
      </c>
      <c r="Q48" s="3307"/>
      <c r="R48" s="3308" t="e">
        <f>IF(F1="售价",ROUND(PRODUCT(R47,AA7:AA46),0),ROUND(PRODUCT(R47,AA7:AA46),1))</f>
        <v>#DIV/0!</v>
      </c>
      <c r="S48" s="3308"/>
      <c r="T48" s="3308" t="e">
        <f>IF(F1="售价",ROUND(PRODUCT(T47,AB7:AB46),0),ROUND(PRODUCT(T47,AB7:AB46),1))</f>
        <v>#DIV/0!</v>
      </c>
      <c r="U48" s="3308"/>
      <c r="V48" s="3308" t="e">
        <f>IF(F1="售价",ROUND(PRODUCT(V47,AC7:AC46),0),ROUND(PRODUCT(V47,AC7:AC46),1))</f>
        <v>#DIV/0!</v>
      </c>
      <c r="W48" s="3308"/>
      <c r="X48" s="757"/>
      <c r="Y48" s="757"/>
      <c r="Z48" s="757"/>
      <c r="AA48" s="757"/>
      <c r="AB48" s="757"/>
      <c r="AC48" s="757"/>
    </row>
    <row r="49" spans="1:29" ht="15.75" thickBot="1">
      <c r="A49" s="491" t="s">
        <v>2662</v>
      </c>
      <c r="B49" s="492"/>
      <c r="C49" s="1415" t="e">
        <f>R49</f>
        <v>#DIV/0!</v>
      </c>
      <c r="D49" s="1415"/>
      <c r="E49" s="1415"/>
      <c r="F49" s="1415"/>
      <c r="G49" s="1415"/>
      <c r="H49" s="1415"/>
      <c r="I49" s="1415"/>
      <c r="J49" s="1415"/>
      <c r="K49" s="783"/>
      <c r="L49" s="1141"/>
      <c r="M49" s="1142"/>
      <c r="N49" s="1129"/>
      <c r="O49" s="1142"/>
      <c r="P49" s="3304" t="str">
        <f>A49</f>
        <v>估价对象XX用房的比较价值（楼面单价，元/平方米）</v>
      </c>
      <c r="Q49" s="3305"/>
      <c r="R49" s="3306" t="e">
        <f>IF(F1="售价",ROUND(AVERAGE(R48:V48),0),ROUND(AVERAGE(R48:V48),1))</f>
        <v>#DIV/0!</v>
      </c>
      <c r="S49" s="3306"/>
      <c r="T49" s="3306"/>
      <c r="U49" s="3306"/>
      <c r="V49" s="3306"/>
      <c r="W49" s="330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0"/>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0"/>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9"/>
      <c r="M57" s="1157"/>
      <c r="N57" s="1157"/>
      <c r="O57" s="1157"/>
      <c r="P57" s="2661"/>
      <c r="Q57" s="2662"/>
      <c r="R57" s="757"/>
      <c r="S57" s="757"/>
      <c r="T57" s="757"/>
      <c r="U57" s="757"/>
      <c r="V57" s="757"/>
      <c r="W57" s="757"/>
      <c r="X57" s="757"/>
      <c r="Y57" s="757"/>
      <c r="Z57" s="757"/>
      <c r="AA57" s="757"/>
      <c r="AB57" s="757"/>
      <c r="AC57" s="757"/>
    </row>
    <row r="58" spans="1:29" s="507" customFormat="1" ht="15">
      <c r="A58" s="504" t="s">
        <v>2540</v>
      </c>
      <c r="B58" s="505"/>
      <c r="C58" s="1572" t="str">
        <f>YEAR(C7)&amp;"-"&amp;MONTH(C7)</f>
        <v>2020-5</v>
      </c>
      <c r="D58" s="1573">
        <f>EDATE(C58,-1)</f>
        <v>43922</v>
      </c>
      <c r="E58" s="1573">
        <f t="shared" ref="E58:N58" si="16">EDATE(D58,-1)</f>
        <v>43891</v>
      </c>
      <c r="F58" s="1573">
        <f t="shared" si="16"/>
        <v>43862</v>
      </c>
      <c r="G58" s="1573">
        <f t="shared" si="16"/>
        <v>43831</v>
      </c>
      <c r="H58" s="1573">
        <f t="shared" si="16"/>
        <v>43800</v>
      </c>
      <c r="I58" s="1573">
        <f t="shared" si="16"/>
        <v>43770</v>
      </c>
      <c r="J58" s="1573">
        <f t="shared" si="16"/>
        <v>43739</v>
      </c>
      <c r="K58" s="1573">
        <f t="shared" si="16"/>
        <v>43709</v>
      </c>
      <c r="L58" s="1573">
        <f t="shared" si="16"/>
        <v>43678</v>
      </c>
      <c r="M58" s="1573">
        <f t="shared" si="16"/>
        <v>43647</v>
      </c>
      <c r="N58" s="1573">
        <f t="shared" si="16"/>
        <v>43617</v>
      </c>
      <c r="O58" s="1573">
        <f>EDATE(N58,-1)</f>
        <v>43586</v>
      </c>
      <c r="P58" s="1568"/>
    </row>
    <row r="59" spans="1:29" s="116" customFormat="1" ht="15">
      <c r="A59" s="508"/>
      <c r="B59" s="509"/>
      <c r="C59" s="1571">
        <v>100</v>
      </c>
      <c r="D59" s="511"/>
      <c r="E59" s="511"/>
      <c r="F59" s="511"/>
      <c r="G59" s="511"/>
      <c r="H59" s="511"/>
      <c r="I59" s="511"/>
      <c r="J59" s="511"/>
      <c r="K59" s="511"/>
      <c r="L59" s="511"/>
      <c r="M59" s="512"/>
      <c r="N59" s="511"/>
      <c r="O59" s="512"/>
      <c r="P59" s="2622"/>
    </row>
    <row r="60" spans="1:29" s="116" customFormat="1" ht="15.75" thickBot="1">
      <c r="A60" s="514" t="s">
        <v>2577</v>
      </c>
      <c r="B60" s="515"/>
      <c r="C60" s="516"/>
      <c r="D60" s="517"/>
      <c r="E60" s="517"/>
      <c r="F60" s="517"/>
      <c r="G60" s="517"/>
      <c r="H60" s="517"/>
      <c r="I60" s="517"/>
      <c r="J60" s="517"/>
      <c r="K60" s="517"/>
      <c r="L60" s="517"/>
      <c r="M60" s="518"/>
      <c r="N60" s="517"/>
      <c r="O60" s="518"/>
      <c r="P60" s="2622"/>
      <c r="Q60" s="503"/>
    </row>
    <row r="61" spans="1:29" s="116" customFormat="1" ht="15">
      <c r="A61" s="520" t="s">
        <v>2542</v>
      </c>
      <c r="B61" s="509"/>
      <c r="C61" s="521" t="s">
        <v>2644</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2580</v>
      </c>
      <c r="B63" s="527" t="s">
        <v>2546</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4"/>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4"/>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2672</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6"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2555</v>
      </c>
      <c r="B100" s="527" t="s">
        <v>2673</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4"/>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5"/>
      <c r="Q104" s="558"/>
    </row>
    <row r="105" spans="1:17" ht="15" thickTop="1">
      <c r="A105" s="598"/>
      <c r="B105" s="537" t="s">
        <v>2606</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4"/>
      <c r="Q106" s="503"/>
    </row>
    <row r="107" spans="1:17" ht="15" thickTop="1">
      <c r="A107" s="598"/>
      <c r="B107" s="537" t="s">
        <v>2608</v>
      </c>
      <c r="C107" s="553"/>
      <c r="D107" s="553"/>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4"/>
      <c r="Q108" s="503"/>
    </row>
    <row r="109" spans="1:17" ht="15" thickTop="1">
      <c r="A109" s="598"/>
      <c r="B109" s="537" t="s">
        <v>1989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4"/>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5"/>
      <c r="Q113" s="558"/>
    </row>
    <row r="114" spans="1:17" ht="15" thickTop="1">
      <c r="A114" s="598"/>
      <c r="B114" s="537" t="s">
        <v>2674</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4"/>
      <c r="Q115" s="503"/>
    </row>
    <row r="116" spans="1:17" ht="15" thickTop="1">
      <c r="A116" s="598"/>
      <c r="B116" s="537" t="s">
        <v>2675</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2676</v>
      </c>
      <c r="C118" s="626"/>
      <c r="D118" s="626"/>
      <c r="E118" s="626"/>
      <c r="F118" s="626"/>
      <c r="G118" s="626"/>
      <c r="H118" s="554"/>
      <c r="I118" s="554"/>
      <c r="J118" s="554"/>
      <c r="K118" s="554"/>
      <c r="L118" s="555"/>
      <c r="M118" s="556"/>
      <c r="N118" s="1150"/>
      <c r="O118" s="1150"/>
      <c r="P118" s="2624"/>
      <c r="Q118" s="503"/>
    </row>
    <row r="119" spans="1:17" ht="15.75"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5"/>
      <c r="Q121" s="558"/>
    </row>
    <row r="122" spans="1:17" ht="15" thickTop="1">
      <c r="A122" s="598"/>
      <c r="B122" s="537" t="s">
        <v>2612</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4"/>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4" sqref="U24"/>
    </sheetView>
  </sheetViews>
  <sheetFormatPr defaultColWidth="9" defaultRowHeight="12.75"/>
  <cols>
    <col min="1" max="1" width="11.5" style="138" customWidth="1"/>
    <col min="2" max="2" width="9.25" style="26" customWidth="1"/>
    <col min="3" max="3" width="6.25" style="26" customWidth="1"/>
    <col min="4" max="4" width="9" style="26"/>
    <col min="5" max="5" width="6"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2" t="s">
        <v>2995</v>
      </c>
      <c r="C1" s="3321" t="s">
        <v>2996</v>
      </c>
      <c r="D1" s="3322"/>
      <c r="E1" s="3322"/>
      <c r="F1" s="3322"/>
      <c r="G1" s="3322"/>
      <c r="H1" s="3322"/>
      <c r="I1" s="3322"/>
      <c r="J1" s="3322"/>
      <c r="K1" s="3322"/>
      <c r="L1" s="3322"/>
      <c r="M1" s="3322"/>
      <c r="N1" s="3322"/>
      <c r="O1" s="3322"/>
      <c r="P1" s="3322"/>
      <c r="Q1" s="3322"/>
      <c r="R1" s="3322"/>
      <c r="S1" s="3323"/>
      <c r="T1" s="1202" t="s">
        <v>2997</v>
      </c>
    </row>
    <row r="2" spans="1:45" s="706" customFormat="1" ht="25.5">
      <c r="A2" s="1203"/>
      <c r="B2" s="702" t="s">
        <v>2998</v>
      </c>
      <c r="C2" s="703" t="str">
        <f t="shared" ref="C2:L2" si="0">C3&amp;"(含)"&amp;"-"&amp;D3</f>
        <v>0(含)-140</v>
      </c>
      <c r="D2" s="704" t="str">
        <f t="shared" si="0"/>
        <v>140(含)-180</v>
      </c>
      <c r="E2" s="704" t="str">
        <f t="shared" si="0"/>
        <v>180(含)-220</v>
      </c>
      <c r="F2" s="704" t="str">
        <f t="shared" si="0"/>
        <v>220(含)-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7"/>
      <c r="C3" s="708">
        <f>'比较法-住宅'!C103</f>
        <v>0</v>
      </c>
      <c r="D3" s="708">
        <f>'比较法-住宅'!D103</f>
        <v>140</v>
      </c>
      <c r="E3" s="708">
        <f>'比较法-住宅'!E103</f>
        <v>180</v>
      </c>
      <c r="F3" s="708">
        <f>'比较法-住宅'!F103</f>
        <v>220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f>'比较法-住宅'!C104</f>
        <v>100</v>
      </c>
      <c r="D4" s="1208">
        <f>'比较法-住宅'!D104</f>
        <v>98</v>
      </c>
      <c r="E4" s="1208">
        <f>'比较法-住宅'!E104</f>
        <v>96</v>
      </c>
      <c r="F4" s="1208">
        <f>'比较法-住宅'!F104</f>
        <v>94</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3385" t="s">
        <v>2999</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3000</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3001</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3002</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3003</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3004</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2" t="s">
        <v>3005</v>
      </c>
      <c r="B17" s="2903" t="s">
        <v>3006</v>
      </c>
      <c r="C17" s="1229" t="str">
        <f>'比较法-住宅'!C90:C90</f>
        <v>高楼层</v>
      </c>
      <c r="D17" s="1229" t="str">
        <f>'比较法-住宅'!D90:D90</f>
        <v>中楼层</v>
      </c>
      <c r="E17" s="1229" t="str">
        <f>'比较法-住宅'!E90:E90</f>
        <v>低楼层</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f>'比较法-住宅'!C91</f>
        <v>100</v>
      </c>
      <c r="D18" s="1241">
        <f>'比较法-住宅'!D91</f>
        <v>99</v>
      </c>
      <c r="E18" s="1241">
        <f>'比较法-住宅'!E91</f>
        <v>98</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4" t="s">
        <v>3007</v>
      </c>
      <c r="E19" s="1790"/>
      <c r="F19" s="1790"/>
      <c r="G19" s="1790"/>
      <c r="H19" s="1278"/>
      <c r="I19" s="167"/>
      <c r="J19" s="167"/>
      <c r="K19" s="167"/>
      <c r="L19" s="167"/>
      <c r="M19" s="167"/>
      <c r="N19" s="167"/>
      <c r="O19" s="167"/>
      <c r="P19" s="167"/>
      <c r="Q19" s="167"/>
      <c r="R19" s="786"/>
      <c r="S19" s="137"/>
    </row>
    <row r="20" spans="1:45" ht="16.5" thickBot="1">
      <c r="A20" s="713" t="s">
        <v>3008</v>
      </c>
      <c r="B20" s="337">
        <f ca="1">IF(D20="——",S22,S22-F20)</f>
        <v>29168</v>
      </c>
      <c r="C20" s="167"/>
      <c r="D20" s="2905" t="s">
        <v>70</v>
      </c>
      <c r="E20" s="1791"/>
      <c r="F20" s="1202" t="e">
        <f ca="1">SUMIF(INDIRECT("'"&amp;H20&amp;"'"&amp;"!A:A"),"承租人权益价值",INDIRECT("'"&amp;H20&amp;"'"&amp;"!c:c"))</f>
        <v>#REF!</v>
      </c>
      <c r="G20" s="1202" t="s">
        <v>3009</v>
      </c>
      <c r="H20" s="2906"/>
      <c r="I20" s="167"/>
      <c r="J20" s="167"/>
      <c r="K20" s="167"/>
      <c r="L20" s="167"/>
      <c r="M20" s="167"/>
      <c r="N20" s="167"/>
      <c r="O20" s="167"/>
      <c r="P20" s="167"/>
      <c r="Q20" s="167"/>
      <c r="R20" s="786"/>
      <c r="S20" s="137"/>
    </row>
    <row r="21" spans="1:45" ht="15.75">
      <c r="A21" s="713" t="s">
        <v>3010</v>
      </c>
      <c r="B21" s="337">
        <f ca="1">R22</f>
        <v>61880</v>
      </c>
      <c r="C21" s="167"/>
      <c r="D21" s="167"/>
      <c r="E21" s="167"/>
      <c r="F21" s="167"/>
      <c r="G21" s="167"/>
      <c r="H21" s="167"/>
      <c r="I21" s="167"/>
      <c r="J21" s="167"/>
      <c r="K21" s="167"/>
      <c r="L21" s="167"/>
      <c r="M21" s="167"/>
      <c r="N21" s="167"/>
      <c r="O21" s="167"/>
      <c r="P21" s="167"/>
      <c r="Q21" s="167"/>
      <c r="R21" s="786"/>
      <c r="S21" s="137"/>
    </row>
    <row r="22" spans="1:45">
      <c r="A22" s="360" t="s">
        <v>3011</v>
      </c>
      <c r="B22" s="23">
        <f>SUM(B24:B10000)</f>
        <v>4713.6500000000015</v>
      </c>
      <c r="C22" s="3134" t="s">
        <v>33</v>
      </c>
      <c r="D22" s="3135"/>
      <c r="E22" s="3135"/>
      <c r="F22" s="3135"/>
      <c r="G22" s="3135"/>
      <c r="H22" s="3135"/>
      <c r="I22" s="3135"/>
      <c r="J22" s="3135"/>
      <c r="K22" s="3135"/>
      <c r="L22" s="3135"/>
      <c r="M22" s="3135"/>
      <c r="N22" s="3135"/>
      <c r="O22" s="3135"/>
      <c r="P22" s="3135"/>
      <c r="Q22" s="3320"/>
      <c r="R22" s="714">
        <f ca="1">ROUND(S22*10000/B22,0)</f>
        <v>61880</v>
      </c>
      <c r="S22" s="23">
        <f ca="1">SUM(S24:S10000)</f>
        <v>29168</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5" t="s">
        <v>3015</v>
      </c>
      <c r="S23" s="11" t="s">
        <v>3016</v>
      </c>
      <c r="T23" s="2983" t="str">
        <f>抵押物清单!N3</f>
        <v>所在层</v>
      </c>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抵押物清单!H6</f>
        <v>207</v>
      </c>
      <c r="B24" s="716">
        <f>'数据-基础表'!I13</f>
        <v>148.57</v>
      </c>
      <c r="C24" s="717">
        <v>1</v>
      </c>
      <c r="D24" s="718"/>
      <c r="E24" s="717">
        <v>1</v>
      </c>
      <c r="F24" s="718"/>
      <c r="G24" s="717">
        <v>1</v>
      </c>
      <c r="H24" s="718"/>
      <c r="I24" s="717">
        <v>1</v>
      </c>
      <c r="J24" s="718"/>
      <c r="K24" s="717">
        <v>1</v>
      </c>
      <c r="L24" s="718"/>
      <c r="M24" s="717">
        <v>1</v>
      </c>
      <c r="N24" s="718"/>
      <c r="O24" s="717">
        <v>1</v>
      </c>
      <c r="P24" s="718" t="s">
        <v>3192</v>
      </c>
      <c r="Q24" s="717">
        <v>1</v>
      </c>
      <c r="R24" s="719">
        <f ca="1">结果表!G20</f>
        <v>61172</v>
      </c>
      <c r="S24" s="717">
        <f t="shared" ref="S24:S54" ca="1" si="11">ROUND(R24*B24/10000,0)</f>
        <v>909</v>
      </c>
      <c r="T24" s="796">
        <f>抵押物清单!N6</f>
        <v>2</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7">
        <f>抵押物清单!H7</f>
        <v>501</v>
      </c>
      <c r="B25" s="2987">
        <f>'数据-基础表'!I14</f>
        <v>148.57</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3192</v>
      </c>
      <c r="Q25" s="23">
        <f>(SUMIF($17:$17,P25,$18:$18)-SUMIF($17:$17,$P$24,$18:$18)+100)/100</f>
        <v>1</v>
      </c>
      <c r="R25" s="714">
        <f ca="1">IF(B25="",0,ROUND($R$24*C25*E25*G25*I25*K25*M25*O25*Q25,0))</f>
        <v>61172</v>
      </c>
      <c r="S25" s="360">
        <f t="shared" ca="1" si="11"/>
        <v>909</v>
      </c>
      <c r="T25" s="796">
        <f>抵押物清单!N7</f>
        <v>4</v>
      </c>
    </row>
    <row r="26" spans="1:45">
      <c r="A26" s="2987">
        <f>抵押物清单!H8</f>
        <v>502</v>
      </c>
      <c r="B26" s="2987">
        <f>'数据-基础表'!I15</f>
        <v>162.13</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t="s">
        <v>3192</v>
      </c>
      <c r="Q26" s="23">
        <f t="shared" ref="Q26:Q89" si="19">(SUMIF($17:$17,P26,$18:$18)-SUMIF($17:$17,$P$24,$18:$18)+100)/100</f>
        <v>1</v>
      </c>
      <c r="R26" s="714">
        <f t="shared" ref="R26:R89" ca="1" si="20">IF(B26="",0,ROUND($R$24*C26*E26*G26*I26*K26*M26*O26*Q26,0))</f>
        <v>61172</v>
      </c>
      <c r="S26" s="360">
        <f t="shared" ca="1" si="11"/>
        <v>992</v>
      </c>
      <c r="T26" s="796">
        <f>抵押物清单!N8</f>
        <v>4</v>
      </c>
    </row>
    <row r="27" spans="1:45">
      <c r="A27" s="2987">
        <f>抵押物清单!H9</f>
        <v>505</v>
      </c>
      <c r="B27" s="2987">
        <f>'数据-基础表'!I16</f>
        <v>148.52000000000001</v>
      </c>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t="s">
        <v>3192</v>
      </c>
      <c r="Q27" s="23">
        <f t="shared" si="19"/>
        <v>1</v>
      </c>
      <c r="R27" s="714">
        <f t="shared" ca="1" si="20"/>
        <v>61172</v>
      </c>
      <c r="S27" s="360">
        <f t="shared" ca="1" si="11"/>
        <v>909</v>
      </c>
      <c r="T27" s="796">
        <f>抵押物清单!N9</f>
        <v>4</v>
      </c>
    </row>
    <row r="28" spans="1:45">
      <c r="A28" s="2987">
        <f>抵押物清单!H10</f>
        <v>603</v>
      </c>
      <c r="B28" s="2987">
        <f>'数据-基础表'!I17</f>
        <v>148.52000000000001</v>
      </c>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t="s">
        <v>3192</v>
      </c>
      <c r="Q28" s="23">
        <f t="shared" si="19"/>
        <v>1</v>
      </c>
      <c r="R28" s="714">
        <f t="shared" ca="1" si="20"/>
        <v>61172</v>
      </c>
      <c r="S28" s="360">
        <f t="shared" ca="1" si="11"/>
        <v>909</v>
      </c>
      <c r="T28" s="796">
        <f>抵押物清单!N10</f>
        <v>5</v>
      </c>
    </row>
    <row r="29" spans="1:45">
      <c r="A29" s="2987">
        <f>抵押物清单!H11</f>
        <v>607</v>
      </c>
      <c r="B29" s="2987">
        <f>'数据-基础表'!I18</f>
        <v>148.57</v>
      </c>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t="s">
        <v>3192</v>
      </c>
      <c r="Q29" s="23">
        <f t="shared" si="19"/>
        <v>1</v>
      </c>
      <c r="R29" s="714">
        <f t="shared" ca="1" si="20"/>
        <v>61172</v>
      </c>
      <c r="S29" s="360">
        <f t="shared" ca="1" si="11"/>
        <v>909</v>
      </c>
      <c r="T29" s="796">
        <f>抵押物清单!N11</f>
        <v>5</v>
      </c>
    </row>
    <row r="30" spans="1:45">
      <c r="A30" s="2987">
        <f>抵押物清单!H12</f>
        <v>702</v>
      </c>
      <c r="B30" s="2987">
        <f>'数据-基础表'!I19</f>
        <v>162.13</v>
      </c>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t="s">
        <v>3192</v>
      </c>
      <c r="Q30" s="23">
        <f t="shared" si="19"/>
        <v>1</v>
      </c>
      <c r="R30" s="714">
        <f t="shared" ca="1" si="20"/>
        <v>61172</v>
      </c>
      <c r="S30" s="360">
        <f t="shared" ca="1" si="11"/>
        <v>992</v>
      </c>
      <c r="T30" s="796">
        <f>抵押物清单!N12</f>
        <v>6</v>
      </c>
    </row>
    <row r="31" spans="1:45">
      <c r="A31" s="2987">
        <f>抵押物清单!H13</f>
        <v>705</v>
      </c>
      <c r="B31" s="2987">
        <f>'数据-基础表'!I20</f>
        <v>148.52000000000001</v>
      </c>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t="s">
        <v>3192</v>
      </c>
      <c r="Q31" s="23">
        <f t="shared" si="19"/>
        <v>1</v>
      </c>
      <c r="R31" s="714">
        <f t="shared" ca="1" si="20"/>
        <v>61172</v>
      </c>
      <c r="S31" s="360">
        <f t="shared" ca="1" si="11"/>
        <v>909</v>
      </c>
      <c r="T31" s="796">
        <f>抵押物清单!N13</f>
        <v>6</v>
      </c>
    </row>
    <row r="32" spans="1:45">
      <c r="A32" s="2987">
        <f>抵押物清单!H14</f>
        <v>807</v>
      </c>
      <c r="B32" s="2987">
        <f>'数据-基础表'!I21</f>
        <v>148.57</v>
      </c>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t="s">
        <v>3192</v>
      </c>
      <c r="Q32" s="23">
        <f t="shared" si="19"/>
        <v>1</v>
      </c>
      <c r="R32" s="714">
        <f t="shared" ca="1" si="20"/>
        <v>61172</v>
      </c>
      <c r="S32" s="360">
        <f t="shared" ca="1" si="11"/>
        <v>909</v>
      </c>
      <c r="T32" s="796">
        <f>抵押物清单!N14</f>
        <v>7</v>
      </c>
    </row>
    <row r="33" spans="1:20">
      <c r="A33" s="2987">
        <f>抵押物清单!H15</f>
        <v>1105</v>
      </c>
      <c r="B33" s="2987">
        <f>'数据-基础表'!I22</f>
        <v>148.52000000000001</v>
      </c>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t="s">
        <v>3190</v>
      </c>
      <c r="Q33" s="23">
        <f t="shared" si="19"/>
        <v>1.01</v>
      </c>
      <c r="R33" s="714">
        <f t="shared" ca="1" si="20"/>
        <v>61784</v>
      </c>
      <c r="S33" s="360">
        <f t="shared" ca="1" si="11"/>
        <v>918</v>
      </c>
      <c r="T33" s="796">
        <f>抵押物清单!N15</f>
        <v>10</v>
      </c>
    </row>
    <row r="34" spans="1:20">
      <c r="A34" s="2987">
        <f>抵押物清单!H16</f>
        <v>1202</v>
      </c>
      <c r="B34" s="2987">
        <f>'数据-基础表'!I23</f>
        <v>162.13</v>
      </c>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t="s">
        <v>3190</v>
      </c>
      <c r="Q34" s="23">
        <f t="shared" si="19"/>
        <v>1.01</v>
      </c>
      <c r="R34" s="714">
        <f t="shared" ca="1" si="20"/>
        <v>61784</v>
      </c>
      <c r="S34" s="360">
        <f t="shared" ca="1" si="11"/>
        <v>1002</v>
      </c>
      <c r="T34" s="796">
        <f>抵押物清单!N16</f>
        <v>11</v>
      </c>
    </row>
    <row r="35" spans="1:20">
      <c r="A35" s="2987">
        <f>抵押物清单!H17</f>
        <v>1505</v>
      </c>
      <c r="B35" s="2987">
        <f>'数据-基础表'!I24</f>
        <v>148.52000000000001</v>
      </c>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t="s">
        <v>3190</v>
      </c>
      <c r="Q35" s="23">
        <f t="shared" si="19"/>
        <v>1.01</v>
      </c>
      <c r="R35" s="714">
        <f t="shared" ca="1" si="20"/>
        <v>61784</v>
      </c>
      <c r="S35" s="360">
        <f t="shared" ca="1" si="11"/>
        <v>918</v>
      </c>
      <c r="T35" s="796">
        <f>抵押物清单!N17</f>
        <v>12</v>
      </c>
    </row>
    <row r="36" spans="1:20">
      <c r="A36" s="2987">
        <f>抵押物清单!H18</f>
        <v>1605</v>
      </c>
      <c r="B36" s="2987">
        <f>'数据-基础表'!I25</f>
        <v>148.52000000000001</v>
      </c>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t="s">
        <v>3190</v>
      </c>
      <c r="Q36" s="23">
        <f t="shared" si="19"/>
        <v>1.01</v>
      </c>
      <c r="R36" s="714">
        <f t="shared" ca="1" si="20"/>
        <v>61784</v>
      </c>
      <c r="S36" s="360">
        <f t="shared" ca="1" si="11"/>
        <v>918</v>
      </c>
      <c r="T36" s="796">
        <f>抵押物清单!N18</f>
        <v>13</v>
      </c>
    </row>
    <row r="37" spans="1:20">
      <c r="A37" s="2987">
        <f>抵押物清单!H19</f>
        <v>1607</v>
      </c>
      <c r="B37" s="2987">
        <f>'数据-基础表'!I26</f>
        <v>148.57</v>
      </c>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t="s">
        <v>3190</v>
      </c>
      <c r="Q37" s="23">
        <f t="shared" si="19"/>
        <v>1.01</v>
      </c>
      <c r="R37" s="714">
        <f t="shared" ca="1" si="20"/>
        <v>61784</v>
      </c>
      <c r="S37" s="360">
        <f t="shared" ca="1" si="11"/>
        <v>918</v>
      </c>
      <c r="T37" s="796">
        <f>抵押物清单!N19</f>
        <v>13</v>
      </c>
    </row>
    <row r="38" spans="1:20">
      <c r="A38" s="2987">
        <f>抵押物清单!H20</f>
        <v>1707</v>
      </c>
      <c r="B38" s="2987">
        <f>'数据-基础表'!I27</f>
        <v>148.57</v>
      </c>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t="s">
        <v>3190</v>
      </c>
      <c r="Q38" s="23">
        <f t="shared" si="19"/>
        <v>1.01</v>
      </c>
      <c r="R38" s="714">
        <f t="shared" ca="1" si="20"/>
        <v>61784</v>
      </c>
      <c r="S38" s="360">
        <f t="shared" ca="1" si="11"/>
        <v>918</v>
      </c>
      <c r="T38" s="796">
        <f>抵押物清单!N20</f>
        <v>14</v>
      </c>
    </row>
    <row r="39" spans="1:20">
      <c r="A39" s="2987">
        <f>抵押物清单!H21</f>
        <v>1807</v>
      </c>
      <c r="B39" s="2987">
        <f>'数据-基础表'!I28</f>
        <v>148.57</v>
      </c>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t="s">
        <v>3190</v>
      </c>
      <c r="Q39" s="23">
        <f t="shared" si="19"/>
        <v>1.01</v>
      </c>
      <c r="R39" s="714">
        <f t="shared" ca="1" si="20"/>
        <v>61784</v>
      </c>
      <c r="S39" s="360">
        <f t="shared" ca="1" si="11"/>
        <v>918</v>
      </c>
      <c r="T39" s="796">
        <f>抵押物清单!N21</f>
        <v>15</v>
      </c>
    </row>
    <row r="40" spans="1:20">
      <c r="A40" s="2987">
        <f>抵押物清单!H22</f>
        <v>2007</v>
      </c>
      <c r="B40" s="2987">
        <f>'数据-基础表'!I29</f>
        <v>148.57</v>
      </c>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t="s">
        <v>3190</v>
      </c>
      <c r="Q40" s="23">
        <f t="shared" si="19"/>
        <v>1.01</v>
      </c>
      <c r="R40" s="714">
        <f t="shared" ca="1" si="20"/>
        <v>61784</v>
      </c>
      <c r="S40" s="360">
        <f t="shared" ca="1" si="11"/>
        <v>918</v>
      </c>
      <c r="T40" s="796">
        <f>抵押物清单!N22</f>
        <v>17</v>
      </c>
    </row>
    <row r="41" spans="1:20">
      <c r="A41" s="2987">
        <f>抵押物清单!H23</f>
        <v>1806</v>
      </c>
      <c r="B41" s="2987">
        <f>'数据-基础表'!I30</f>
        <v>162.13</v>
      </c>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t="s">
        <v>3190</v>
      </c>
      <c r="Q41" s="23">
        <f t="shared" si="19"/>
        <v>1.01</v>
      </c>
      <c r="R41" s="714">
        <f t="shared" ca="1" si="20"/>
        <v>61784</v>
      </c>
      <c r="S41" s="360">
        <f t="shared" ca="1" si="11"/>
        <v>1002</v>
      </c>
      <c r="T41" s="796">
        <f>抵押物清单!N23</f>
        <v>15</v>
      </c>
    </row>
    <row r="42" spans="1:20">
      <c r="A42" s="2987">
        <f>抵押物清单!H24</f>
        <v>2301</v>
      </c>
      <c r="B42" s="2987">
        <f>'数据-基础表'!I31</f>
        <v>148.57</v>
      </c>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t="s">
        <v>3188</v>
      </c>
      <c r="Q42" s="23">
        <f t="shared" si="19"/>
        <v>1.02</v>
      </c>
      <c r="R42" s="714">
        <f t="shared" ca="1" si="20"/>
        <v>62395</v>
      </c>
      <c r="S42" s="360">
        <f t="shared" ca="1" si="11"/>
        <v>927</v>
      </c>
      <c r="T42" s="796">
        <f>抵押物清单!N24</f>
        <v>20</v>
      </c>
    </row>
    <row r="43" spans="1:20">
      <c r="A43" s="2987">
        <f>抵押物清单!H25</f>
        <v>2303</v>
      </c>
      <c r="B43" s="2987">
        <f>'数据-基础表'!I32</f>
        <v>148.52000000000001</v>
      </c>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t="s">
        <v>3188</v>
      </c>
      <c r="Q43" s="23">
        <f t="shared" si="19"/>
        <v>1.02</v>
      </c>
      <c r="R43" s="714">
        <f t="shared" ca="1" si="20"/>
        <v>62395</v>
      </c>
      <c r="S43" s="360">
        <f t="shared" ca="1" si="11"/>
        <v>927</v>
      </c>
      <c r="T43" s="796">
        <f>抵押物清单!N25</f>
        <v>20</v>
      </c>
    </row>
    <row r="44" spans="1:20">
      <c r="A44" s="2987">
        <f>抵押物清单!H26</f>
        <v>2305</v>
      </c>
      <c r="B44" s="2987">
        <f>'数据-基础表'!I33</f>
        <v>148.52000000000001</v>
      </c>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t="s">
        <v>3188</v>
      </c>
      <c r="Q44" s="23">
        <f t="shared" si="19"/>
        <v>1.02</v>
      </c>
      <c r="R44" s="714">
        <f t="shared" ca="1" si="20"/>
        <v>62395</v>
      </c>
      <c r="S44" s="360">
        <f t="shared" ca="1" si="11"/>
        <v>927</v>
      </c>
      <c r="T44" s="796">
        <f>抵押物清单!N26</f>
        <v>20</v>
      </c>
    </row>
    <row r="45" spans="1:20">
      <c r="A45" s="2987">
        <f>抵押物清单!H27</f>
        <v>2306</v>
      </c>
      <c r="B45" s="2987">
        <f>'数据-基础表'!I34</f>
        <v>162.13</v>
      </c>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t="s">
        <v>3188</v>
      </c>
      <c r="Q45" s="23">
        <f t="shared" si="19"/>
        <v>1.02</v>
      </c>
      <c r="R45" s="714">
        <f t="shared" ca="1" si="20"/>
        <v>62395</v>
      </c>
      <c r="S45" s="360">
        <f t="shared" ca="1" si="11"/>
        <v>1012</v>
      </c>
      <c r="T45" s="796">
        <f>抵押物清单!N27</f>
        <v>20</v>
      </c>
    </row>
    <row r="46" spans="1:20">
      <c r="A46" s="2987">
        <f>抵押物清单!H28</f>
        <v>2307</v>
      </c>
      <c r="B46" s="2987">
        <f>'数据-基础表'!I35</f>
        <v>148.57</v>
      </c>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t="s">
        <v>3188</v>
      </c>
      <c r="Q46" s="23">
        <f t="shared" si="19"/>
        <v>1.02</v>
      </c>
      <c r="R46" s="714">
        <f t="shared" ca="1" si="20"/>
        <v>62395</v>
      </c>
      <c r="S46" s="360">
        <f t="shared" ca="1" si="11"/>
        <v>927</v>
      </c>
      <c r="T46" s="796">
        <f>抵押物清单!N28</f>
        <v>20</v>
      </c>
    </row>
    <row r="47" spans="1:20">
      <c r="A47" s="2987">
        <f>抵押物清单!H29</f>
        <v>2506</v>
      </c>
      <c r="B47" s="2987">
        <f>'数据-基础表'!I36</f>
        <v>162.13</v>
      </c>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t="s">
        <v>3188</v>
      </c>
      <c r="Q47" s="23">
        <f t="shared" si="19"/>
        <v>1.02</v>
      </c>
      <c r="R47" s="714">
        <f t="shared" ca="1" si="20"/>
        <v>62395</v>
      </c>
      <c r="S47" s="360">
        <f t="shared" ca="1" si="11"/>
        <v>1012</v>
      </c>
      <c r="T47" s="796">
        <f>抵押物清单!N29</f>
        <v>21</v>
      </c>
    </row>
    <row r="48" spans="1:20">
      <c r="A48" s="2987">
        <f>抵押物清单!H30</f>
        <v>2507</v>
      </c>
      <c r="B48" s="2987">
        <f>'数据-基础表'!I37</f>
        <v>148.57</v>
      </c>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t="s">
        <v>3188</v>
      </c>
      <c r="Q48" s="23">
        <f t="shared" si="19"/>
        <v>1.02</v>
      </c>
      <c r="R48" s="714">
        <f t="shared" ca="1" si="20"/>
        <v>62395</v>
      </c>
      <c r="S48" s="360">
        <f t="shared" ca="1" si="11"/>
        <v>927</v>
      </c>
      <c r="T48" s="796">
        <f>抵押物清单!N30</f>
        <v>21</v>
      </c>
    </row>
    <row r="49" spans="1:20">
      <c r="A49" s="2987">
        <f>抵押物清单!H31</f>
        <v>2601</v>
      </c>
      <c r="B49" s="2987">
        <f>'数据-基础表'!I38</f>
        <v>148.57</v>
      </c>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t="s">
        <v>3188</v>
      </c>
      <c r="Q49" s="23">
        <f t="shared" si="19"/>
        <v>1.02</v>
      </c>
      <c r="R49" s="714">
        <f t="shared" ca="1" si="20"/>
        <v>62395</v>
      </c>
      <c r="S49" s="360">
        <f t="shared" ca="1" si="11"/>
        <v>927</v>
      </c>
      <c r="T49" s="796">
        <f>抵押物清单!N31</f>
        <v>22</v>
      </c>
    </row>
    <row r="50" spans="1:20">
      <c r="A50" s="2987">
        <f>抵押物清单!H32</f>
        <v>2602</v>
      </c>
      <c r="B50" s="2987">
        <f>'数据-基础表'!I39</f>
        <v>162.13</v>
      </c>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t="s">
        <v>3188</v>
      </c>
      <c r="Q50" s="23">
        <f t="shared" si="19"/>
        <v>1.02</v>
      </c>
      <c r="R50" s="714">
        <f t="shared" ca="1" si="20"/>
        <v>62395</v>
      </c>
      <c r="S50" s="360">
        <f t="shared" ca="1" si="11"/>
        <v>1012</v>
      </c>
      <c r="T50" s="796">
        <f>抵押物清单!N32</f>
        <v>22</v>
      </c>
    </row>
    <row r="51" spans="1:20">
      <c r="A51" s="2987">
        <f>抵押物清单!H33</f>
        <v>2603</v>
      </c>
      <c r="B51" s="2987">
        <f>'数据-基础表'!I40</f>
        <v>148.52000000000001</v>
      </c>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t="s">
        <v>3188</v>
      </c>
      <c r="Q51" s="23">
        <f t="shared" si="19"/>
        <v>1.02</v>
      </c>
      <c r="R51" s="714">
        <f t="shared" ca="1" si="20"/>
        <v>62395</v>
      </c>
      <c r="S51" s="360">
        <f t="shared" ca="1" si="11"/>
        <v>927</v>
      </c>
      <c r="T51" s="796">
        <f>抵押物清单!N33</f>
        <v>22</v>
      </c>
    </row>
    <row r="52" spans="1:20">
      <c r="A52" s="2987">
        <f>抵押物清单!H34</f>
        <v>2605</v>
      </c>
      <c r="B52" s="2987">
        <f>'数据-基础表'!I41</f>
        <v>148.52000000000001</v>
      </c>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t="s">
        <v>3188</v>
      </c>
      <c r="Q52" s="23">
        <f t="shared" si="19"/>
        <v>1.02</v>
      </c>
      <c r="R52" s="714">
        <f t="shared" ca="1" si="20"/>
        <v>62395</v>
      </c>
      <c r="S52" s="360">
        <f t="shared" ca="1" si="11"/>
        <v>927</v>
      </c>
      <c r="T52" s="796">
        <f>抵押物清单!N34</f>
        <v>22</v>
      </c>
    </row>
    <row r="53" spans="1:20">
      <c r="A53" s="2987">
        <f>抵押物清单!H35</f>
        <v>2606</v>
      </c>
      <c r="B53" s="2987">
        <f>'数据-基础表'!I42</f>
        <v>162.13</v>
      </c>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t="s">
        <v>3188</v>
      </c>
      <c r="Q53" s="23">
        <f t="shared" si="19"/>
        <v>1.02</v>
      </c>
      <c r="R53" s="714">
        <f t="shared" ca="1" si="20"/>
        <v>62395</v>
      </c>
      <c r="S53" s="360">
        <f t="shared" ca="1" si="11"/>
        <v>1012</v>
      </c>
      <c r="T53" s="796">
        <f>抵押物清单!N35</f>
        <v>22</v>
      </c>
    </row>
    <row r="54" spans="1:20">
      <c r="A54" s="2987">
        <f>抵押物清单!H36</f>
        <v>2607</v>
      </c>
      <c r="B54" s="2987">
        <f>'数据-基础表'!I43</f>
        <v>148.57</v>
      </c>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t="s">
        <v>3188</v>
      </c>
      <c r="Q54" s="23">
        <f t="shared" si="19"/>
        <v>1.02</v>
      </c>
      <c r="R54" s="714">
        <f t="shared" ca="1" si="20"/>
        <v>62395</v>
      </c>
      <c r="S54" s="360">
        <f t="shared" ca="1" si="11"/>
        <v>927</v>
      </c>
      <c r="T54" s="796">
        <f>抵押物清单!N36</f>
        <v>22</v>
      </c>
    </row>
    <row r="55" spans="1:20">
      <c r="A55" s="158"/>
      <c r="B55" s="716"/>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0.02</v>
      </c>
      <c r="R55" s="714">
        <f t="shared" si="20"/>
        <v>0</v>
      </c>
      <c r="S55" s="360">
        <f t="shared" ref="S55:S77" si="21">ROUND(R55*B55/10000,0)</f>
        <v>0</v>
      </c>
    </row>
    <row r="56" spans="1:20">
      <c r="A56" s="158"/>
      <c r="B56" s="716"/>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0.02</v>
      </c>
      <c r="R56" s="714">
        <f t="shared" si="20"/>
        <v>0</v>
      </c>
      <c r="S56" s="360">
        <f t="shared" si="21"/>
        <v>0</v>
      </c>
    </row>
    <row r="57" spans="1:20">
      <c r="A57" s="158"/>
      <c r="B57" s="716"/>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0.02</v>
      </c>
      <c r="R57" s="714">
        <f t="shared" si="20"/>
        <v>0</v>
      </c>
      <c r="S57" s="360">
        <f t="shared" si="21"/>
        <v>0</v>
      </c>
    </row>
    <row r="58" spans="1:20">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0.02</v>
      </c>
      <c r="R58" s="714">
        <f t="shared" si="20"/>
        <v>0</v>
      </c>
      <c r="S58" s="360">
        <f t="shared" si="21"/>
        <v>0</v>
      </c>
    </row>
    <row r="59" spans="1:20">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0.02</v>
      </c>
      <c r="R59" s="714">
        <f t="shared" si="20"/>
        <v>0</v>
      </c>
      <c r="S59" s="360">
        <f t="shared" si="21"/>
        <v>0</v>
      </c>
    </row>
    <row r="60" spans="1:20">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0.02</v>
      </c>
      <c r="R60" s="714">
        <f t="shared" si="20"/>
        <v>0</v>
      </c>
      <c r="S60" s="360">
        <f t="shared" si="21"/>
        <v>0</v>
      </c>
    </row>
    <row r="61" spans="1:20">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0.02</v>
      </c>
      <c r="R61" s="714">
        <f t="shared" si="20"/>
        <v>0</v>
      </c>
      <c r="S61" s="360">
        <f t="shared" si="21"/>
        <v>0</v>
      </c>
    </row>
    <row r="62" spans="1:20">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0.02</v>
      </c>
      <c r="R62" s="714">
        <f t="shared" si="20"/>
        <v>0</v>
      </c>
      <c r="S62" s="360">
        <f t="shared" si="21"/>
        <v>0</v>
      </c>
    </row>
    <row r="63" spans="1:20">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0.02</v>
      </c>
      <c r="R63" s="714">
        <f t="shared" si="20"/>
        <v>0</v>
      </c>
      <c r="S63" s="360">
        <f t="shared" si="21"/>
        <v>0</v>
      </c>
    </row>
    <row r="64" spans="1:20">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0.02</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0.02</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0.02</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0.02</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0.02</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0.02</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0.02</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0.02</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0.02</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0.02</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0.02</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0.02</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0.02</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0.02</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0.02</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0.02</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0.02</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0.02</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0.02</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0.02</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0.02</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0.02</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0.02</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0.02</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0.02</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0.02</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0.02</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0.02</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0.02</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0.02</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0.02</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0.02</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0.02</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0.02</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0.02</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0.02</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0.02</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0.02</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0.02</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0.02</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0.02</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0.02</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0.02</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0.02</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0.02</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0.02</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0.02</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0.02</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0.02</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0.02</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0.02</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0.02</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0.02</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0.02</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0.02</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0.02</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0.02</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0.02</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0.02</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0.02</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0.02</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0.02</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0.02</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0.02</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0.02</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0.02</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0.02</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0.02</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0.02</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0.02</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0.02</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0.02</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0.02</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0.02</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0.02</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0.02</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0.02</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0.02</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0.02</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0.02</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0.02</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0.02</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0.02</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0.02</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0.02</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0.02</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0.02</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0.02</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0.02</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0.02</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0.02</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0.02</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0.02</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0.02</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0.02</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0.02</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0.02</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0.02</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0.02</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0.02</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0.02</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0.02</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0.02</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0.02</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0.02</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0.02</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0.02</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0.02</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0.02</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0.02</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0.02</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0.02</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0.02</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0.02</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0.02</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0.02</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0.02</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0.02</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0.02</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0.02</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0.02</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0.02</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0.02</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0.02</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0.02</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0.02</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0.02</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0.02</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0.02</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0.02</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0.02</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0.02</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0.02</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0.02</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0.02</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0.02</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0.02</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0.02</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0.02</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0.02</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0.02</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0.02</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0.02</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0.02</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0.02</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0.02</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0.02</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0.02</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0.02</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0.02</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0.02</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0.02</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0.02</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0.02</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0.02</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0.02</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0.02</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0.02</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0.02</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0.02</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0.02</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0.02</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0.02</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0.02</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0.02</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0.02</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0.02</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0.02</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0.02</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0.02</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0.02</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0.02</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0.02</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0.02</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0.02</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0.02</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0.02</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0.02</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0.02</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0.02</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0.02</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0.02</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0.02</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0.02</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0.02</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0.02</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0.02</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0.02</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0.02</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0.02</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0.02</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0.02</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0.02</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0.02</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0.02</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0.02</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0.02</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0.02</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0.02</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0.02</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0.02</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0.02</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0.02</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0.02</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0.02</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0.02</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0.02</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0.02</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0.02</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0.02</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0.02</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0.02</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0.02</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0.02</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0.02</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0.02</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0.02</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0.02</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0.02</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0.02</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0.02</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0.02</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0.02</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0.02</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0.02</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0.02</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0.02</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0.02</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0.02</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0.02</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0.02</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0.02</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0.02</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0.02</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0.02</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0.02</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0.02</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0.02</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0.02</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0.02</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0.02</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0.02</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0.02</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0.02</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0.02</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0.02</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0.02</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0.02</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0.02</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0.02</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0.02</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0.02</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0.02</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0.02</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0.02</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0.02</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0.02</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0.02</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0.02</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0.02</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0.02</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0.02</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0.02</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0.02</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0.02</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0.02</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0.02</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0.02</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0.02</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0.02</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0.02</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0.02</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0.02</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0.02</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0.02</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0.02</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0.02</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0.02</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0.02</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0.02</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0.02</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0.02</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0.02</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0.02</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0.02</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0.02</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0.02</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0.02</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0.02</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0.02</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0.02</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0.02</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0.02</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0.02</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0.02</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0.02</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0.02</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0.02</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0.02</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0.02</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0.02</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0.02</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0.02</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0.02</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0.02</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0.02</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0.02</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0.02</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0.02</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0.02</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0.02</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0.02</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0.02</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0.02</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0.02</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0.02</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0.02</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0.02</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0.02</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0.02</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0.02</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0.02</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0.02</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0.02</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0.02</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0.02</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0.02</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0.02</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0.02</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0.02</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0.02</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0.02</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0.02</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0.02</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0.02</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0.02</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0.02</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0.02</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0.02</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0.02</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0.02</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0.02</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0.02</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0.02</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0.02</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0.02</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0.02</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0.02</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0.02</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0.02</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0.02</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0.02</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0.02</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0.02</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0.02</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0.02</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0.02</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0.02</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0.02</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0.02</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0.02</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0.02</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0.02</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0.02</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0.02</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0.02</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0.02</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0.02</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0.02</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0.02</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0.02</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0.02</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0.02</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0.02</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0.02</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0.02</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0.02</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0.02</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0.02</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0.02</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0.02</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0.02</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0.02</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0.02</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0.02</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0.02</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0.02</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0.02</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0.02</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0.02</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0.02</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0.02</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0.02</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0.02</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0.02</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0.02</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0.02</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0.02</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0.02</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0.02</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0.02</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0.02</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0.02</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0.02</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0.02</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0.02</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0.02</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0.02</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0.02</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0.02</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0.02</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0.02</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0.02</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0.02</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0.02</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0.02</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0.02</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0.02</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0.02</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0.02</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0.02</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0.02</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0.02</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0.02</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0.02</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0.02</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0.02</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0.02</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0.02</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0.02</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0.02</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0.02</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0.02</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0.02</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0.02</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0.02</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0.02</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0.02</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0.02</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0.02</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0.02</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0.02</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0.02</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0.02</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0.02</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0.02</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0.02</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0.02</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0.02</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0.02</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0.02</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0.02</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0.02</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0.02</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0.02</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0.02</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0.02</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0.02</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0.02</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0.02</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0.02</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90" zoomScaleNormal="90" workbookViewId="0">
      <selection activeCell="L36" sqref="L36"/>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54">
      <c r="A4" s="1945" t="str">
        <f>"受贵公司委托，我公司对"&amp;项目基本情况!S1&amp;"进行了预评估。"</f>
        <v>受贵公司委托，我公司对北京市朝阳区东三环中路乙16号院4号楼2层207号等31套住宅用房及朝阳区东三环中路乙16号院5号楼1至2层101号办公用房房地产抵押价值进行了预评估。</v>
      </c>
    </row>
    <row r="5" spans="1:1" ht="18.75">
      <c r="A5" s="1946" t="s">
        <v>1606</v>
      </c>
    </row>
    <row r="6" spans="1:1" ht="18.75">
      <c r="A6" s="1947" t="s">
        <v>1607</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乙16号院4号楼2层207号等31套住宅用房及朝阳区东三环中路乙16号院5号楼1至2层101号办公用房房地产，为力行中天投资有限公司所有。根据《国有土地使用证》[京朝国用（2008出）字第0073号]等2本，估价对象（分摊）出让国有建设用地使用权面积为1048.14平方米，建筑面积为1191.7平方米。</v>
      </c>
    </row>
    <row r="8" spans="1:1" ht="57.75">
      <c r="A8" s="1948" t="s">
        <v>1608</v>
      </c>
    </row>
    <row r="9" spans="1:1" ht="18.75">
      <c r="A9" s="1947" t="s">
        <v>1609</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乙16号院4号楼2层207号等31套住宅用房及朝阳区东三环中路乙16号院5号楼1至2层101号办公用房房地产,属力行中天投资有限公司开发建设的居住项目，该项目尚在开发建设中。根据《国有土地使用证》[京朝国用（2008出）字第0073号]等2本，估价对象（分摊）出让国有建设用地使用权面积为1048.14平方米，规划建筑面积为1191.7平方米。</v>
      </c>
    </row>
    <row r="11" spans="1:1" ht="76.5">
      <c r="A11" s="1948" t="s">
        <v>1610</v>
      </c>
    </row>
    <row r="12" spans="1:1" ht="18.75">
      <c r="A12" s="1946" t="s">
        <v>1611</v>
      </c>
    </row>
    <row r="13" spans="1:1" ht="38.25" customHeight="1">
      <c r="A13" s="1949" t="str">
        <f>IF(项目基本情况!B8="抵押",IF(项目基本情况!B5=项目基本情况!B6,定义!C51,定义!B51),定义!D51)</f>
        <v>为估价委托人在向工行九龙山（中国工商银行股份有限公司北京九龙山支行）办理贷款手续过程中，确定房地产抵押贷款额度提供参考依据而评估房地产抵押价值。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2020年5月18日（评估专业人员实地查勘之日）</v>
      </c>
    </row>
    <row r="16" spans="1:1" ht="18.75">
      <c r="A16" s="1950" t="s">
        <v>1613</v>
      </c>
    </row>
    <row r="17" spans="1:1" ht="75">
      <c r="A17" s="1945" t="s">
        <v>1614</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18日，估价对象规划用途为住宅、办公，土地取得方式为出让，出让国有建设用地使用权剩余土地使用年限为住宅51.34年、办公36.50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住宅51.34年、办公36.50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1603</v>
      </c>
    </row>
    <row r="24" spans="1:1" ht="18">
      <c r="A24" s="1952" t="str">
        <f>"本次评估采用的主估价方法为"&amp;结果表!K4&amp;"和"&amp;结果表!L4&amp;"。"</f>
        <v>本次评估采用的主估价方法为收益法和比较法。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2418"/>
    <col min="3" max="4" width="12.625" style="2418" customWidth="1"/>
    <col min="5"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20" t="s">
        <v>2109</v>
      </c>
      <c r="B1" s="2412"/>
      <c r="C1" s="2413" t="s">
        <v>27</v>
      </c>
      <c r="D1" s="2412"/>
      <c r="E1" s="2412"/>
      <c r="F1" s="2414" t="s">
        <v>2110</v>
      </c>
      <c r="G1" s="2066" t="s">
        <v>3059</v>
      </c>
      <c r="H1" s="2415" t="str">
        <f>IF(G1="现房","——","估价对象范围")</f>
        <v>——</v>
      </c>
      <c r="I1" s="2416"/>
    </row>
    <row r="2" spans="1:12" ht="21.75" customHeight="1" thickBot="1">
      <c r="A2" s="3198" t="str">
        <f>项目基本情况!S2</f>
        <v>北京市朝阳区东三环中路乙16号院4号楼2层207号等31套住宅用房及朝阳区东三环中路乙16号院5号楼1至2层101号办公用房房地产</v>
      </c>
      <c r="B2" s="3199"/>
      <c r="C2" s="3199"/>
      <c r="D2" s="3199"/>
      <c r="E2" s="3199"/>
      <c r="F2" s="3199"/>
      <c r="G2" s="3199"/>
      <c r="H2" s="3199"/>
      <c r="I2" s="3200"/>
    </row>
    <row r="3" spans="1:12" ht="12.75">
      <c r="A3" s="3201" t="s">
        <v>2111</v>
      </c>
      <c r="B3" s="3202"/>
      <c r="C3" s="3202"/>
      <c r="D3" s="3202"/>
      <c r="E3" s="3202"/>
      <c r="F3" s="3202"/>
      <c r="G3" s="3202"/>
      <c r="H3" s="3202"/>
      <c r="I3" s="3202"/>
    </row>
    <row r="4" spans="1:12" ht="14.25">
      <c r="A4" s="2419" t="s">
        <v>2112</v>
      </c>
      <c r="B4" s="2420" t="s">
        <v>2113</v>
      </c>
      <c r="C4" s="2421" t="s">
        <v>3180</v>
      </c>
      <c r="D4" s="2421" t="s">
        <v>3234</v>
      </c>
      <c r="E4" s="3182" t="s">
        <v>2114</v>
      </c>
      <c r="F4" s="3195"/>
      <c r="G4" s="3195"/>
      <c r="H4" s="3195"/>
      <c r="I4" s="3183"/>
      <c r="K4" s="2422" t="str">
        <f>IF(ISNUMBER(FIND("比较法",'结果表 (办公)'!C4)),"比较法",IF(ISNUMBER(FIND("成本法",'结果表 (办公)'!C4)),"成本法",IF(ISNUMBER(FIND("假设开发法",'结果表 (办公)'!C4)),"假设开发法",IF(ISNUMBER(FIND("收益法",'结果表 (办公)'!C4)),"收益法","基准地价系数修正法"))))</f>
        <v>收益法</v>
      </c>
      <c r="L4" s="2422" t="str">
        <f>IF(ISNUMBER(FIND("比较法",'结果表 (办公)'!D4)),"比较法",IF(ISNUMBER(FIND("成本法",'结果表 (办公)'!D4)),"成本法",IF(ISNUMBER(FIND("假设开发法",'结果表 (办公)'!D4)),"假设开发法",IF(ISNUMBER(FIND("收益法",'结果表 (办公)'!D4)),"收益法","基准地价系数修正法"))))</f>
        <v>比较法</v>
      </c>
    </row>
    <row r="5" spans="1:12" ht="12.75">
      <c r="A5" s="3173" t="s">
        <v>2115</v>
      </c>
      <c r="B5" s="3099">
        <v>25</v>
      </c>
      <c r="C5" s="3203"/>
      <c r="D5" s="3191"/>
      <c r="E5" s="139" t="s">
        <v>2116</v>
      </c>
      <c r="F5" s="2423"/>
      <c r="G5" s="2423"/>
      <c r="H5" s="2423"/>
      <c r="I5" s="1829"/>
    </row>
    <row r="6" spans="1:12" ht="12.75">
      <c r="A6" s="3173"/>
      <c r="B6" s="3099"/>
      <c r="C6" s="3205"/>
      <c r="D6" s="3191"/>
      <c r="E6" s="139" t="s">
        <v>2117</v>
      </c>
      <c r="F6" s="2423"/>
      <c r="G6" s="2423"/>
      <c r="H6" s="2423"/>
      <c r="I6" s="1829"/>
    </row>
    <row r="7" spans="1:12" ht="12.75">
      <c r="A7" s="3173"/>
      <c r="B7" s="3099"/>
      <c r="C7" s="3204"/>
      <c r="D7" s="3191"/>
      <c r="E7" s="139" t="s">
        <v>2118</v>
      </c>
      <c r="F7" s="2423"/>
      <c r="G7" s="2423"/>
      <c r="H7" s="2423"/>
      <c r="I7" s="1829"/>
    </row>
    <row r="8" spans="1:12" ht="12.75">
      <c r="A8" s="3173" t="s">
        <v>2119</v>
      </c>
      <c r="B8" s="3099">
        <v>15</v>
      </c>
      <c r="C8" s="3203"/>
      <c r="D8" s="3191"/>
      <c r="E8" s="139" t="s">
        <v>2120</v>
      </c>
      <c r="F8" s="2423"/>
      <c r="G8" s="2423"/>
      <c r="H8" s="2423"/>
      <c r="I8" s="1829"/>
    </row>
    <row r="9" spans="1:12" ht="12.75">
      <c r="A9" s="3173"/>
      <c r="B9" s="3099"/>
      <c r="C9" s="3204"/>
      <c r="D9" s="3191"/>
      <c r="E9" s="139" t="s">
        <v>2121</v>
      </c>
      <c r="F9" s="2423"/>
      <c r="G9" s="2423"/>
      <c r="H9" s="2423"/>
      <c r="I9" s="1829"/>
    </row>
    <row r="10" spans="1:12" ht="12.75">
      <c r="A10" s="3173" t="s">
        <v>2122</v>
      </c>
      <c r="B10" s="3099">
        <v>15</v>
      </c>
      <c r="C10" s="3203"/>
      <c r="D10" s="3191"/>
      <c r="E10" s="139" t="s">
        <v>2123</v>
      </c>
      <c r="F10" s="2423"/>
      <c r="G10" s="2423"/>
      <c r="H10" s="2423"/>
      <c r="I10" s="1829"/>
    </row>
    <row r="11" spans="1:12" ht="12.75">
      <c r="A11" s="3173"/>
      <c r="B11" s="3099"/>
      <c r="C11" s="3204"/>
      <c r="D11" s="3191"/>
      <c r="E11" s="139" t="s">
        <v>2124</v>
      </c>
      <c r="F11" s="2423"/>
      <c r="G11" s="2423"/>
      <c r="H11" s="2423"/>
      <c r="I11" s="1829"/>
    </row>
    <row r="12" spans="1:12" ht="12.75">
      <c r="A12" s="3173" t="s">
        <v>2125</v>
      </c>
      <c r="B12" s="3099">
        <v>15</v>
      </c>
      <c r="C12" s="3203"/>
      <c r="D12" s="3191"/>
      <c r="E12" s="139" t="s">
        <v>2126</v>
      </c>
      <c r="F12" s="2423"/>
      <c r="G12" s="2423"/>
      <c r="H12" s="2423"/>
      <c r="I12" s="1829"/>
    </row>
    <row r="13" spans="1:12" ht="12.75">
      <c r="A13" s="3173"/>
      <c r="B13" s="3099"/>
      <c r="C13" s="3204"/>
      <c r="D13" s="3191"/>
      <c r="E13" s="139" t="s">
        <v>2127</v>
      </c>
      <c r="F13" s="2423"/>
      <c r="G13" s="2423"/>
      <c r="H13" s="2423"/>
      <c r="I13" s="1829"/>
    </row>
    <row r="14" spans="1:12" ht="12.75">
      <c r="A14" s="3173" t="s">
        <v>2128</v>
      </c>
      <c r="B14" s="3099">
        <v>30</v>
      </c>
      <c r="C14" s="3203">
        <v>5</v>
      </c>
      <c r="D14" s="3191">
        <v>5</v>
      </c>
      <c r="E14" s="139" t="s">
        <v>2129</v>
      </c>
      <c r="F14" s="2423"/>
      <c r="G14" s="2423"/>
      <c r="H14" s="2423"/>
      <c r="I14" s="1829"/>
    </row>
    <row r="15" spans="1:12" ht="12.75">
      <c r="A15" s="3173"/>
      <c r="B15" s="3099"/>
      <c r="C15" s="3205"/>
      <c r="D15" s="3191"/>
      <c r="E15" s="139" t="s">
        <v>2130</v>
      </c>
      <c r="F15" s="2423"/>
      <c r="G15" s="2423"/>
      <c r="H15" s="2423"/>
      <c r="I15" s="1829"/>
    </row>
    <row r="16" spans="1:12" ht="12.75">
      <c r="A16" s="3173"/>
      <c r="B16" s="3099"/>
      <c r="C16" s="3204"/>
      <c r="D16" s="3191"/>
      <c r="E16" s="139" t="s">
        <v>2131</v>
      </c>
      <c r="F16" s="2423"/>
      <c r="G16" s="2423"/>
      <c r="H16" s="2423"/>
      <c r="I16" s="1829"/>
    </row>
    <row r="17" spans="1:35" ht="15">
      <c r="A17" s="2424" t="s">
        <v>2132</v>
      </c>
      <c r="B17" s="63"/>
      <c r="C17" s="140">
        <f>SUM(C5:C16)</f>
        <v>5</v>
      </c>
      <c r="D17" s="140">
        <f>SUM(D5:D16)</f>
        <v>5</v>
      </c>
      <c r="E17" s="137"/>
      <c r="F17" s="137"/>
      <c r="G17" s="137"/>
      <c r="H17" s="137"/>
      <c r="I17" s="137"/>
      <c r="K17" s="2422"/>
      <c r="L17" s="2425" t="s">
        <v>2133</v>
      </c>
      <c r="M17" s="2425" t="s">
        <v>2134</v>
      </c>
    </row>
    <row r="18" spans="1:35" ht="15.75" thickBot="1">
      <c r="A18" s="2426" t="s">
        <v>2135</v>
      </c>
      <c r="B18" s="2427"/>
      <c r="C18" s="141">
        <f>ROUND(C17/SUM(C17:D17),2)</f>
        <v>0.5</v>
      </c>
      <c r="D18" s="141">
        <f>1-C18</f>
        <v>0.5</v>
      </c>
      <c r="E18" s="137"/>
      <c r="F18" s="137"/>
      <c r="G18" s="137"/>
      <c r="H18" s="137"/>
      <c r="I18" s="137"/>
      <c r="K18" s="2422" t="s">
        <v>2136</v>
      </c>
      <c r="L18" s="2422">
        <f>IF(C1="",'数据-汇总表'!E3,SUMIF(项目类型,C1,'数据-汇总表'!E17:E26)+SUMIF(项目类型,C1,'数据-汇总表'!I17:I26))</f>
        <v>1043.1300000000001</v>
      </c>
      <c r="M18" s="2422">
        <f>IF(C1="",'数据-汇总表'!E3,SUMIF(项目类型,C1,'数据-汇总表'!E17:E26))</f>
        <v>1043.1300000000001</v>
      </c>
    </row>
    <row r="19" spans="1:35" ht="15">
      <c r="A19" s="2428" t="s">
        <v>2137</v>
      </c>
      <c r="B19" s="2429" t="s">
        <v>2138</v>
      </c>
      <c r="C19" s="142">
        <f ca="1">SUMIF(INDIRECT("'"&amp;C4&amp;"'"&amp;"!A:A"),'结果表 (办公)'!B19,INDIRECT("'"&amp;C4&amp;"'"&amp;"!B:B"))</f>
        <v>4058</v>
      </c>
      <c r="D19" s="143">
        <f ca="1">SUMIF(INDIRECT("'"&amp;D4&amp;"'"&amp;"!A:A"),'结果表 (办公)'!B19,INDIRECT("'"&amp;D4&amp;"'"&amp;"!B:B"))</f>
        <v>4566</v>
      </c>
      <c r="E19" s="2428" t="s">
        <v>2139</v>
      </c>
      <c r="F19" s="2429" t="s">
        <v>2138</v>
      </c>
      <c r="G19" s="144">
        <f ca="1">ROUND(C19*$C$18+D19*$D$18,0)</f>
        <v>4312</v>
      </c>
      <c r="H19" s="2430" t="s">
        <v>2140</v>
      </c>
      <c r="I19" s="137"/>
      <c r="K19" s="2422" t="s">
        <v>2141</v>
      </c>
      <c r="L19" s="2422">
        <f>IF(C1="",'数据-汇总表'!D3,SUMIF(项目类型,C1,'数据-汇总表'!D17:D26)+SUMIF(项目类型,C1,'数据-汇总表'!H17:H27))</f>
        <v>917.47</v>
      </c>
      <c r="M19" s="2422">
        <f>IF(C1="",'数据-汇总表'!D3,SUMIF(项目类型,C1,'数据-汇总表'!D17:D26))</f>
        <v>917.47</v>
      </c>
    </row>
    <row r="20" spans="1:35" ht="15">
      <c r="A20" s="2431"/>
      <c r="B20" s="1245" t="s">
        <v>2142</v>
      </c>
      <c r="C20" s="145">
        <f ca="1">SUMIF(INDIRECT("'"&amp;C4&amp;"'"&amp;"!A:A"),'结果表 (办公)'!B20,INDIRECT("'"&amp;C4&amp;"'"&amp;"!B:B"))</f>
        <v>38902</v>
      </c>
      <c r="D20" s="146">
        <f ca="1">SUMIF(INDIRECT("'"&amp;D4&amp;"'"&amp;"!A:A"),'结果表 (办公)'!B20,INDIRECT("'"&amp;D4&amp;"'"&amp;"!B:B"))</f>
        <v>43770</v>
      </c>
      <c r="E20" s="2431"/>
      <c r="F20" s="1245" t="s">
        <v>2142</v>
      </c>
      <c r="G20" s="147">
        <f ca="1">ROUND(C20*$C$18+D20*$D$18,0)</f>
        <v>41336</v>
      </c>
      <c r="H20" s="978" t="s">
        <v>2143</v>
      </c>
      <c r="I20" s="137"/>
    </row>
    <row r="21" spans="1:35" ht="15" customHeight="1" thickBot="1">
      <c r="A21" s="998"/>
      <c r="B21" s="2432" t="s">
        <v>2144</v>
      </c>
      <c r="C21" s="787">
        <f ca="1">ROUND(C19*10000/L19,0)</f>
        <v>44230</v>
      </c>
      <c r="D21" s="788">
        <f ca="1">ROUND(D19*10000/L19,0)</f>
        <v>49767</v>
      </c>
      <c r="E21" s="998"/>
      <c r="F21" s="2432" t="s">
        <v>2144</v>
      </c>
      <c r="G21" s="148">
        <f ca="1">ROUND(G19*10000/L19,0)</f>
        <v>46999</v>
      </c>
      <c r="H21" s="2433" t="s">
        <v>2143</v>
      </c>
      <c r="I21" s="137"/>
    </row>
    <row r="22" spans="1:35" ht="15" thickBot="1">
      <c r="A22" s="2276" t="s">
        <v>2145</v>
      </c>
      <c r="B22" s="2434"/>
      <c r="C22" s="2435"/>
      <c r="D22" s="789">
        <f ca="1">IF(C19&lt;D19,D19/C19-1,C19/D19-1)</f>
        <v>0.1251848201084278</v>
      </c>
      <c r="E22" s="137"/>
      <c r="F22" s="137"/>
      <c r="G22" s="137"/>
      <c r="H22" s="137"/>
      <c r="I22" s="137"/>
    </row>
    <row r="23" spans="1:35" ht="13.5" thickBot="1">
      <c r="A23" s="2412"/>
      <c r="B23" s="2412"/>
      <c r="C23" s="2412"/>
      <c r="D23" s="2412"/>
      <c r="E23" s="137"/>
      <c r="F23" s="137"/>
      <c r="G23" s="137"/>
      <c r="H23" s="137"/>
      <c r="I23" s="137"/>
    </row>
    <row r="24" spans="1:35" ht="14.25">
      <c r="A24" s="3212" t="s">
        <v>2146</v>
      </c>
      <c r="B24" s="2429" t="s">
        <v>2138</v>
      </c>
      <c r="C24" s="144">
        <f>IF(B30=0,0,D30)</f>
        <v>0</v>
      </c>
      <c r="D24" s="2436"/>
      <c r="E24" s="137"/>
      <c r="F24" s="137"/>
      <c r="G24" s="137"/>
      <c r="H24" s="137"/>
      <c r="I24" s="137"/>
    </row>
    <row r="25" spans="1:35" ht="14.25">
      <c r="A25" s="3213"/>
      <c r="B25" s="1245" t="s">
        <v>2142</v>
      </c>
      <c r="C25" s="149">
        <f>IF(B30=0,0,C30)</f>
        <v>0</v>
      </c>
      <c r="D25" s="2437"/>
      <c r="E25" s="137"/>
      <c r="F25" s="137"/>
      <c r="G25" s="137"/>
      <c r="H25" s="137"/>
      <c r="I25" s="137"/>
    </row>
    <row r="26" spans="1:35" ht="13.5" customHeight="1">
      <c r="A26" s="2438" t="s">
        <v>2147</v>
      </c>
      <c r="B26" s="150" t="s">
        <v>2148</v>
      </c>
      <c r="C26" s="150" t="s">
        <v>2149</v>
      </c>
      <c r="D26" s="151" t="s">
        <v>2150</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2151</v>
      </c>
      <c r="B30" s="150"/>
      <c r="C30" s="150"/>
      <c r="D30" s="150"/>
      <c r="E30" s="2909" t="s">
        <v>3024</v>
      </c>
      <c r="F30" s="137"/>
      <c r="G30" s="137"/>
      <c r="H30" s="137"/>
      <c r="I30" s="137"/>
    </row>
    <row r="31" spans="1:35" s="2440" customFormat="1" ht="15" thickBot="1">
      <c r="A31" s="2439"/>
      <c r="B31" s="2439"/>
      <c r="C31" s="2439"/>
      <c r="D31" s="2439"/>
      <c r="E31" s="137"/>
      <c r="F31" s="137"/>
      <c r="G31" s="137"/>
      <c r="H31" s="137"/>
      <c r="I31" s="137"/>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2152</v>
      </c>
      <c r="B32" s="2442"/>
      <c r="C32" s="152">
        <f ca="1">IF(D32="总价",G19-C24,G20-C25)</f>
        <v>4312</v>
      </c>
      <c r="D32" s="2443" t="s">
        <v>2153</v>
      </c>
      <c r="E32" s="137"/>
      <c r="F32" s="137"/>
      <c r="G32" s="137"/>
      <c r="H32" s="137"/>
      <c r="I32" s="137"/>
    </row>
    <row r="33" spans="1:15" ht="15">
      <c r="A33" s="955" t="s">
        <v>2154</v>
      </c>
      <c r="B33" s="2444"/>
      <c r="C33" s="2445"/>
      <c r="D33" s="2446"/>
      <c r="E33" s="2447" t="s">
        <v>2155</v>
      </c>
      <c r="F33" s="2947" t="str">
        <f>IF(D32="楼面单价","取值（单价）","取值（总价）")</f>
        <v>取值（总价）</v>
      </c>
      <c r="G33" s="137"/>
      <c r="H33" s="137"/>
      <c r="I33" s="137"/>
    </row>
    <row r="34" spans="1:15" ht="15">
      <c r="A34" s="2449"/>
      <c r="B34" s="2450"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1" t="s">
        <v>2157</v>
      </c>
      <c r="F34" s="1734"/>
      <c r="G34" s="137"/>
      <c r="H34" s="137"/>
      <c r="I34" s="137"/>
    </row>
    <row r="35" spans="1:15" ht="15.75" thickBot="1">
      <c r="A35" s="2452"/>
      <c r="B35" s="2453"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2159</v>
      </c>
      <c r="F35" s="162"/>
      <c r="G35" s="137"/>
      <c r="H35" s="137"/>
      <c r="I35" s="137"/>
    </row>
    <row r="36" spans="1:15" ht="15.75" thickBot="1">
      <c r="A36" s="3192" t="s">
        <v>2160</v>
      </c>
      <c r="B36" s="2455" t="s">
        <v>2161</v>
      </c>
      <c r="C36" s="153"/>
      <c r="D36" s="2456"/>
      <c r="E36" s="2457"/>
      <c r="F36" s="2458"/>
      <c r="G36" s="137"/>
      <c r="H36" s="137"/>
      <c r="I36" s="137"/>
    </row>
    <row r="37" spans="1:15" ht="15.75" thickBot="1">
      <c r="A37" s="3193"/>
      <c r="B37" s="2262" t="s">
        <v>2162</v>
      </c>
      <c r="C37" s="155"/>
      <c r="D37" s="1390"/>
      <c r="E37" s="1390"/>
      <c r="F37" s="2458"/>
      <c r="G37" s="137"/>
      <c r="H37" s="137"/>
      <c r="I37" s="137"/>
    </row>
    <row r="38" spans="1:15" ht="15.75" thickBot="1">
      <c r="A38" s="3194"/>
      <c r="B38" s="2459" t="s">
        <v>2163</v>
      </c>
      <c r="C38" s="725"/>
      <c r="D38" s="2460" t="s">
        <v>2164</v>
      </c>
      <c r="E38" s="1390"/>
      <c r="F38" s="2458"/>
      <c r="G38" s="137"/>
      <c r="H38" s="137"/>
      <c r="I38" s="137"/>
    </row>
    <row r="39" spans="1:15" ht="15">
      <c r="A39" s="2431" t="s">
        <v>2165</v>
      </c>
      <c r="B39" s="2461" t="s">
        <v>2148</v>
      </c>
      <c r="C39" s="2462" t="s">
        <v>2149</v>
      </c>
      <c r="D39" s="2462" t="s">
        <v>2168</v>
      </c>
      <c r="E39" s="2463" t="s">
        <v>2150</v>
      </c>
      <c r="F39" s="2458"/>
      <c r="G39" s="137"/>
      <c r="H39" s="137"/>
      <c r="I39" s="137"/>
    </row>
    <row r="40" spans="1:15" ht="14.25">
      <c r="A40" s="2464" t="s">
        <v>2170</v>
      </c>
      <c r="B40" s="157"/>
      <c r="C40" s="158"/>
      <c r="D40" s="158"/>
      <c r="E40" s="159"/>
      <c r="F40" s="2458"/>
      <c r="G40" s="137"/>
      <c r="H40" s="137"/>
      <c r="I40" s="137"/>
    </row>
    <row r="41" spans="1:15" ht="14.25">
      <c r="A41" s="2464" t="s">
        <v>2171</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2172</v>
      </c>
      <c r="B44" s="2469"/>
      <c r="C44" s="2469"/>
      <c r="D44" s="2470"/>
      <c r="E44" s="2470"/>
      <c r="F44" s="2471"/>
      <c r="G44" s="2471"/>
      <c r="H44" s="2471"/>
      <c r="I44" s="2471"/>
      <c r="J44" s="2472" t="s">
        <v>2173</v>
      </c>
      <c r="K44" s="2473"/>
      <c r="L44" s="2473"/>
      <c r="M44" s="2473"/>
      <c r="N44" s="2473"/>
      <c r="O44" s="2473"/>
    </row>
    <row r="45" spans="1:15" ht="14.25" customHeight="1" thickBot="1">
      <c r="A45" s="3209" t="s">
        <v>2174</v>
      </c>
      <c r="B45" s="3210"/>
      <c r="C45" s="3211"/>
      <c r="D45" s="163">
        <f ca="1">ROUND(H101*F45,0)</f>
        <v>4312</v>
      </c>
      <c r="E45" s="164" t="s">
        <v>2175</v>
      </c>
      <c r="F45" s="165">
        <v>1</v>
      </c>
      <c r="G45" s="166" t="s">
        <v>2176</v>
      </c>
      <c r="H45" s="137"/>
      <c r="I45" s="137"/>
      <c r="J45" s="3128" t="s">
        <v>2177</v>
      </c>
      <c r="K45" s="3128"/>
      <c r="L45" s="3128"/>
      <c r="M45" s="3128"/>
      <c r="N45" s="3128"/>
      <c r="O45" s="3128"/>
    </row>
    <row r="46" spans="1:15" ht="14.25" customHeight="1">
      <c r="A46" s="3206" t="s">
        <v>2178</v>
      </c>
      <c r="B46" s="3207"/>
      <c r="C46" s="3207"/>
      <c r="D46" s="3207"/>
      <c r="E46" s="3207"/>
      <c r="F46" s="3207"/>
      <c r="G46" s="3208"/>
      <c r="H46" s="2474"/>
      <c r="I46" s="167"/>
      <c r="J46" s="2952">
        <v>1</v>
      </c>
      <c r="K46" s="3128" t="s">
        <v>2179</v>
      </c>
      <c r="L46" s="3128"/>
      <c r="M46" s="3129"/>
      <c r="N46" s="3129"/>
      <c r="O46" s="3129"/>
    </row>
    <row r="47" spans="1:15" ht="12" customHeight="1">
      <c r="A47" s="168" t="s">
        <v>2180</v>
      </c>
      <c r="B47" s="169"/>
      <c r="C47" s="170"/>
      <c r="D47" s="171" t="s">
        <v>2181</v>
      </c>
      <c r="E47" s="23" t="s">
        <v>2182</v>
      </c>
      <c r="F47" s="172" t="s">
        <v>2183</v>
      </c>
      <c r="G47" s="173" t="s">
        <v>2184</v>
      </c>
      <c r="H47" s="2474"/>
      <c r="I47" s="167"/>
      <c r="J47" s="2952">
        <v>2</v>
      </c>
      <c r="K47" s="3128" t="s">
        <v>2185</v>
      </c>
      <c r="L47" s="3128"/>
      <c r="M47" s="3130">
        <f>'数据-取费表'!B2</f>
        <v>43969</v>
      </c>
      <c r="N47" s="3130"/>
      <c r="O47" s="3130"/>
    </row>
    <row r="48" spans="1:15" ht="25.5">
      <c r="A48" s="3196" t="s">
        <v>2186</v>
      </c>
      <c r="B48" s="3197"/>
      <c r="C48" s="3197"/>
      <c r="D48" s="139">
        <f>IF(H48="情况1",0,IF(H48="情况2",D52,IF(H48="情况3",D53,IF(H48="情况4",D54))))</f>
        <v>0</v>
      </c>
      <c r="E48" s="2961" t="str">
        <f>IF(H48="情况4","(销售额-原购置价)×税（费）率","销售额×税（费）率")</f>
        <v>销售额×税（费）率</v>
      </c>
      <c r="F48" s="174" t="str">
        <f>IF(H48="情况1","免征",'数据-取费表'!B41)</f>
        <v>免征</v>
      </c>
      <c r="G48" s="2475" t="s">
        <v>2187</v>
      </c>
      <c r="H48" s="2476" t="s">
        <v>2188</v>
      </c>
      <c r="I48" s="2474"/>
      <c r="J48" s="2952">
        <v>3</v>
      </c>
      <c r="K48" s="3128" t="s">
        <v>2189</v>
      </c>
      <c r="L48" s="3128"/>
      <c r="M48" s="3131">
        <f ca="1">H101</f>
        <v>4312</v>
      </c>
      <c r="N48" s="3131"/>
      <c r="O48" s="3131"/>
    </row>
    <row r="49" spans="1:35" ht="25.5" customHeight="1">
      <c r="A49" s="175" t="s">
        <v>2190</v>
      </c>
      <c r="B49" s="3176" t="s">
        <v>2191</v>
      </c>
      <c r="C49" s="3176"/>
      <c r="D49" s="176">
        <v>0</v>
      </c>
      <c r="E49" s="22" t="s">
        <v>2192</v>
      </c>
      <c r="F49" s="27" t="s">
        <v>34</v>
      </c>
      <c r="G49" s="3157"/>
      <c r="H49" s="137"/>
      <c r="I49" s="2477"/>
      <c r="J49" s="2952">
        <v>4</v>
      </c>
      <c r="K49" s="3128" t="str">
        <f>IF(项目基本情况!E8="房地产抵押价值","房地产抵押价值","抵押担保权已注销时的房地产抵押价值")</f>
        <v>房地产抵押价值</v>
      </c>
      <c r="L49" s="3128"/>
      <c r="M49" s="3131">
        <f ca="1">IF(项目基本情况!E8="房地产抵押价值",H107,H109)</f>
        <v>4312</v>
      </c>
      <c r="N49" s="3131"/>
      <c r="O49" s="3131"/>
    </row>
    <row r="50" spans="1:35" ht="25.5" customHeight="1">
      <c r="A50" s="177"/>
      <c r="B50" s="3176" t="s">
        <v>2193</v>
      </c>
      <c r="C50" s="3176"/>
      <c r="D50" s="178"/>
      <c r="E50" s="30"/>
      <c r="F50" s="179"/>
      <c r="G50" s="3158"/>
      <c r="H50" s="137"/>
      <c r="I50" s="2477"/>
      <c r="J50" s="3128" t="s">
        <v>2194</v>
      </c>
      <c r="K50" s="3128"/>
      <c r="L50" s="3128"/>
      <c r="M50" s="3128"/>
      <c r="N50" s="3128"/>
      <c r="O50" s="3128"/>
    </row>
    <row r="51" spans="1:35" ht="12" customHeight="1">
      <c r="A51" s="180"/>
      <c r="B51" s="3176" t="s">
        <v>2195</v>
      </c>
      <c r="C51" s="3176"/>
      <c r="D51" s="181"/>
      <c r="E51" s="29"/>
      <c r="F51" s="179"/>
      <c r="G51" s="3159"/>
      <c r="H51" s="137"/>
      <c r="I51" s="2477"/>
      <c r="J51" s="2949" t="s">
        <v>2196</v>
      </c>
      <c r="K51" s="3128" t="s">
        <v>2197</v>
      </c>
      <c r="L51" s="3128"/>
      <c r="M51" s="2949" t="s">
        <v>2198</v>
      </c>
      <c r="N51" s="2949" t="s">
        <v>2199</v>
      </c>
      <c r="O51" s="2949" t="s">
        <v>2200</v>
      </c>
    </row>
    <row r="52" spans="1:35" ht="24" customHeight="1">
      <c r="A52" s="182" t="s">
        <v>2201</v>
      </c>
      <c r="B52" s="3176" t="s">
        <v>2202</v>
      </c>
      <c r="C52" s="3176"/>
      <c r="D52" s="181">
        <f ca="1">ROUND(D45*'数据-取费表'!B41/(1+'数据-取费表'!C42),0)</f>
        <v>230</v>
      </c>
      <c r="E52" s="11" t="s">
        <v>2203</v>
      </c>
      <c r="F52" s="183">
        <f>'数据-取费表'!B41</f>
        <v>5.6000000000000001E-2</v>
      </c>
      <c r="G52" s="2479"/>
      <c r="H52" s="137"/>
      <c r="I52" s="2477"/>
      <c r="J52" s="2952">
        <v>1</v>
      </c>
      <c r="K52" s="3151" t="s">
        <v>2204</v>
      </c>
      <c r="L52" s="3151"/>
      <c r="M52" s="1749">
        <f>D48</f>
        <v>0</v>
      </c>
      <c r="N52" s="2952" t="str">
        <f>E48</f>
        <v>销售额×税（费）率</v>
      </c>
      <c r="O52" s="1750" t="str">
        <f>F48</f>
        <v>免征</v>
      </c>
    </row>
    <row r="53" spans="1:35" ht="12" customHeight="1">
      <c r="A53" s="182" t="s">
        <v>2205</v>
      </c>
      <c r="B53" s="3177" t="s">
        <v>2206</v>
      </c>
      <c r="C53" s="3178"/>
      <c r="D53" s="181">
        <f ca="1">ROUND(D45*'数据-取费表'!B41/(1+'数据-取费表'!C42),0)</f>
        <v>230</v>
      </c>
      <c r="E53" s="11" t="s">
        <v>2203</v>
      </c>
      <c r="F53" s="183">
        <f>'数据-取费表'!B41</f>
        <v>5.6000000000000001E-2</v>
      </c>
      <c r="G53" s="2479"/>
      <c r="H53" s="137"/>
      <c r="I53" s="2477"/>
      <c r="J53" s="2952">
        <v>2</v>
      </c>
      <c r="K53" s="3151" t="s">
        <v>2207</v>
      </c>
      <c r="L53" s="3151"/>
      <c r="M53" s="1749">
        <f t="shared" ref="M53:O54" ca="1" si="0">D55</f>
        <v>2</v>
      </c>
      <c r="N53" s="2952" t="str">
        <f t="shared" si="0"/>
        <v>销售额×税（费）率</v>
      </c>
      <c r="O53" s="1750">
        <f t="shared" si="0"/>
        <v>5.0000000000000001E-4</v>
      </c>
    </row>
    <row r="54" spans="1:35" ht="12" customHeight="1">
      <c r="A54" s="182" t="s">
        <v>2208</v>
      </c>
      <c r="B54" s="3177" t="s">
        <v>2209</v>
      </c>
      <c r="C54" s="3178"/>
      <c r="D54" s="181">
        <f ca="1">C68</f>
        <v>230</v>
      </c>
      <c r="E54" s="29" t="s">
        <v>2210</v>
      </c>
      <c r="F54" s="183">
        <f>'数据-取费表'!B41</f>
        <v>5.6000000000000001E-2</v>
      </c>
      <c r="G54" s="2479"/>
      <c r="H54" s="2480"/>
      <c r="I54" s="2477"/>
      <c r="J54" s="2952">
        <v>3</v>
      </c>
      <c r="K54" s="3151" t="s">
        <v>2211</v>
      </c>
      <c r="L54" s="3151"/>
      <c r="M54" s="1749">
        <f t="shared" ca="1" si="0"/>
        <v>2440</v>
      </c>
      <c r="N54" s="2952" t="str">
        <f t="shared" si="0"/>
        <v>增值额×税（费）率</v>
      </c>
      <c r="O54" s="1751" t="str">
        <f t="shared" si="0"/>
        <v>——</v>
      </c>
    </row>
    <row r="55" spans="1:35" ht="24" customHeight="1">
      <c r="A55" s="3215" t="s">
        <v>2212</v>
      </c>
      <c r="B55" s="3197"/>
      <c r="C55" s="3197"/>
      <c r="D55" s="184">
        <f ca="1">IF(H55="个人住宅",0,ROUND(D45*I55,0))</f>
        <v>2</v>
      </c>
      <c r="E55" s="11" t="s">
        <v>2213</v>
      </c>
      <c r="F55" s="183">
        <f>IF(H55="正常",I55,"免征")</f>
        <v>5.0000000000000001E-4</v>
      </c>
      <c r="G55" s="2479"/>
      <c r="H55" s="2476" t="s">
        <v>2214</v>
      </c>
      <c r="I55" s="185">
        <f>'数据-取费表'!B49</f>
        <v>5.0000000000000001E-4</v>
      </c>
      <c r="J55" s="2952" t="str">
        <f>IF(H59="非个人房产","",4)</f>
        <v/>
      </c>
      <c r="K55" s="3151" t="str">
        <f>IF(H59="非个人房产","——","个人所得税")</f>
        <v>——</v>
      </c>
      <c r="L55" s="3151"/>
      <c r="M55" s="1752" t="str">
        <f>D59</f>
        <v>——</v>
      </c>
      <c r="N55" s="2953" t="str">
        <f>E59</f>
        <v>——</v>
      </c>
      <c r="O55" s="1753" t="str">
        <f>F59</f>
        <v>——</v>
      </c>
    </row>
    <row r="56" spans="1:35" ht="24.75">
      <c r="A56" s="3215" t="s">
        <v>2215</v>
      </c>
      <c r="B56" s="3197"/>
      <c r="C56" s="3197"/>
      <c r="D56" s="184">
        <f ca="1">IF(H56="个人住宅",D57,D58)</f>
        <v>2440</v>
      </c>
      <c r="E56" s="11" t="s">
        <v>2216</v>
      </c>
      <c r="F56" s="183" t="str">
        <f>IF(H56="正常",F58,"免征")</f>
        <v>——</v>
      </c>
      <c r="G56" s="2481" t="s">
        <v>2217</v>
      </c>
      <c r="H56" s="2482" t="s">
        <v>2214</v>
      </c>
      <c r="I56" s="2483"/>
      <c r="J56" s="2952" t="str">
        <f>IF(项目基本情况!K6="上海银行",IF(J55="",4,J55+1),"")</f>
        <v/>
      </c>
      <c r="K56" s="3134" t="str">
        <f>IF(项目基本情况!K6="上海银行","其他处置费用","")</f>
        <v/>
      </c>
      <c r="L56" s="3135"/>
      <c r="M56" s="1749" t="str">
        <f>IF(项目基本情况!K6="上海银行",M69,"")</f>
        <v/>
      </c>
      <c r="N56" s="3137" t="str">
        <f>IF(项目基本情况!K6="上海银行","包含处置中涉及的律师、诉讼、拍卖、评估等费用","")</f>
        <v/>
      </c>
      <c r="O56" s="3138"/>
    </row>
    <row r="57" spans="1:35" ht="12.75">
      <c r="A57" s="182" t="s">
        <v>2190</v>
      </c>
      <c r="B57" s="3182" t="s">
        <v>2218</v>
      </c>
      <c r="C57" s="3183"/>
      <c r="D57" s="186">
        <v>0</v>
      </c>
      <c r="E57" s="22" t="s">
        <v>2192</v>
      </c>
      <c r="F57" s="154"/>
      <c r="G57" s="2479"/>
      <c r="H57" s="2483"/>
      <c r="I57" s="2483"/>
      <c r="J57" s="3151">
        <f>IF(AND(J55="",J56=""),4,IF(项目基本情况!K6="上海银行",'结果表 (办公)'!J56+1,'结果表 (办公)'!J55+1))</f>
        <v>4</v>
      </c>
      <c r="K57" s="3151" t="s">
        <v>2219</v>
      </c>
      <c r="L57" s="2484" t="s">
        <v>2220</v>
      </c>
      <c r="M57" s="1754"/>
      <c r="N57" s="1755">
        <f ca="1">SUMIF(M52:M56,"&lt;9e307")</f>
        <v>2442</v>
      </c>
      <c r="O57" s="2485"/>
      <c r="P57" s="1748">
        <f ca="1">N57/M49</f>
        <v>0.56632653061224492</v>
      </c>
    </row>
    <row r="58" spans="1:35" ht="24.75">
      <c r="A58" s="182" t="s">
        <v>2201</v>
      </c>
      <c r="B58" s="3182" t="s">
        <v>2221</v>
      </c>
      <c r="C58" s="3195"/>
      <c r="D58" s="184">
        <f ca="1">IF(H58="转让取得",C81,C97)</f>
        <v>2440</v>
      </c>
      <c r="E58" s="11" t="s">
        <v>2216</v>
      </c>
      <c r="F58" s="23" t="s">
        <v>34</v>
      </c>
      <c r="G58" s="2479"/>
      <c r="H58" s="2482" t="s">
        <v>2222</v>
      </c>
      <c r="I58" s="2483"/>
      <c r="J58" s="3151"/>
      <c r="K58" s="3151"/>
      <c r="L58" s="2484" t="s">
        <v>2223</v>
      </c>
      <c r="M58" s="1756"/>
      <c r="N58" s="2486" t="str">
        <f ca="1">NUMBERSTRING(INT(N57*10000),2)&amp;"元整"</f>
        <v>贰仟肆佰肆拾贰万元整</v>
      </c>
      <c r="O58" s="2487"/>
    </row>
    <row r="59" spans="1:35" ht="24.75" thickBot="1">
      <c r="A59" s="3155" t="s">
        <v>2224</v>
      </c>
      <c r="B59" s="3156"/>
      <c r="C59" s="3156"/>
      <c r="D59" s="187" t="str">
        <f>IF(H59="非个人房产","——",IF(H59="个人住宅",0,ROUND(D45*I59,0)))</f>
        <v>——</v>
      </c>
      <c r="E59" s="188" t="str">
        <f>IF(H59="非个人房产","——","销售额×税（费）率")</f>
        <v>——</v>
      </c>
      <c r="F59" s="189" t="str">
        <f>IF(H59="非个人房产","——",IF(H59="个人住宅","免征",I59))</f>
        <v>——</v>
      </c>
      <c r="G59" s="2488" t="s">
        <v>2217</v>
      </c>
      <c r="H59" s="2482" t="s">
        <v>2225</v>
      </c>
      <c r="I59" s="190">
        <v>0.01</v>
      </c>
      <c r="J59" s="3153">
        <f>J57+1</f>
        <v>5</v>
      </c>
      <c r="K59" s="3151" t="s">
        <v>2226</v>
      </c>
      <c r="L59" s="2952" t="s">
        <v>2220</v>
      </c>
      <c r="M59" s="1757"/>
      <c r="N59" s="1758">
        <f ca="1">M49-N57</f>
        <v>1870</v>
      </c>
      <c r="O59" s="2489"/>
    </row>
    <row r="60" spans="1:35" ht="12" customHeight="1">
      <c r="A60" s="2490"/>
      <c r="B60" s="2412"/>
      <c r="C60" s="2412"/>
      <c r="D60" s="2412"/>
      <c r="E60" s="2161"/>
      <c r="F60" s="2483"/>
      <c r="G60" s="2483"/>
      <c r="H60" s="2491"/>
      <c r="I60" s="137"/>
      <c r="J60" s="3154"/>
      <c r="K60" s="3151"/>
      <c r="L60" s="2484" t="s">
        <v>2223</v>
      </c>
      <c r="M60" s="1756"/>
      <c r="N60" s="2486" t="str">
        <f ca="1">NUMBERSTRING(INT(N59*10000),2)&amp;"元整"</f>
        <v>壹仟捌佰柒拾万元整</v>
      </c>
      <c r="O60" s="2487"/>
    </row>
    <row r="61" spans="1:35" ht="13.5" thickBot="1">
      <c r="A61" s="3214" t="s">
        <v>2227</v>
      </c>
      <c r="B61" s="3214"/>
      <c r="C61" s="3214"/>
      <c r="D61" s="3214"/>
      <c r="E61" s="3214"/>
      <c r="F61" s="2483"/>
      <c r="G61" s="2483"/>
      <c r="H61" s="2491"/>
      <c r="I61" s="137"/>
      <c r="J61" s="2952">
        <f>J59+1</f>
        <v>6</v>
      </c>
      <c r="K61" s="3151" t="s">
        <v>2228</v>
      </c>
      <c r="L61" s="3151"/>
      <c r="M61" s="1759"/>
      <c r="N61" s="1760">
        <f ca="1">ROUND(N59*10000/'数据-汇总表'!E3,0)</f>
        <v>15692</v>
      </c>
      <c r="O61" s="2492"/>
    </row>
    <row r="62" spans="1:35" ht="12.75">
      <c r="A62" s="3171" t="s">
        <v>2229</v>
      </c>
      <c r="B62" s="3172"/>
      <c r="C62" s="2957"/>
      <c r="D62" s="2957" t="s">
        <v>2230</v>
      </c>
      <c r="E62" s="191" t="s">
        <v>2231</v>
      </c>
      <c r="F62" s="2483"/>
      <c r="G62" s="2483"/>
      <c r="H62" s="2491"/>
      <c r="I62" s="137"/>
    </row>
    <row r="63" spans="1:35" ht="12.75">
      <c r="A63" s="202" t="s">
        <v>775</v>
      </c>
      <c r="B63" s="192" t="s">
        <v>2232</v>
      </c>
      <c r="C63" s="193">
        <f ca="1">ROUND((C64+C65)/(1+'数据-取费表'!C42),0)</f>
        <v>4107</v>
      </c>
      <c r="D63" s="194"/>
      <c r="E63" s="195"/>
      <c r="F63" s="2483"/>
      <c r="G63" s="2483"/>
      <c r="H63" s="2491"/>
      <c r="I63" s="137"/>
      <c r="J63" s="3136" t="s">
        <v>2233</v>
      </c>
      <c r="K63" s="2950" t="s">
        <v>2234</v>
      </c>
      <c r="L63" s="1747">
        <f ca="1">IF(M49&gt;10000,M49*0.5%,IF(AND(M49&gt;1000,M49&lt;=10000),M49*1%,IF(AND(M49&gt;100,M49&lt;=1000),M49*3%,IF(AND(M49&gt;10,M49&lt;=100),M49*5%,M49*8%))))</f>
        <v>43.12</v>
      </c>
      <c r="M63" s="23">
        <f ca="1">ROUND(L63,1)</f>
        <v>43.1</v>
      </c>
      <c r="Z63" s="2417"/>
      <c r="AI63" s="2418"/>
    </row>
    <row r="64" spans="1:35" ht="14.25" customHeight="1">
      <c r="A64" s="196" t="s">
        <v>770</v>
      </c>
      <c r="B64" s="197" t="s">
        <v>2235</v>
      </c>
      <c r="C64" s="198">
        <f ca="1">D45</f>
        <v>4312</v>
      </c>
      <c r="D64" s="199" t="s">
        <v>32</v>
      </c>
      <c r="E64" s="200"/>
      <c r="F64" s="2483"/>
      <c r="G64" s="2483"/>
      <c r="H64" s="2491"/>
      <c r="I64" s="137"/>
      <c r="J64" s="3136"/>
      <c r="K64" s="2950" t="s">
        <v>2236</v>
      </c>
      <c r="L64" s="1747">
        <f ca="1">IF(M49&gt;2000,M49*0.5%,IF(AND(M49&gt;1000,M49&lt;=2000),M49*0.6%,IF(AND(M49&gt;500,M49&lt;=1000),M49*0.7%,IF(AND(M49&gt;200,M49&lt;=500),M49*0.8%,IF(AND(M49&gt;100,M49&lt;=200),M49*0.9%,IF(AND(M49&gt;50,M49&lt;=100),M49*1%,IF(AND(M49&gt;20,M49&lt;=50),M49*1.5%,IF(AND(M49&gt;10,M49&lt;=20),M49*2%,IF(AND(M49&gt;1,M49&lt;=10),M49*2.5%)))))))))</f>
        <v>21.56</v>
      </c>
      <c r="M64" s="23">
        <f t="shared" ref="M64:M65" ca="1" si="1">ROUND(L64,1)</f>
        <v>21.6</v>
      </c>
      <c r="N64" s="137" t="s">
        <v>2237</v>
      </c>
      <c r="Z64" s="2417"/>
      <c r="AI64" s="2418"/>
    </row>
    <row r="65" spans="1:35" ht="14.25" customHeight="1">
      <c r="A65" s="196" t="s">
        <v>771</v>
      </c>
      <c r="B65" s="197" t="s">
        <v>2238</v>
      </c>
      <c r="C65" s="201"/>
      <c r="D65" s="199"/>
      <c r="E65" s="200"/>
      <c r="F65" s="2483"/>
      <c r="G65" s="2483"/>
      <c r="H65" s="2491"/>
      <c r="I65" s="137"/>
      <c r="J65" s="3136"/>
      <c r="K65" s="2950" t="s">
        <v>2239</v>
      </c>
      <c r="L65" s="1747">
        <f ca="1">IF(M49&gt;1000,M49*0.1%,IF(AND(M49&gt;500,M49&lt;=1000),M49*0.5%,IF(AND(M49&gt;50,M49&lt;=500),M49*1%,IF(AND(M49&gt;1,M49&lt;=50),M49*1.5%))))</f>
        <v>4.3120000000000003</v>
      </c>
      <c r="M65" s="23">
        <f t="shared" ca="1" si="1"/>
        <v>4.3</v>
      </c>
      <c r="N65" s="137" t="s">
        <v>2237</v>
      </c>
      <c r="Z65" s="2417"/>
      <c r="AI65" s="2418"/>
    </row>
    <row r="66" spans="1:35" ht="14.25" customHeight="1">
      <c r="A66" s="202" t="s">
        <v>772</v>
      </c>
      <c r="B66" s="203" t="s">
        <v>2240</v>
      </c>
      <c r="C66" s="204"/>
      <c r="D66" s="205" t="s">
        <v>32</v>
      </c>
      <c r="E66" s="1771" t="s">
        <v>1366</v>
      </c>
      <c r="F66" s="2483"/>
      <c r="G66" s="2483"/>
      <c r="H66" s="2491"/>
      <c r="I66" s="137"/>
      <c r="J66" s="3136"/>
      <c r="K66" s="2950" t="s">
        <v>2241</v>
      </c>
      <c r="L66" s="1747">
        <f ca="1">M49*0.5%</f>
        <v>21.56</v>
      </c>
      <c r="M66" s="23">
        <f ca="1">IF(L66&gt;0.5,0.5,ROUND(L66,0))</f>
        <v>0.5</v>
      </c>
      <c r="N66" s="137" t="s">
        <v>2242</v>
      </c>
      <c r="Z66" s="2417"/>
      <c r="AI66" s="2418"/>
    </row>
    <row r="67" spans="1:35" ht="14.25" customHeight="1">
      <c r="A67" s="202" t="s">
        <v>773</v>
      </c>
      <c r="B67" s="203" t="s">
        <v>2243</v>
      </c>
      <c r="C67" s="206">
        <f ca="1">C63-C66</f>
        <v>4107</v>
      </c>
      <c r="D67" s="199" t="s">
        <v>32</v>
      </c>
      <c r="E67" s="200"/>
      <c r="F67" s="2483"/>
      <c r="G67" s="2483"/>
      <c r="H67" s="2491"/>
      <c r="I67" s="137"/>
      <c r="J67" s="3136"/>
      <c r="K67" s="2950" t="s">
        <v>2244</v>
      </c>
      <c r="L67" s="1747">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7"/>
      <c r="AI67" s="2418"/>
    </row>
    <row r="68" spans="1:35" ht="14.25" customHeight="1" thickBot="1">
      <c r="A68" s="207" t="s">
        <v>774</v>
      </c>
      <c r="B68" s="208" t="s">
        <v>2245</v>
      </c>
      <c r="C68" s="209">
        <f ca="1">IF(C67&lt;=0,0,ROUND(C67*D68,0))</f>
        <v>230</v>
      </c>
      <c r="D68" s="210">
        <f>'数据-取费表'!B41</f>
        <v>5.6000000000000001E-2</v>
      </c>
      <c r="E68" s="211"/>
      <c r="F68" s="2483"/>
      <c r="G68" s="2483"/>
      <c r="H68" s="2491"/>
      <c r="I68" s="137"/>
      <c r="J68" s="3136"/>
      <c r="K68" s="2950" t="s">
        <v>2246</v>
      </c>
      <c r="L68" s="1747">
        <f ca="1">IF(M49&gt;10000,M49*0.5%,IF(AND(M49&gt;5000,M49&lt;=10000),M49*1%,IF(AND(M49&gt;1000,M49&lt;=5000),M49*2%,IF(AND(M49&gt;200,M49&lt;=1000),M49*3%,M49*5%))))</f>
        <v>86.24</v>
      </c>
      <c r="M68" s="23">
        <f ca="1">ROUND(L68,1)</f>
        <v>86.2</v>
      </c>
      <c r="Z68" s="2417"/>
      <c r="AI68" s="2418"/>
    </row>
    <row r="69" spans="1:35" s="2440" customFormat="1" ht="16.5" customHeight="1">
      <c r="A69" s="2494"/>
      <c r="B69" s="2495"/>
      <c r="C69" s="2496"/>
      <c r="D69" s="2497"/>
      <c r="E69" s="2498"/>
      <c r="F69" s="2161"/>
      <c r="G69" s="2161"/>
      <c r="H69" s="2160"/>
      <c r="I69" s="2412"/>
      <c r="J69" s="3136"/>
      <c r="K69" s="2950" t="s">
        <v>2247</v>
      </c>
      <c r="L69" s="2499"/>
      <c r="M69" s="23">
        <f ca="1">ROUND(SUM(M63:M68),0)</f>
        <v>158</v>
      </c>
      <c r="N69" s="1748">
        <f ca="1">M69/M49</f>
        <v>3.6641929499072357E-2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thickBot="1">
      <c r="A70" s="3180" t="s">
        <v>2248</v>
      </c>
      <c r="B70" s="3181"/>
      <c r="C70" s="3181"/>
      <c r="D70" s="3181"/>
      <c r="E70" s="3181"/>
      <c r="F70" s="3181"/>
      <c r="G70" s="3181"/>
      <c r="H70" s="318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71" t="s">
        <v>2229</v>
      </c>
      <c r="B71" s="3172"/>
      <c r="C71" s="2957"/>
      <c r="D71" s="2957" t="s">
        <v>2230</v>
      </c>
      <c r="E71" s="212" t="s">
        <v>2231</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2249</v>
      </c>
      <c r="C72" s="206">
        <f ca="1">ROUND(D45/(1+'数据-取费表'!C42),0)</f>
        <v>4107</v>
      </c>
      <c r="D72" s="199" t="s">
        <v>32</v>
      </c>
      <c r="E72" s="2959"/>
      <c r="F72" s="2958"/>
      <c r="G72" s="2958"/>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2250</v>
      </c>
      <c r="C73" s="206">
        <f ca="1">C74+C78</f>
        <v>25</v>
      </c>
      <c r="D73" s="199" t="s">
        <v>32</v>
      </c>
      <c r="E73" s="2959"/>
      <c r="F73" s="2958"/>
      <c r="G73" s="2958"/>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2251</v>
      </c>
      <c r="C74" s="199">
        <f>ROUND(IF(G77="2016年5月1日后购买",C75/(1+'数据-取费表'!C42)+C76+C77,C75+C76+C77),0)</f>
        <v>0</v>
      </c>
      <c r="D74" s="199" t="s">
        <v>32</v>
      </c>
      <c r="E74" s="2959"/>
      <c r="F74" s="2958"/>
      <c r="G74" s="2958"/>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2252</v>
      </c>
      <c r="C75" s="217"/>
      <c r="D75" s="199" t="s">
        <v>32</v>
      </c>
      <c r="E75" s="218" t="s">
        <v>2253</v>
      </c>
      <c r="F75" s="2505" t="s">
        <v>2254</v>
      </c>
      <c r="G75" s="218" t="s">
        <v>2255</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2256</v>
      </c>
      <c r="C76" s="199">
        <f>IF(F75="购房发票",ROUND(C75*H75*D76,0),0)</f>
        <v>0</v>
      </c>
      <c r="D76" s="221">
        <v>0.05</v>
      </c>
      <c r="E76" s="3177" t="s">
        <v>2257</v>
      </c>
      <c r="F76" s="3176"/>
      <c r="G76" s="3176"/>
      <c r="H76" s="317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2258</v>
      </c>
      <c r="C77" s="199">
        <f>ROUND(IF(G77="个人住宅",0,IF(G77="2016年5月1日前购买",C75*D77,C75*D77/(1+'数据-取费表'!C42))),0)</f>
        <v>0</v>
      </c>
      <c r="D77" s="222">
        <f>'数据-取费表'!B48+'数据-取费表'!B49</f>
        <v>3.0499999999999999E-2</v>
      </c>
      <c r="E77" s="2951" t="s">
        <v>2259</v>
      </c>
      <c r="F77" s="223"/>
      <c r="G77" s="2507" t="s">
        <v>2260</v>
      </c>
      <c r="H77" s="296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2261</v>
      </c>
      <c r="C78" s="224">
        <f ca="1">ROUND(D45*D78/(1+'数据-取费表'!C42),0)</f>
        <v>25</v>
      </c>
      <c r="D78" s="225">
        <f>'数据-取费表'!B43</f>
        <v>6.000000000000001E-3</v>
      </c>
      <c r="E78" s="3168" t="s">
        <v>2262</v>
      </c>
      <c r="F78" s="3169"/>
      <c r="G78" s="3169"/>
      <c r="H78" s="317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773</v>
      </c>
      <c r="B79" s="203" t="s">
        <v>2263</v>
      </c>
      <c r="C79" s="206">
        <f ca="1">C72-C73</f>
        <v>4082</v>
      </c>
      <c r="D79" s="199" t="s">
        <v>32</v>
      </c>
      <c r="E79" s="2959"/>
      <c r="F79" s="2958"/>
      <c r="G79" s="2958"/>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2264</v>
      </c>
      <c r="C80" s="226">
        <f ca="1">IF(C79&lt;=0,0,C79/C73)</f>
        <v>163.28</v>
      </c>
      <c r="D80" s="199"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2265</v>
      </c>
      <c r="C81" s="227">
        <f ca="1">ROUND(IF(C79&lt;=0,0,IF(C80&gt;=200%,C79*60%-C73*35%,IF(C80&gt;=100%,C79*50%-C73*15%,IF(C80&gt;=50%,C79*40%-C73*5%,IF(C80&lt;50%,C79*30%,0))))),0)</f>
        <v>2440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80" t="s">
        <v>2266</v>
      </c>
      <c r="B83" s="3181"/>
      <c r="C83" s="3181"/>
      <c r="D83" s="3181"/>
      <c r="E83" s="3181"/>
      <c r="F83" s="3181"/>
      <c r="G83" s="3181"/>
      <c r="H83" s="318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71" t="s">
        <v>2229</v>
      </c>
      <c r="B84" s="3172"/>
      <c r="C84" s="2957"/>
      <c r="D84" s="2957" t="s">
        <v>2230</v>
      </c>
      <c r="E84" s="212" t="s">
        <v>2231</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2249</v>
      </c>
      <c r="C85" s="206">
        <f ca="1">ROUND(D45/(1+'数据-取费表'!C42),0)</f>
        <v>4107</v>
      </c>
      <c r="D85" s="199" t="s">
        <v>32</v>
      </c>
      <c r="E85" s="2959"/>
      <c r="F85" s="2958"/>
      <c r="G85" s="2958"/>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2250</v>
      </c>
      <c r="C86" s="206">
        <f ca="1">IF(H88="仅含出让金",C87+C90+C91+C92+C93+C94,C87+C91+C92+C93+C94)</f>
        <v>25</v>
      </c>
      <c r="D86" s="234"/>
      <c r="E86" s="2959"/>
      <c r="F86" s="2958"/>
      <c r="G86" s="2958"/>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2267</v>
      </c>
      <c r="C87" s="224">
        <f>C88+C89</f>
        <v>0</v>
      </c>
      <c r="D87" s="225"/>
      <c r="E87" s="2954"/>
      <c r="F87" s="2955"/>
      <c r="G87" s="2955"/>
      <c r="H87" s="295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2268</v>
      </c>
      <c r="C88" s="235"/>
      <c r="D88" s="225"/>
      <c r="E88" s="236" t="s">
        <v>2269</v>
      </c>
      <c r="F88" s="2955"/>
      <c r="G88" s="237"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2258</v>
      </c>
      <c r="C89" s="224">
        <f>ROUND(C88*D89,0)</f>
        <v>0</v>
      </c>
      <c r="D89" s="225">
        <f>'数据-取费表'!B48+'数据-取费表'!B49</f>
        <v>3.0499999999999999E-2</v>
      </c>
      <c r="E89" s="236" t="s">
        <v>2271</v>
      </c>
      <c r="F89" s="2955"/>
      <c r="G89" s="2955"/>
      <c r="H89" s="295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2272</v>
      </c>
      <c r="C90" s="235"/>
      <c r="D90" s="225"/>
      <c r="E90" s="236" t="str">
        <f>IF(H88="-","土地取得成本中已包含该笔费用"," ")</f>
        <v xml:space="preserve"> </v>
      </c>
      <c r="F90" s="2955"/>
      <c r="G90" s="2955"/>
      <c r="H90" s="295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2273</v>
      </c>
      <c r="B91" s="197" t="s">
        <v>2274</v>
      </c>
      <c r="C91" s="224">
        <f>IF(H91="——",成本法!C33,I91)</f>
        <v>0</v>
      </c>
      <c r="D91" s="225"/>
      <c r="E91" s="3168" t="s">
        <v>2275</v>
      </c>
      <c r="F91" s="3169"/>
      <c r="G91" s="3169"/>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2277</v>
      </c>
      <c r="B92" s="197" t="s">
        <v>2278</v>
      </c>
      <c r="C92" s="224">
        <f>ROUND((C87+C90+C91)*D92,0)</f>
        <v>0</v>
      </c>
      <c r="D92" s="225">
        <v>0.1</v>
      </c>
      <c r="E92" s="3168" t="s">
        <v>2279</v>
      </c>
      <c r="F92" s="3169"/>
      <c r="G92" s="3169"/>
      <c r="H92" s="317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2280</v>
      </c>
      <c r="B93" s="197" t="s">
        <v>2261</v>
      </c>
      <c r="C93" s="224">
        <f ca="1">ROUND(D45*D93/(1+'数据-取费表'!C42),0)</f>
        <v>25</v>
      </c>
      <c r="D93" s="225">
        <f>'数据-取费表'!B43</f>
        <v>6.000000000000001E-3</v>
      </c>
      <c r="E93" s="3168" t="s">
        <v>2262</v>
      </c>
      <c r="F93" s="3169"/>
      <c r="G93" s="3169"/>
      <c r="H93" s="317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2281</v>
      </c>
      <c r="B94" s="197" t="s">
        <v>2282</v>
      </c>
      <c r="C94" s="235">
        <f>ROUND((C87+C90+C91)*D94,0)</f>
        <v>0</v>
      </c>
      <c r="D94" s="225">
        <v>0.2</v>
      </c>
      <c r="E94" s="3216" t="s">
        <v>2283</v>
      </c>
      <c r="F94" s="3217"/>
      <c r="G94" s="3217"/>
      <c r="H94" s="321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773</v>
      </c>
      <c r="B95" s="203" t="s">
        <v>2263</v>
      </c>
      <c r="C95" s="206">
        <f ca="1">ROUND(C85-C86,0)</f>
        <v>4082</v>
      </c>
      <c r="D95" s="199" t="s">
        <v>32</v>
      </c>
      <c r="E95" s="2959"/>
      <c r="F95" s="2958"/>
      <c r="G95" s="2958"/>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2264</v>
      </c>
      <c r="C96" s="226">
        <f ca="1">IF(C95&lt;=0,0,C95/C86)</f>
        <v>163.28</v>
      </c>
      <c r="D96" s="199"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2265</v>
      </c>
      <c r="C97" s="227">
        <f ca="1">ROUND(IF(C95&lt;=0,0,IF(C96&gt;=200%,C95*60%-C86*35%,IF(C96&gt;=100%,C95*50%-C86*15%,IF(C96&gt;=50%,C95*40%-C86*5%,IF(C96&lt;50%,C95*30%,0))))),0)</f>
        <v>2440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2284</v>
      </c>
      <c r="B99" s="2412"/>
      <c r="C99" s="2412"/>
      <c r="D99" s="2412"/>
      <c r="E99" s="2161"/>
      <c r="F99" s="2161"/>
      <c r="G99" s="2161"/>
      <c r="H99" s="2160"/>
      <c r="I99" s="137"/>
    </row>
    <row r="100" spans="1:35" ht="18.75" customHeight="1">
      <c r="A100" s="3120" t="s">
        <v>2285</v>
      </c>
      <c r="B100" s="3121"/>
      <c r="C100" s="3121"/>
      <c r="D100" s="3152"/>
      <c r="E100" s="3121" t="s">
        <v>2286</v>
      </c>
      <c r="F100" s="3121"/>
      <c r="G100" s="3121"/>
      <c r="H100" s="3152"/>
      <c r="I100" s="137"/>
    </row>
    <row r="101" spans="1:35" ht="18.75" customHeight="1">
      <c r="A101" s="3160" t="s">
        <v>2287</v>
      </c>
      <c r="B101" s="3161"/>
      <c r="C101" s="734" t="str">
        <f>C4</f>
        <v>收益法</v>
      </c>
      <c r="D101" s="735" t="str">
        <f>D4</f>
        <v>比较法-办公</v>
      </c>
      <c r="E101" s="3132" t="s">
        <v>2288</v>
      </c>
      <c r="F101" s="3133"/>
      <c r="G101" s="2514" t="s">
        <v>2289</v>
      </c>
      <c r="H101" s="1043">
        <f ca="1">H118</f>
        <v>4312</v>
      </c>
      <c r="I101" s="137"/>
    </row>
    <row r="102" spans="1:35" ht="18.75" customHeight="1">
      <c r="A102" s="3162" t="s">
        <v>2290</v>
      </c>
      <c r="B102" s="2514" t="s">
        <v>2289</v>
      </c>
      <c r="C102" s="734">
        <f ca="1">C19</f>
        <v>4058</v>
      </c>
      <c r="D102" s="735">
        <f ca="1">D19</f>
        <v>4566</v>
      </c>
      <c r="E102" s="3132"/>
      <c r="F102" s="3133"/>
      <c r="G102" s="2514" t="s">
        <v>2291</v>
      </c>
      <c r="H102" s="370">
        <f ca="1">I118</f>
        <v>41337</v>
      </c>
      <c r="I102" s="137"/>
    </row>
    <row r="103" spans="1:35" ht="42.75" customHeight="1">
      <c r="A103" s="3162"/>
      <c r="B103" s="2514" t="s">
        <v>2291</v>
      </c>
      <c r="C103" s="736">
        <f ca="1">C20</f>
        <v>38902</v>
      </c>
      <c r="D103" s="737">
        <f ca="1">D20</f>
        <v>43770</v>
      </c>
      <c r="E103" s="3126" t="s">
        <v>2292</v>
      </c>
      <c r="F103" s="3127"/>
      <c r="G103" s="2515" t="s">
        <v>2293</v>
      </c>
      <c r="H103" s="1043">
        <f>IF(D36="正常操作",H104+H105+H106,H105+H106)</f>
        <v>0</v>
      </c>
      <c r="I103" s="137"/>
    </row>
    <row r="104" spans="1:35" ht="18.75" customHeight="1">
      <c r="A104" s="3162" t="s">
        <v>2294</v>
      </c>
      <c r="B104" s="2516" t="s">
        <v>2289</v>
      </c>
      <c r="C104" s="738">
        <f ca="1">H118</f>
        <v>4312</v>
      </c>
      <c r="D104" s="739"/>
      <c r="E104" s="2262" t="s">
        <v>2295</v>
      </c>
      <c r="F104" s="2253"/>
      <c r="G104" s="2515" t="s">
        <v>2293</v>
      </c>
      <c r="H104" s="1044">
        <f>IF(D36="同一抵押权人同一抵押物续贷",C36&amp;"（未扣减，详见特别提示）",C36)</f>
        <v>0</v>
      </c>
      <c r="I104" s="137"/>
    </row>
    <row r="105" spans="1:35" ht="18.75" customHeight="1" thickBot="1">
      <c r="A105" s="3174"/>
      <c r="B105" s="2517" t="s">
        <v>2291</v>
      </c>
      <c r="C105" s="740">
        <f ca="1">I118</f>
        <v>41337</v>
      </c>
      <c r="D105" s="741"/>
      <c r="E105" s="2262" t="s">
        <v>2296</v>
      </c>
      <c r="F105" s="2253"/>
      <c r="G105" s="2515" t="s">
        <v>2293</v>
      </c>
      <c r="H105" s="1044">
        <f>C37</f>
        <v>0</v>
      </c>
      <c r="I105" s="137"/>
    </row>
    <row r="106" spans="1:35" ht="18.75" customHeight="1">
      <c r="A106" s="2412" t="s">
        <v>2297</v>
      </c>
      <c r="B106" s="2412"/>
      <c r="C106" s="2412"/>
      <c r="D106" s="2412"/>
      <c r="E106" s="2518" t="s">
        <v>2298</v>
      </c>
      <c r="F106" s="2253"/>
      <c r="G106" s="2515" t="s">
        <v>2293</v>
      </c>
      <c r="H106" s="1044">
        <f>C38</f>
        <v>0</v>
      </c>
      <c r="I106" s="137"/>
    </row>
    <row r="107" spans="1:35" ht="18.75" customHeight="1">
      <c r="A107" s="137"/>
      <c r="B107" s="137"/>
      <c r="C107" s="137"/>
      <c r="D107" s="137"/>
      <c r="E107" s="3163" t="str">
        <f>IF(项目基本情况!E8="已注销","——","3.房地产抵押价值")</f>
        <v>3.房地产抵押价值</v>
      </c>
      <c r="F107" s="3133"/>
      <c r="G107" s="2514" t="s">
        <v>2289</v>
      </c>
      <c r="H107" s="1043">
        <f ca="1">IF(E107="——","——",H101-H103)</f>
        <v>4312</v>
      </c>
      <c r="I107" s="137"/>
    </row>
    <row r="108" spans="1:35" ht="18.75" customHeight="1">
      <c r="A108" s="137"/>
      <c r="B108" s="137"/>
      <c r="C108" s="137"/>
      <c r="D108" s="137"/>
      <c r="E108" s="3163"/>
      <c r="F108" s="3133"/>
      <c r="G108" s="2514" t="s">
        <v>2291</v>
      </c>
      <c r="H108" s="370">
        <f ca="1">ROUND(H107*10000/'数据-汇总表'!E3,0)</f>
        <v>36184</v>
      </c>
      <c r="I108" s="137"/>
    </row>
    <row r="109" spans="1:35" ht="18.75" customHeight="1">
      <c r="A109" s="137"/>
      <c r="B109" s="137"/>
      <c r="C109" s="137"/>
      <c r="D109" s="137"/>
      <c r="E109" s="3163" t="str">
        <f>IF(项目基本情况!E8="已注销及未注销","4.抵押担保权已注销时的房地产抵押价值",IF(项目基本情况!E8="已注销","3.抵押担保权已注销时的房地产抵押价值","——"))</f>
        <v>——</v>
      </c>
      <c r="F109" s="3133"/>
      <c r="G109" s="2514" t="s">
        <v>2289</v>
      </c>
      <c r="H109" s="347" t="str">
        <f>IF(E109="——","——",H101-H105-H106)</f>
        <v>——</v>
      </c>
      <c r="I109" s="137"/>
    </row>
    <row r="110" spans="1:35" ht="18.75" customHeight="1">
      <c r="A110" s="137"/>
      <c r="B110" s="137"/>
      <c r="C110" s="137"/>
      <c r="D110" s="137"/>
      <c r="E110" s="3163"/>
      <c r="F110" s="3133"/>
      <c r="G110" s="2514" t="s">
        <v>2291</v>
      </c>
      <c r="H110" s="370" t="str">
        <f>IF(H109="——","——",ROUND(H109*10000/'数据-汇总表'!E3,0))</f>
        <v>——</v>
      </c>
      <c r="I110" s="137"/>
    </row>
    <row r="111" spans="1:35" ht="18.75" customHeight="1">
      <c r="A111" s="137"/>
      <c r="B111" s="137"/>
      <c r="C111" s="137"/>
      <c r="D111" s="137"/>
      <c r="E111" s="3164" t="str">
        <f>IF(项目基本情况!E9="抵押净值",IF(OR(项目基本情况!E8="已注销",项目基本情况!E8="房地产抵押价值"),"4.抵押净值","5.抵押净值"),"——")</f>
        <v>——</v>
      </c>
      <c r="F111" s="3165"/>
      <c r="G111" s="2514" t="s">
        <v>2289</v>
      </c>
      <c r="H111" s="1043" t="str">
        <f>IF(E111="——","——",N59)</f>
        <v>——</v>
      </c>
      <c r="I111" s="137"/>
    </row>
    <row r="112" spans="1:35" ht="18.75" customHeight="1" thickBot="1">
      <c r="A112" s="137"/>
      <c r="B112" s="137"/>
      <c r="C112" s="137"/>
      <c r="D112" s="137"/>
      <c r="E112" s="3166"/>
      <c r="F112" s="3167"/>
      <c r="G112" s="2519" t="s">
        <v>2291</v>
      </c>
      <c r="H112" s="788" t="str">
        <f>IF(E111="——","——",N61)</f>
        <v>——</v>
      </c>
      <c r="I112" s="137"/>
    </row>
    <row r="113" spans="1:11" ht="18.75" customHeight="1">
      <c r="A113" s="137"/>
      <c r="B113" s="137"/>
      <c r="C113" s="137"/>
      <c r="D113" s="137"/>
      <c r="E113" s="3175" t="s">
        <v>2297</v>
      </c>
      <c r="F113" s="3175"/>
      <c r="G113" s="3175"/>
      <c r="H113" s="3175"/>
      <c r="I113" s="137"/>
    </row>
    <row r="114" spans="1:11" ht="3.75" customHeight="1">
      <c r="A114" s="2412"/>
      <c r="B114" s="2412"/>
      <c r="C114" s="2412"/>
      <c r="D114" s="2412"/>
      <c r="E114" s="2490"/>
      <c r="F114" s="2490"/>
      <c r="G114" s="2490"/>
      <c r="H114" s="2490"/>
      <c r="I114" s="2412"/>
    </row>
    <row r="115" spans="1:11" ht="18.75" customHeight="1">
      <c r="A115" s="3188" t="s">
        <v>2299</v>
      </c>
      <c r="B115" s="3189"/>
      <c r="C115" s="3189"/>
      <c r="D115" s="3189"/>
      <c r="E115" s="3189"/>
      <c r="F115" s="3189"/>
      <c r="G115" s="3189"/>
      <c r="H115" s="3189"/>
      <c r="I115" s="3190"/>
    </row>
    <row r="116" spans="1:11" ht="27" customHeight="1">
      <c r="A116" s="3099" t="s">
        <v>2300</v>
      </c>
      <c r="B116" s="3142" t="s">
        <v>2301</v>
      </c>
      <c r="C116" s="3142" t="s">
        <v>2302</v>
      </c>
      <c r="D116" s="3148" t="s">
        <v>2303</v>
      </c>
      <c r="E116" s="3149"/>
      <c r="F116" s="3184" t="s">
        <v>2304</v>
      </c>
      <c r="G116" s="3184"/>
      <c r="H116" s="3099" t="s">
        <v>2305</v>
      </c>
      <c r="I116" s="3099"/>
    </row>
    <row r="117" spans="1:11" ht="18.75" customHeight="1">
      <c r="A117" s="3099"/>
      <c r="B117" s="3143"/>
      <c r="C117" s="3143"/>
      <c r="D117" s="2948" t="s">
        <v>2306</v>
      </c>
      <c r="E117" s="2948" t="s">
        <v>2307</v>
      </c>
      <c r="F117" s="2948" t="s">
        <v>2306</v>
      </c>
      <c r="G117" s="2948" t="s">
        <v>2308</v>
      </c>
      <c r="H117" s="2948" t="s">
        <v>2306</v>
      </c>
      <c r="I117" s="2948" t="s">
        <v>2308</v>
      </c>
    </row>
    <row r="118" spans="1:11" ht="24.75" customHeight="1">
      <c r="A118" s="2520" t="str">
        <f>项目基本情况!S2</f>
        <v>北京市朝阳区东三环中路乙16号院4号楼2层207号等31套住宅用房及朝阳区东三环中路乙16号院5号楼1至2层101号办公用房房地产</v>
      </c>
      <c r="B118" s="2948">
        <f>M18</f>
        <v>1043.1300000000001</v>
      </c>
      <c r="C118" s="2948">
        <f>M19</f>
        <v>917.47</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4312</v>
      </c>
      <c r="I118" s="2948">
        <f ca="1">ROUND(IF(D32="楼面单价",C32,H118*10000/B118),0)</f>
        <v>41337</v>
      </c>
    </row>
    <row r="119" spans="1:11" ht="18.75" customHeight="1">
      <c r="A119" s="3099" t="s">
        <v>2309</v>
      </c>
      <c r="B119" s="3099"/>
      <c r="C119" s="3099"/>
      <c r="D119" s="3144" t="e">
        <f ca="1">NUMBERSTRING(INT(D118*10000),2)&amp;"元整"</f>
        <v>#REF!</v>
      </c>
      <c r="E119" s="3145"/>
      <c r="F119" s="3144" t="e">
        <f ca="1">NUMBERSTRING(INT(F118*10000),2)&amp;"元整"</f>
        <v>#REF!</v>
      </c>
      <c r="G119" s="3145"/>
      <c r="H119" s="3144" t="str">
        <f ca="1">NUMBERSTRING(INT(H118*10000),2)&amp;"元整"</f>
        <v>肆仟叁佰壹拾贰万元整</v>
      </c>
      <c r="I119" s="3145"/>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7" t="str">
        <f>IF(D120=0,"故，本次评估不存在"&amp;A120,"故，本次评估"&amp;A120&amp;"为人民币"&amp;D120&amp;"万元整。")</f>
        <v>故，本次评估不存在估价师知悉的法定优先受偿款</v>
      </c>
    </row>
    <row r="121" spans="1:11" ht="18.75" customHeight="1">
      <c r="A121" s="3185" t="s">
        <v>2309</v>
      </c>
      <c r="B121" s="3186"/>
      <c r="C121" s="3187"/>
      <c r="D121" s="3144" t="str">
        <f>IF(D120=0,"零元整",NUMBERSTRING(INT(D120*10000),2)&amp;"元整")</f>
        <v>零元整</v>
      </c>
      <c r="E121" s="3146"/>
      <c r="F121" s="3146"/>
      <c r="G121" s="3146"/>
      <c r="H121" s="3146"/>
      <c r="I121" s="3145"/>
    </row>
    <row r="122" spans="1:11" ht="18.75" customHeight="1">
      <c r="A122" s="3150" t="str">
        <f>IF(项目基本情况!B9="房地产市场价值","",MID(E107,3,LEN(E107)-2))</f>
        <v>房地产抵押价值</v>
      </c>
      <c r="B122" s="3150"/>
      <c r="C122" s="3150"/>
      <c r="D122" s="3139">
        <f ca="1">H107</f>
        <v>4312</v>
      </c>
      <c r="E122" s="3140"/>
      <c r="F122" s="3140"/>
      <c r="G122" s="3140"/>
      <c r="H122" s="3140"/>
      <c r="I122" s="3141"/>
    </row>
    <row r="123" spans="1:11" ht="18.75" customHeight="1">
      <c r="A123" s="3099" t="s">
        <v>2309</v>
      </c>
      <c r="B123" s="3099"/>
      <c r="C123" s="3099"/>
      <c r="D123" s="3144" t="str">
        <f ca="1">NUMBERSTRING(INT(D122*10000),2)&amp;"元整"</f>
        <v>肆仟叁佰壹拾贰万元整</v>
      </c>
      <c r="E123" s="3146"/>
      <c r="F123" s="3146"/>
      <c r="G123" s="3146"/>
      <c r="H123" s="3146"/>
      <c r="I123" s="3145"/>
    </row>
    <row r="124" spans="1:11" ht="18.75" customHeight="1">
      <c r="A124" s="3150" t="str">
        <f>IF(项目基本情况!B9="房地产市场价值","",MID(E109,3,LEN(E109)-2))</f>
        <v/>
      </c>
      <c r="B124" s="3150"/>
      <c r="C124" s="3150"/>
      <c r="D124" s="3139" t="str">
        <f>H109</f>
        <v>——</v>
      </c>
      <c r="E124" s="3140"/>
      <c r="F124" s="3140"/>
      <c r="G124" s="3140"/>
      <c r="H124" s="3140"/>
      <c r="I124" s="3141"/>
    </row>
    <row r="125" spans="1:11" ht="18.75" customHeight="1">
      <c r="A125" s="3099" t="s">
        <v>2309</v>
      </c>
      <c r="B125" s="3099"/>
      <c r="C125" s="3099"/>
      <c r="D125" s="3144" t="e">
        <f>NUMBERSTRING(INT(D124*10000),2)&amp;"元整"</f>
        <v>#VALUE!</v>
      </c>
      <c r="E125" s="3146"/>
      <c r="F125" s="3146"/>
      <c r="G125" s="3146"/>
      <c r="H125" s="3146"/>
      <c r="I125" s="3145"/>
    </row>
    <row r="126" spans="1:11" ht="18.75" customHeight="1">
      <c r="A126" s="3150" t="str">
        <f>IF(项目基本情况!B9="房地产市场价值","",MID(E111,3,LEN(E111)-2))</f>
        <v/>
      </c>
      <c r="B126" s="3150"/>
      <c r="C126" s="3150"/>
      <c r="D126" s="3139" t="str">
        <f>H111</f>
        <v>——</v>
      </c>
      <c r="E126" s="3140"/>
      <c r="F126" s="3140"/>
      <c r="G126" s="3140"/>
      <c r="H126" s="3140"/>
      <c r="I126" s="3141"/>
    </row>
    <row r="127" spans="1:11" ht="18.75" customHeight="1">
      <c r="A127" s="3099" t="s">
        <v>2309</v>
      </c>
      <c r="B127" s="3099"/>
      <c r="C127" s="3099"/>
      <c r="D127" s="3144" t="e">
        <f>NUMBERSTRING(INT(D126*10000),2)&amp;"元整"</f>
        <v>#VALUE!</v>
      </c>
      <c r="E127" s="3146"/>
      <c r="F127" s="3146"/>
      <c r="G127" s="3146"/>
      <c r="H127" s="3146"/>
      <c r="I127" s="3145"/>
    </row>
    <row r="128" spans="1:11" ht="21.75" customHeight="1">
      <c r="A128" s="3147" t="s">
        <v>2310</v>
      </c>
      <c r="B128" s="3147"/>
      <c r="C128" s="3147"/>
      <c r="D128" s="3147"/>
      <c r="E128" s="3147"/>
      <c r="F128" s="3147"/>
      <c r="G128" s="3147"/>
      <c r="H128" s="3147"/>
      <c r="I128" s="3147"/>
    </row>
    <row r="129" spans="1:35" ht="21.75" customHeight="1">
      <c r="A129" s="2521" t="s">
        <v>2311</v>
      </c>
      <c r="B129" s="2522"/>
      <c r="C129" s="2523" t="s">
        <v>2312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2313</v>
      </c>
      <c r="G135" s="2538"/>
      <c r="H135" s="2538"/>
      <c r="I135" s="2539" t="s">
        <v>2314</v>
      </c>
    </row>
    <row r="136" spans="1:35" ht="21.75" customHeight="1">
      <c r="A136" s="793"/>
      <c r="B136" s="2540"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2316</v>
      </c>
    </row>
    <row r="139" spans="1:35" ht="21.75" customHeight="1">
      <c r="A139" s="793"/>
      <c r="B139" s="2540" t="s">
        <v>2317</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2316</v>
      </c>
    </row>
    <row r="142" spans="1:35" ht="21.75" customHeight="1">
      <c r="A142" s="793"/>
      <c r="B142" s="2540"/>
      <c r="C142" s="2541"/>
      <c r="D142" s="2542"/>
      <c r="E142" s="2542"/>
      <c r="F142" s="2336"/>
      <c r="G142" s="793"/>
      <c r="H142" s="793"/>
      <c r="I142" s="793"/>
    </row>
    <row r="143" spans="1:35" s="138" customFormat="1" ht="21.75" customHeight="1">
      <c r="A143" s="793"/>
      <c r="B143" s="2540"/>
      <c r="C143" s="2541"/>
      <c r="D143" s="2542"/>
      <c r="E143" s="2542"/>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02" priority="10" stopIfTrue="1" operator="equal">
      <formula>25</formula>
    </cfRule>
  </conditionalFormatting>
  <conditionalFormatting sqref="C8:C9">
    <cfRule type="cellIs" dxfId="101" priority="9" stopIfTrue="1" operator="equal">
      <formula>15</formula>
    </cfRule>
  </conditionalFormatting>
  <conditionalFormatting sqref="C14:C16">
    <cfRule type="cellIs" dxfId="100" priority="8" stopIfTrue="1" operator="equal">
      <formula>30</formula>
    </cfRule>
  </conditionalFormatting>
  <conditionalFormatting sqref="D5:D7">
    <cfRule type="cellIs" dxfId="99" priority="7" stopIfTrue="1" operator="equal">
      <formula>25</formula>
    </cfRule>
  </conditionalFormatting>
  <conditionalFormatting sqref="D8:D9">
    <cfRule type="cellIs" dxfId="98" priority="6" stopIfTrue="1" operator="equal">
      <formula>15</formula>
    </cfRule>
  </conditionalFormatting>
  <conditionalFormatting sqref="C10:D13">
    <cfRule type="cellIs" dxfId="97" priority="5" stopIfTrue="1" operator="equal">
      <formula>15</formula>
    </cfRule>
  </conditionalFormatting>
  <conditionalFormatting sqref="D14:D16">
    <cfRule type="cellIs" dxfId="96" priority="4" stopIfTrue="1" operator="equal">
      <formula>30</formula>
    </cfRule>
  </conditionalFormatting>
  <conditionalFormatting sqref="C90">
    <cfRule type="expression" dxfId="95" priority="3" stopIfTrue="1">
      <formula>$H$88&lt;&gt;"仅含出让金"</formula>
    </cfRule>
  </conditionalFormatting>
  <conditionalFormatting sqref="C91">
    <cfRule type="expression" dxfId="94" priority="2" stopIfTrue="1">
      <formula>$H$91="由企业提供"</formula>
    </cfRule>
  </conditionalFormatting>
  <conditionalFormatting sqref="E36">
    <cfRule type="expression" dxfId="9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G34" sqref="G3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1583</v>
      </c>
      <c r="B1" s="780"/>
      <c r="C1" s="1835" t="s">
        <v>27</v>
      </c>
      <c r="D1" s="1818" t="s">
        <v>70</v>
      </c>
      <c r="E1" s="1819" t="s">
        <v>1381</v>
      </c>
      <c r="F1" s="1281">
        <f ca="1">J53</f>
        <v>36.5</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4058</v>
      </c>
      <c r="C2" s="1843" t="s">
        <v>1510</v>
      </c>
      <c r="D2" s="1843"/>
      <c r="E2" s="1844"/>
      <c r="F2" s="1845"/>
      <c r="G2" s="1846"/>
      <c r="H2" s="1838"/>
      <c r="I2" s="1838"/>
      <c r="J2" s="1838"/>
      <c r="K2" s="1839"/>
      <c r="L2" s="1838"/>
      <c r="M2" s="1838"/>
    </row>
    <row r="3" spans="1:37" ht="18" customHeight="1" thickBot="1">
      <c r="A3" s="1847" t="s">
        <v>1511</v>
      </c>
      <c r="B3" s="1848">
        <f ca="1">IF(ISERROR(B2*10000/F43),0,ROUND(B2*10000/F43,0))</f>
        <v>38902</v>
      </c>
      <c r="C3" s="1843" t="s">
        <v>1512</v>
      </c>
      <c r="D3" s="1843"/>
      <c r="E3" s="1844"/>
      <c r="F3" s="1845"/>
      <c r="G3" s="1846"/>
      <c r="H3" s="742" t="s">
        <v>1582</v>
      </c>
      <c r="I3" s="1838"/>
      <c r="J3" s="1838"/>
      <c r="K3" s="1839"/>
      <c r="L3" s="1838"/>
      <c r="M3" s="1838"/>
    </row>
    <row r="4" spans="1:37" ht="18" customHeight="1">
      <c r="A4" s="339" t="s">
        <v>1390</v>
      </c>
      <c r="B4" s="340" t="s">
        <v>1391</v>
      </c>
      <c r="C4" s="340" t="s">
        <v>1392</v>
      </c>
      <c r="D4" s="340" t="s">
        <v>1393</v>
      </c>
      <c r="E4" s="341" t="s">
        <v>1394</v>
      </c>
      <c r="F4" s="342"/>
      <c r="G4" s="1849"/>
      <c r="H4" s="339" t="s">
        <v>1390</v>
      </c>
      <c r="I4" s="340" t="s">
        <v>1391</v>
      </c>
      <c r="J4" s="340" t="s">
        <v>1392</v>
      </c>
      <c r="K4" s="340" t="s">
        <v>1393</v>
      </c>
      <c r="L4" s="341" t="s">
        <v>1394</v>
      </c>
      <c r="M4" s="342"/>
    </row>
    <row r="5" spans="1:37" ht="18" customHeight="1">
      <c r="A5" s="343">
        <v>1</v>
      </c>
      <c r="B5" s="344" t="s">
        <v>1395</v>
      </c>
      <c r="C5" s="1290">
        <f ca="1">C6+C10+C12</f>
        <v>240</v>
      </c>
      <c r="D5" s="1820" t="s">
        <v>1396</v>
      </c>
      <c r="E5" s="1291"/>
      <c r="F5" s="1292"/>
      <c r="G5" s="1849"/>
      <c r="H5" s="343">
        <v>1</v>
      </c>
      <c r="I5" s="344" t="s">
        <v>1395</v>
      </c>
      <c r="J5" s="1290">
        <f ca="1">J6+J10+J12</f>
        <v>0</v>
      </c>
      <c r="K5" s="1820" t="s">
        <v>1396</v>
      </c>
      <c r="L5" s="1291"/>
      <c r="M5" s="1292"/>
    </row>
    <row r="6" spans="1:37" ht="18" customHeight="1">
      <c r="A6" s="1289" t="s">
        <v>1031</v>
      </c>
      <c r="B6" s="3245" t="s">
        <v>1397</v>
      </c>
      <c r="C6" s="1294">
        <f ca="1">ROUND(F6*F8*F7*(1-F9)/10000,0)</f>
        <v>240</v>
      </c>
      <c r="D6" s="163" t="s">
        <v>3020</v>
      </c>
      <c r="E6" s="346" t="s">
        <v>1399</v>
      </c>
      <c r="F6" s="347">
        <f ca="1">INDIRECT("'数据-取费表'!u"&amp;$G$1)</f>
        <v>7</v>
      </c>
      <c r="G6" s="1849"/>
      <c r="H6" s="1289" t="s">
        <v>1031</v>
      </c>
      <c r="I6" s="3245" t="s">
        <v>1397</v>
      </c>
      <c r="J6" s="345">
        <f ca="1">ROUND(M6*M8*M7*(1-M9)/10000,0)</f>
        <v>0</v>
      </c>
      <c r="K6" s="163" t="s">
        <v>3019</v>
      </c>
      <c r="L6" s="346" t="s">
        <v>1399</v>
      </c>
      <c r="M6" s="347">
        <f ca="1">INDIRECT("'数据-取费表'!z"&amp;$G$1)</f>
        <v>0</v>
      </c>
    </row>
    <row r="7" spans="1:37" ht="18" customHeight="1">
      <c r="A7" s="1293"/>
      <c r="B7" s="3246"/>
      <c r="C7" s="1295"/>
      <c r="D7" s="351"/>
      <c r="E7" s="1296" t="s">
        <v>1400</v>
      </c>
      <c r="F7" s="347">
        <f ca="1">IF(INDIRECT("'数据-取费表'!ah"&amp;$G$1)="",INDIRECT("'数据-取费表'!k"&amp;$G$1),INDIRECT("'数据-取费表'!ah"&amp;$G$1))</f>
        <v>1043.1300000000001</v>
      </c>
      <c r="G7" s="1849"/>
      <c r="H7" s="348"/>
      <c r="I7" s="3246"/>
      <c r="J7" s="350"/>
      <c r="K7" s="351"/>
      <c r="L7" s="346" t="s">
        <v>1400</v>
      </c>
      <c r="M7" s="347">
        <f ca="1">F7</f>
        <v>1043.1300000000001</v>
      </c>
    </row>
    <row r="8" spans="1:37" ht="18" customHeight="1">
      <c r="A8" s="348"/>
      <c r="B8" s="3246"/>
      <c r="C8" s="350"/>
      <c r="D8" s="351"/>
      <c r="E8" s="346" t="s">
        <v>1401</v>
      </c>
      <c r="F8" s="347">
        <f ca="1">INDIRECT("'数据-取费表'!ai"&amp;$G$1)</f>
        <v>365</v>
      </c>
      <c r="G8" s="1849"/>
      <c r="H8" s="348"/>
      <c r="I8" s="3246"/>
      <c r="J8" s="350"/>
      <c r="K8" s="351"/>
      <c r="L8" s="346" t="s">
        <v>1401</v>
      </c>
      <c r="M8" s="347">
        <f ca="1">INDIRECT("'数据-取费表'!ai"&amp;$G$1)</f>
        <v>365</v>
      </c>
    </row>
    <row r="9" spans="1:37" ht="18" customHeight="1">
      <c r="A9" s="348"/>
      <c r="B9" s="3247"/>
      <c r="C9" s="350"/>
      <c r="D9" s="351"/>
      <c r="E9" s="346" t="s">
        <v>1402</v>
      </c>
      <c r="F9" s="356">
        <f ca="1">INDIRECT("'数据-取费表'!w"&amp;$G$1)</f>
        <v>0.1</v>
      </c>
      <c r="G9" s="1849"/>
      <c r="H9" s="348"/>
      <c r="I9" s="3247"/>
      <c r="J9" s="350"/>
      <c r="K9" s="351"/>
      <c r="L9" s="357" t="s">
        <v>1402</v>
      </c>
      <c r="M9" s="358">
        <f ca="1">INDIRECT("'数据-取费表'!ab"&amp;$G$1)</f>
        <v>0</v>
      </c>
    </row>
    <row r="10" spans="1:37" ht="18" customHeight="1">
      <c r="A10" s="1289" t="s">
        <v>1035</v>
      </c>
      <c r="B10" s="1821" t="s">
        <v>1403</v>
      </c>
      <c r="C10" s="360">
        <f ca="1">ROUND(IF(F10="押一",C6/12*F11,IF(F10="押二",C6/12*2*F11,IF(F10="押三",C6/12*3*F11,C11*F11))),0)</f>
        <v>0</v>
      </c>
      <c r="D10" s="1822" t="s">
        <v>3029</v>
      </c>
      <c r="E10" s="357" t="s">
        <v>1404</v>
      </c>
      <c r="F10" s="1364" t="s">
        <v>3183</v>
      </c>
      <c r="G10" s="1849"/>
      <c r="H10" s="1289" t="s">
        <v>1035</v>
      </c>
      <c r="I10" s="1821" t="s">
        <v>1403</v>
      </c>
      <c r="J10" s="345">
        <f ca="1">ROUND(IF(M10="押一",J6/12*M11,IF(M10="押二",J6/12*2*M11,IF(M10="押三",J6/12*3*M11,J11*M11))),0)</f>
        <v>0</v>
      </c>
      <c r="K10" s="1822" t="s">
        <v>3028</v>
      </c>
      <c r="L10" s="357" t="s">
        <v>1404</v>
      </c>
      <c r="M10" s="1364" t="s">
        <v>1405</v>
      </c>
    </row>
    <row r="11" spans="1:37" ht="18" customHeight="1">
      <c r="A11" s="352"/>
      <c r="B11" s="1823" t="s">
        <v>1382</v>
      </c>
      <c r="C11" s="1176"/>
      <c r="D11" s="1824"/>
      <c r="E11" s="357" t="s">
        <v>1406</v>
      </c>
      <c r="F11" s="358">
        <f ca="1">'数据-取费表'!B39</f>
        <v>1.4999999999999999E-2</v>
      </c>
      <c r="G11" s="1849"/>
      <c r="H11" s="1297"/>
      <c r="I11" s="1823" t="s">
        <v>1382</v>
      </c>
      <c r="J11" s="1176"/>
      <c r="K11" s="746"/>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499</v>
      </c>
      <c r="D13" s="1329" t="s">
        <v>1409</v>
      </c>
      <c r="E13" s="1329" t="s">
        <v>1410</v>
      </c>
      <c r="F13" s="1330">
        <f ca="1">INDIRECT("'数据-取费表'!y"&amp;$G$1)</f>
        <v>0.9</v>
      </c>
      <c r="G13" s="1849"/>
      <c r="H13" s="1327">
        <v>2</v>
      </c>
      <c r="I13" s="1328" t="s">
        <v>1408</v>
      </c>
      <c r="J13" s="1288">
        <f ca="1">ROUND(J14*J15,0)</f>
        <v>0</v>
      </c>
      <c r="K13" s="1335" t="s">
        <v>1409</v>
      </c>
      <c r="L13" s="1850"/>
      <c r="M13" s="1851"/>
    </row>
    <row r="14" spans="1:37" ht="18" customHeight="1">
      <c r="A14" s="1199" t="s">
        <v>1030</v>
      </c>
      <c r="B14" s="346" t="s">
        <v>1411</v>
      </c>
      <c r="C14" s="362">
        <f ca="1">INDIRECT("'数据-取费表'!m"&amp;$G$1)+INDIRECT("'数据-取费表'!t"&amp;$G$1)</f>
        <v>365</v>
      </c>
      <c r="D14" s="1798" t="s">
        <v>1412</v>
      </c>
      <c r="E14" s="1792"/>
      <c r="F14" s="363"/>
      <c r="G14" s="1849"/>
      <c r="H14" s="1199" t="s">
        <v>1031</v>
      </c>
      <c r="I14" s="346" t="s">
        <v>1413</v>
      </c>
      <c r="J14" s="23">
        <f ca="1">C29</f>
        <v>554</v>
      </c>
      <c r="K14" s="14"/>
      <c r="L14" s="977"/>
      <c r="M14" s="978"/>
    </row>
    <row r="15" spans="1:37" s="1856" customFormat="1" ht="18" customHeight="1" thickBot="1">
      <c r="A15" s="1199" t="s">
        <v>1032</v>
      </c>
      <c r="B15" s="346" t="s">
        <v>1414</v>
      </c>
      <c r="C15" s="23">
        <f ca="1">ROUND(C14*F15,0)</f>
        <v>11</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3">
        <f ca="1">ROUND(INDIRECT("'数据-取费表'!m"&amp;$G$1)*F16,0)</f>
        <v>0</v>
      </c>
      <c r="D16" s="346" t="s">
        <v>1415</v>
      </c>
      <c r="E16" s="346" t="s">
        <v>1416</v>
      </c>
      <c r="F16" s="366">
        <f ca="1">IF(INDIRECT("'数据-取费表'!c"&amp;$G$1)="住宅",'数据-取费表'!B34,0)</f>
        <v>0</v>
      </c>
      <c r="G16" s="1849"/>
      <c r="H16" s="1327" t="s">
        <v>1026</v>
      </c>
      <c r="I16" s="1328" t="s">
        <v>1418</v>
      </c>
      <c r="J16" s="354">
        <f ca="1">ROUND(J17+J22+J23+J24,0)</f>
        <v>15</v>
      </c>
      <c r="K16" s="1335" t="s">
        <v>1419</v>
      </c>
      <c r="L16" s="1336"/>
      <c r="M16" s="1292"/>
    </row>
    <row r="17" spans="1:37" s="1856" customFormat="1" ht="18" customHeight="1">
      <c r="A17" s="1199" t="s">
        <v>1384</v>
      </c>
      <c r="B17" s="346" t="s">
        <v>1420</v>
      </c>
      <c r="C17" s="23">
        <f ca="1">ROUND(F17*(F43+INDIRECT("'数据-取费表'!S"&amp;$G$1))/10000,0)</f>
        <v>21</v>
      </c>
      <c r="D17" s="346" t="s">
        <v>1421</v>
      </c>
      <c r="E17" s="346" t="s">
        <v>1422</v>
      </c>
      <c r="F17" s="25">
        <f>'数据-取费表'!B35</f>
        <v>200</v>
      </c>
      <c r="G17" s="1852"/>
      <c r="H17" s="1199" t="s">
        <v>1031</v>
      </c>
      <c r="I17" s="346" t="s">
        <v>1423</v>
      </c>
      <c r="J17" s="23">
        <f ca="1">ROUND(IF(项目基本情况!B11="自然人",J6*M17/(1+'数据-取费表'!C42),J18+J19+J20),1)</f>
        <v>6.3</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3">
        <f ca="1">ROUND(C14*F18,0)</f>
        <v>5</v>
      </c>
      <c r="D18" s="346" t="s">
        <v>1415</v>
      </c>
      <c r="E18" s="346" t="s">
        <v>1416</v>
      </c>
      <c r="F18" s="366">
        <f>'数据-取费表'!B36</f>
        <v>1.4999999999999999E-2</v>
      </c>
      <c r="G18" s="1852"/>
      <c r="H18" s="1199" t="s">
        <v>1030</v>
      </c>
      <c r="I18" s="346" t="s">
        <v>1427</v>
      </c>
      <c r="J18" s="23">
        <f ca="1">ROUND(J6*M18/(1+'数据-取费表'!C42),2)</f>
        <v>0</v>
      </c>
      <c r="K18" s="1796" t="s">
        <v>1428</v>
      </c>
      <c r="L18" s="346" t="s">
        <v>1416</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3">
        <f ca="1">SUM(C14:C18)</f>
        <v>402</v>
      </c>
      <c r="D19" s="139" t="s">
        <v>1430</v>
      </c>
      <c r="E19" s="1816"/>
      <c r="F19" s="25"/>
      <c r="G19" s="1849"/>
      <c r="H19" s="1199" t="s">
        <v>1032</v>
      </c>
      <c r="I19" s="346" t="s">
        <v>1431</v>
      </c>
      <c r="J19" s="23">
        <f ca="1">IF(K19="按租金收入计税",ROUND(J6*M19/(1+'数据-取费表'!C42),2),ROUND(C29*M19*0.7,2))</f>
        <v>4.6500000000000004</v>
      </c>
      <c r="K19" s="1826" t="s">
        <v>1432</v>
      </c>
      <c r="L19" s="346" t="s">
        <v>1416</v>
      </c>
      <c r="M19" s="366">
        <f>IF(K19="按租金收入计税",'数据-取费表'!B51,'数据-取费表'!B50)</f>
        <v>1.2E-2</v>
      </c>
    </row>
    <row r="20" spans="1:37" s="1856" customFormat="1" ht="18" customHeight="1">
      <c r="A20" s="1199" t="s">
        <v>1035</v>
      </c>
      <c r="B20" s="346" t="s">
        <v>1433</v>
      </c>
      <c r="C20" s="23">
        <f ca="1">ROUND(C19*F20,0)</f>
        <v>8</v>
      </c>
      <c r="D20" s="368" t="s">
        <v>1434</v>
      </c>
      <c r="E20" s="346" t="s">
        <v>1416</v>
      </c>
      <c r="F20" s="366">
        <f>'数据-取费表'!B37</f>
        <v>0.02</v>
      </c>
      <c r="G20" s="1852"/>
      <c r="H20" s="1199" t="s">
        <v>1383</v>
      </c>
      <c r="I20" s="163" t="s">
        <v>1435</v>
      </c>
      <c r="J20" s="24">
        <f ca="1">ROUND(M20*M21/10000,2)</f>
        <v>1.65</v>
      </c>
      <c r="K20" s="369" t="s">
        <v>1436</v>
      </c>
      <c r="L20" s="346" t="s">
        <v>1437</v>
      </c>
      <c r="M20" s="370">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3" t="s">
        <v>18</v>
      </c>
      <c r="D21" s="368" t="s">
        <v>1439</v>
      </c>
      <c r="E21" s="346" t="s">
        <v>1440</v>
      </c>
      <c r="F21" s="366">
        <f>'数据-取费表'!B38</f>
        <v>0.02</v>
      </c>
      <c r="G21" s="1852"/>
      <c r="H21" s="371"/>
      <c r="I21" s="355"/>
      <c r="J21" s="28"/>
      <c r="K21" s="372"/>
      <c r="L21" s="346" t="s">
        <v>1441</v>
      </c>
      <c r="M21" s="347">
        <f ca="1">INDIRECT("'数据-取费表'!r"&amp;$G$1)</f>
        <v>917.47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3"/>
      <c r="D22" s="139" t="str">
        <f>IF(F23&lt;=1,"单利计息。","复利计息。")&amp;"建造成本、管理费用、销售费用产生的利息。"</f>
        <v>复利计息。建造成本、管理费用、销售费用产生的利息。</v>
      </c>
      <c r="E22" s="1816"/>
      <c r="F22" s="25"/>
      <c r="G22" s="1849"/>
      <c r="H22" s="1199" t="s">
        <v>1035</v>
      </c>
      <c r="I22" s="346" t="s">
        <v>1443</v>
      </c>
      <c r="J22" s="23">
        <f ca="1">ROUND(J14*M22,1)</f>
        <v>8.3000000000000007</v>
      </c>
      <c r="K22" s="1796" t="s">
        <v>1444</v>
      </c>
      <c r="L22" s="346" t="s">
        <v>1416</v>
      </c>
      <c r="M22" s="373">
        <f ca="1">INDIRECT("'数据-取费表'!Ak"&amp;$G$1)</f>
        <v>1.4999999999999999E-2</v>
      </c>
    </row>
    <row r="23" spans="1:37" s="1856" customFormat="1" ht="18" customHeight="1">
      <c r="A23" s="1199" t="s">
        <v>1030</v>
      </c>
      <c r="B23" s="346" t="s">
        <v>1445</v>
      </c>
      <c r="C23" s="23">
        <f ca="1">IF('数据-取费表'!B22&lt;=1,ROUND(C19*F24*F23/2,0)+ROUND(C20*F24*F23/2,0),ROUND(C19*(POWER((1+F24),F23/2)-1),0)+ROUND(C20*(POWER((1+F24),F23/2)-1),0))</f>
        <v>19</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3">
        <f ca="1">ROUND(J13*M23,1)</f>
        <v>0</v>
      </c>
      <c r="K23" s="1796" t="s">
        <v>1448</v>
      </c>
      <c r="L23" s="346" t="s">
        <v>1449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6" t="s">
        <v>1455</v>
      </c>
      <c r="C25" s="23"/>
      <c r="D25" s="139" t="s">
        <v>1456</v>
      </c>
      <c r="E25" s="1816"/>
      <c r="F25" s="25"/>
      <c r="G25" s="1849"/>
      <c r="H25" s="1327" t="s">
        <v>1027</v>
      </c>
      <c r="I25" s="1342" t="s">
        <v>1457</v>
      </c>
      <c r="J25" s="354">
        <f ca="1">J5-J16</f>
        <v>-15</v>
      </c>
      <c r="K25" s="1343" t="s">
        <v>1458</v>
      </c>
      <c r="L25" s="1344"/>
      <c r="M25" s="1345"/>
    </row>
    <row r="26" spans="1:37">
      <c r="A26" s="1199" t="s">
        <v>1030</v>
      </c>
      <c r="B26" s="346" t="s">
        <v>1459</v>
      </c>
      <c r="C26" s="23">
        <f ca="1">ROUND((C19+C20)*F26,0)</f>
        <v>82</v>
      </c>
      <c r="D26" s="368" t="s">
        <v>1460</v>
      </c>
      <c r="E26" s="357" t="s">
        <v>1461</v>
      </c>
      <c r="F26" s="356">
        <f ca="1">INDIRECT("'数据-取费表'!q"&amp;$G$1)</f>
        <v>0.2</v>
      </c>
      <c r="G26" s="1849"/>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3">
        <f ca="1">ROUND(F21*F26,4)</f>
        <v>4.0000000000000001E-3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3">
        <f>ROUND(F28/(1+'数据-取费表'!C42),4)</f>
        <v>5.33E-2</v>
      </c>
      <c r="D28" s="368" t="s">
        <v>1470</v>
      </c>
      <c r="E28" s="346" t="s">
        <v>1416</v>
      </c>
      <c r="F28" s="366">
        <f>'数据-取费表'!B41</f>
        <v>5.6000000000000001E-2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554</v>
      </c>
      <c r="D29" s="1340"/>
      <c r="E29" s="1338"/>
      <c r="F29" s="1341"/>
      <c r="G29" s="1852"/>
      <c r="H29" s="379" t="s">
        <v>1029</v>
      </c>
      <c r="I29" s="380" t="s">
        <v>1473</v>
      </c>
      <c r="J29" s="381">
        <f ca="1">ROUND(J26/(1+F40)^F41,0)</f>
        <v>0</v>
      </c>
      <c r="K29" s="382" t="s">
        <v>1474</v>
      </c>
      <c r="L29" s="383"/>
      <c r="M29" s="384">
        <f ca="1">INDIRECT("'数据-取费表'!k"&amp;$G$1)</f>
        <v>1043.1300000000001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53</v>
      </c>
      <c r="D30" s="1335" t="s">
        <v>1419</v>
      </c>
      <c r="E30" s="1336"/>
      <c r="F30" s="1292"/>
      <c r="G30" s="1849"/>
      <c r="H30" s="743"/>
      <c r="I30" s="744"/>
      <c r="J30" s="745"/>
      <c r="K30" s="746"/>
      <c r="L30" s="747"/>
      <c r="M30" s="748"/>
    </row>
    <row r="31" spans="1:37" ht="18" customHeight="1">
      <c r="A31" s="1199" t="s">
        <v>1031</v>
      </c>
      <c r="B31" s="346" t="s">
        <v>1423</v>
      </c>
      <c r="C31" s="23">
        <f ca="1">ROUND(IF(项目基本情况!B11="自然人",C6*F31/(1+'数据-取费表'!C42),C32+C33+C34),1)</f>
        <v>41.9</v>
      </c>
      <c r="D31" s="1798" t="s">
        <v>1424</v>
      </c>
      <c r="E31" s="1796" t="s">
        <v>1475</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6" t="s">
        <v>1427</v>
      </c>
      <c r="C32" s="23">
        <f ca="1">IF(项目基本情况!B11="自然人","——",ROUND(C6*F32/(1+'数据-取费表'!C42),2))</f>
        <v>12.8</v>
      </c>
      <c r="D32" s="1796" t="s">
        <v>1428</v>
      </c>
      <c r="E32" s="346" t="s">
        <v>1416</v>
      </c>
      <c r="F32" s="376">
        <f>'数据-取费表'!B41</f>
        <v>5.6000000000000001E-2</v>
      </c>
      <c r="G32" s="1849"/>
      <c r="H32" s="743"/>
      <c r="I32" s="744"/>
      <c r="J32" s="745"/>
      <c r="K32" s="746"/>
      <c r="L32" s="747"/>
      <c r="M32" s="748"/>
    </row>
    <row r="33" spans="1:18" ht="18" customHeight="1">
      <c r="A33" s="1199" t="s">
        <v>1032</v>
      </c>
      <c r="B33" s="346" t="s">
        <v>1431</v>
      </c>
      <c r="C33" s="23">
        <f ca="1">IF(项目基本情况!B11="自然人","——",IF(D33="按租金收入计税",ROUND(C6*F33/(1+'数据-取费表'!C42),2),IF(D33="按房产原值计税",ROUND(C29*F33*0.7,2),INDIRECT("'数据-取费表'!Aj"&amp;$G$1))))</f>
        <v>27.43</v>
      </c>
      <c r="D33" s="1826" t="s">
        <v>3184</v>
      </c>
      <c r="E33" s="346" t="s">
        <v>1416</v>
      </c>
      <c r="F33" s="366">
        <f>IF(D33="按票据","——",IF(D33="按租金收入计税",'数据-取费表'!B51,'数据-取费表'!B50))</f>
        <v>0.12</v>
      </c>
      <c r="G33" s="1849"/>
      <c r="H33" s="1857"/>
      <c r="I33" s="1858"/>
      <c r="J33" s="1859"/>
      <c r="K33" s="1860"/>
      <c r="L33" s="1857"/>
      <c r="M33" s="1857"/>
    </row>
    <row r="34" spans="1:18" ht="18" customHeight="1">
      <c r="A34" s="1289" t="s">
        <v>1383</v>
      </c>
      <c r="B34" s="163" t="s">
        <v>1435</v>
      </c>
      <c r="C34" s="24">
        <f ca="1">IF(项目基本情况!B11="自然人","——",ROUND(F34*F35/10000,2))</f>
        <v>1.65</v>
      </c>
      <c r="D34" s="369" t="s">
        <v>1436</v>
      </c>
      <c r="E34" s="346" t="s">
        <v>1437</v>
      </c>
      <c r="F34" s="370">
        <f>'数据-取费表'!B52</f>
        <v>18</v>
      </c>
      <c r="G34" s="1849"/>
      <c r="H34" s="743"/>
      <c r="I34" s="1858"/>
      <c r="J34" s="1859"/>
      <c r="K34" s="1861"/>
      <c r="L34" s="1862"/>
      <c r="M34" s="1862"/>
    </row>
    <row r="35" spans="1:18" ht="18" customHeight="1">
      <c r="A35" s="1351"/>
      <c r="B35" s="1349"/>
      <c r="C35" s="28"/>
      <c r="D35" s="372"/>
      <c r="E35" s="346" t="s">
        <v>1441</v>
      </c>
      <c r="F35" s="3386">
        <f ca="1">INDIRECT("'数据-取费表'!r"&amp;$G$1)</f>
        <v>917.47</v>
      </c>
      <c r="G35" s="1849"/>
      <c r="H35" s="743"/>
      <c r="I35" s="1858"/>
      <c r="J35" s="1859"/>
      <c r="K35" s="1860"/>
      <c r="L35" s="1857"/>
      <c r="M35" s="1857"/>
    </row>
    <row r="36" spans="1:18" ht="18" customHeight="1">
      <c r="A36" s="1350" t="s">
        <v>1035</v>
      </c>
      <c r="B36" s="346" t="s">
        <v>1443</v>
      </c>
      <c r="C36" s="23">
        <f ca="1">ROUND(C29*F36,1)</f>
        <v>8.3000000000000007</v>
      </c>
      <c r="D36" s="1796" t="s">
        <v>1476</v>
      </c>
      <c r="E36" s="346" t="s">
        <v>1416</v>
      </c>
      <c r="F36" s="373">
        <f ca="1">INDIRECT("'数据-取费表'!Ak"&amp;$G$1)</f>
        <v>1.4999999999999999E-2</v>
      </c>
      <c r="G36" s="1849"/>
      <c r="H36" s="1857"/>
      <c r="I36" s="1858"/>
      <c r="J36" s="1859"/>
      <c r="K36" s="749"/>
      <c r="L36" s="1857"/>
      <c r="M36" s="1857"/>
    </row>
    <row r="37" spans="1:18" ht="18" customHeight="1">
      <c r="A37" s="1199" t="s">
        <v>1071</v>
      </c>
      <c r="B37" s="346" t="s">
        <v>1447</v>
      </c>
      <c r="C37" s="23">
        <f ca="1">ROUND(C13*F37,1)</f>
        <v>0.7</v>
      </c>
      <c r="D37" s="1796" t="s">
        <v>1448</v>
      </c>
      <c r="E37" s="346" t="s">
        <v>1449</v>
      </c>
      <c r="F37" s="375">
        <f ca="1">INDIRECT("'数据-取费表'!Al"&amp;$G$1)</f>
        <v>1.5E-3</v>
      </c>
      <c r="G37" s="1849"/>
      <c r="H37" s="1857"/>
      <c r="I37" s="1858"/>
      <c r="J37" s="1859"/>
      <c r="K37" s="749"/>
      <c r="L37" s="1857"/>
      <c r="M37" s="1857"/>
    </row>
    <row r="38" spans="1:18" ht="18" customHeight="1" thickBot="1">
      <c r="A38" s="1337" t="s">
        <v>1387</v>
      </c>
      <c r="B38" s="1338" t="s">
        <v>1433</v>
      </c>
      <c r="C38" s="1339">
        <f ca="1">ROUND(C5*F38,1)</f>
        <v>2.4</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4">
        <f ca="1">C5-C30</f>
        <v>187</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4058</v>
      </c>
      <c r="D40" s="369" t="s">
        <v>1463</v>
      </c>
      <c r="E40" s="346" t="s">
        <v>1464</v>
      </c>
      <c r="F40" s="356">
        <f ca="1">INDIRECT("'数据-取费表'!I"&amp;$G$1)</f>
        <v>5.5E-2</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36.5</v>
      </c>
      <c r="G41" s="1849"/>
      <c r="H41" s="730"/>
      <c r="I41" s="1858"/>
      <c r="J41" s="1859"/>
      <c r="K41" s="749"/>
      <c r="L41" s="730"/>
      <c r="M41" s="730"/>
    </row>
    <row r="42" spans="1:18" ht="18" customHeight="1">
      <c r="A42" s="352"/>
      <c r="B42" s="353"/>
      <c r="C42" s="354"/>
      <c r="D42" s="372"/>
      <c r="E42" s="346" t="s">
        <v>1471</v>
      </c>
      <c r="F42" s="356">
        <f ca="1">INDIRECT("'数据-取费表'!v"&amp;$G$1)</f>
        <v>2.5000000000000001E-2</v>
      </c>
      <c r="G42" s="1849"/>
      <c r="H42" s="730"/>
      <c r="I42" s="1858"/>
      <c r="J42" s="1859"/>
      <c r="K42" s="749"/>
      <c r="L42" s="730"/>
      <c r="M42" s="730"/>
    </row>
    <row r="43" spans="1:18" ht="18" customHeight="1" thickBot="1">
      <c r="A43" s="379" t="s">
        <v>1029</v>
      </c>
      <c r="B43" s="380" t="s">
        <v>1481</v>
      </c>
      <c r="C43" s="381">
        <f ca="1">ROUND(C40*10000/F43,0)</f>
        <v>38902</v>
      </c>
      <c r="D43" s="382" t="s">
        <v>1482</v>
      </c>
      <c r="E43" s="383" t="s">
        <v>1483</v>
      </c>
      <c r="F43" s="384">
        <f ca="1">INDIRECT("'数据-取费表'!k"&amp;$G$1)</f>
        <v>1043.1300000000001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-4948</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3104</v>
      </c>
      <c r="K47" s="1880" t="s">
        <v>1521</v>
      </c>
      <c r="L47" s="1881">
        <f ca="1">INDIRECT("'数据-取费表'!d"&amp;$G$1)</f>
        <v>50</v>
      </c>
      <c r="M47" s="1836" t="str">
        <f>IF(ISNUMBER(FIND("住宅",C1)),"住宅","非住宅")</f>
        <v>非住宅</v>
      </c>
      <c r="O47" s="1882" t="s">
        <v>1036</v>
      </c>
      <c r="P47" s="1883" t="s">
        <v>1522</v>
      </c>
      <c r="Q47" s="1884">
        <f ca="1">C40+J29</f>
        <v>4058</v>
      </c>
      <c r="R47" s="1884" t="s">
        <v>1523</v>
      </c>
    </row>
    <row r="48" spans="1:18" s="1840" customFormat="1" ht="28.5" thickBot="1">
      <c r="A48" s="1358" t="s">
        <v>1131</v>
      </c>
      <c r="B48" s="344" t="s">
        <v>1395</v>
      </c>
      <c r="C48" s="1815">
        <f ca="1">C49+C53+C55</f>
        <v>0</v>
      </c>
      <c r="D48" s="1360"/>
      <c r="E48" s="1361"/>
      <c r="F48" s="1179"/>
      <c r="G48" s="790"/>
      <c r="H48" s="791"/>
      <c r="I48" s="1885" t="s">
        <v>1524</v>
      </c>
      <c r="J48" s="1886" t="s">
        <v>3185</v>
      </c>
      <c r="K48" s="1887" t="s">
        <v>1525</v>
      </c>
      <c r="L48" s="1888">
        <f ca="1">INDIRECT("'数据-取费表'!f"&amp;$G$1)</f>
        <v>36.5</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3021</v>
      </c>
      <c r="E49" s="1828" t="s">
        <v>1485</v>
      </c>
      <c r="F49" s="1279"/>
      <c r="G49" s="1889"/>
      <c r="H49" s="791"/>
      <c r="I49" s="1885" t="s">
        <v>1528</v>
      </c>
      <c r="J49" s="1890">
        <v>2014</v>
      </c>
      <c r="K49" s="1887" t="s">
        <v>1529</v>
      </c>
      <c r="L49" s="1891"/>
      <c r="O49" s="1892" t="s">
        <v>1038</v>
      </c>
      <c r="P49" s="1883" t="s">
        <v>1530</v>
      </c>
      <c r="Q49" s="1884">
        <f ca="1">C29</f>
        <v>554</v>
      </c>
      <c r="R49" s="1884" t="s">
        <v>1523</v>
      </c>
    </row>
    <row r="50" spans="1:18" s="1840" customFormat="1" ht="13.5" thickBot="1">
      <c r="A50" s="1193"/>
      <c r="B50" s="1196"/>
      <c r="C50" s="1366"/>
      <c r="D50" s="1170"/>
      <c r="E50" s="1275" t="s">
        <v>1400</v>
      </c>
      <c r="F50" s="1276">
        <f ca="1">F7</f>
        <v>1043.1300000000001</v>
      </c>
      <c r="H50" s="791"/>
      <c r="I50" s="1885" t="s">
        <v>1531</v>
      </c>
      <c r="J50" s="1893">
        <f>SUMPRODUCT((I63:I65=J47)*(J62:L62=J48)*(J63:L65))</f>
        <v>80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7">
        <f ca="1">F8</f>
        <v>365</v>
      </c>
      <c r="I51" s="1896" t="s">
        <v>1534</v>
      </c>
      <c r="J51" s="1897">
        <f>IF(J49="",J50,J49+J50-YEAR('数据-取费表'!B2))</f>
        <v>74</v>
      </c>
      <c r="K51" s="1898" t="s">
        <v>1535</v>
      </c>
      <c r="L51" s="1899">
        <f ca="1">ROUND(-PV(INDIRECT("'数据-取费表'!h"&amp;$G$1),L48,(C39-C13*C76),0),0)</f>
        <v>2404</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36.5</v>
      </c>
      <c r="R52" s="1884" t="s">
        <v>1540</v>
      </c>
    </row>
    <row r="53" spans="1:18" s="1840" customFormat="1" ht="24.75" thickBot="1">
      <c r="A53" s="1403" t="s">
        <v>1133</v>
      </c>
      <c r="B53" s="1829" t="s">
        <v>1403</v>
      </c>
      <c r="C53" s="360">
        <f ca="1">ROUND(IF(F53="押一",C49/12*F11,IF(F53="押二",C49/12*2*F11,IF(F53="押三",C49/12*3*F11,C54*F11))),0)</f>
        <v>0</v>
      </c>
      <c r="D53" s="1822" t="s">
        <v>3028</v>
      </c>
      <c r="E53" s="357" t="s">
        <v>1404</v>
      </c>
      <c r="F53" s="1364"/>
      <c r="I53" s="1903" t="s">
        <v>1541</v>
      </c>
      <c r="J53" s="2944">
        <f ca="1">IF(M47="住宅",IF(D1="——",MAX(J51,L48),MAX(J51,L48-'数据-取费表'!B24)),IF(D1="——",MIN(J51,L48),MIN(J51,L48-'数据-取费表'!B24)))</f>
        <v>36.5</v>
      </c>
      <c r="K53" s="3248" t="s">
        <v>1542</v>
      </c>
      <c r="L53" s="3249"/>
      <c r="O53" s="1882" t="s">
        <v>1042</v>
      </c>
      <c r="P53" s="1883" t="s">
        <v>1543</v>
      </c>
      <c r="Q53" s="1884">
        <f ca="1">Q47+Q48</f>
        <v>4058</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5">
        <f ca="1">C13</f>
        <v>499</v>
      </c>
      <c r="D56" s="1911"/>
      <c r="E56" s="1912"/>
      <c r="F56" s="1904"/>
      <c r="I56" s="1913" t="s">
        <v>1548</v>
      </c>
      <c r="J56" s="1914" t="s">
        <v>3058</v>
      </c>
      <c r="K56" s="1885" t="s">
        <v>1549</v>
      </c>
      <c r="L56" s="1888" t="str">
        <f ca="1">IF(L48&lt;J51,"——",L48-J53)</f>
        <v>——</v>
      </c>
      <c r="O56" s="1882" t="s">
        <v>1036</v>
      </c>
      <c r="P56" s="1883" t="s">
        <v>1522</v>
      </c>
      <c r="Q56" s="1884">
        <f ca="1">C40+J29</f>
        <v>4058</v>
      </c>
      <c r="R56" s="1884" t="s">
        <v>1523</v>
      </c>
    </row>
    <row r="57" spans="1:18" s="1840" customFormat="1" ht="24.75" thickBot="1">
      <c r="A57" s="1915"/>
      <c r="B57" s="1167" t="s">
        <v>1472</v>
      </c>
      <c r="C57" s="281">
        <f ca="1">C29</f>
        <v>554</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59" t="s">
        <v>1026</v>
      </c>
      <c r="B58" s="1175" t="s">
        <v>1418</v>
      </c>
      <c r="C58" s="360">
        <f ca="1">ROUND(C59+C64+C65+C66,0)</f>
        <v>57</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3">
        <f ca="1">ROUND(IF(项目基本情况!B11="自然人",C48*F59,C60+C61+C62),1)</f>
        <v>48.2</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3">
        <f ca="1">IF(项目基本情况!B11="自然人","——",ROUND(C48*F60/(1+'数据-取费表'!C42),2))</f>
        <v>0</v>
      </c>
      <c r="D60" s="1181" t="s">
        <v>1428</v>
      </c>
      <c r="E60" s="1167" t="s">
        <v>1416</v>
      </c>
      <c r="F60" s="376">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3">
        <f ca="1">IF(项目基本情况!B11="自然人","——",IF(D61="按租金收入计税",ROUND(C48*F61,2),IF(D61="按房产原值计税",ROUND(C57*F61*0.7,2),INDIRECT("'数据-取费表'!Aj"&amp;$G$1))))</f>
        <v>46.54</v>
      </c>
      <c r="D61" s="1826" t="s">
        <v>1432</v>
      </c>
      <c r="E61" s="1167" t="s">
        <v>1488</v>
      </c>
      <c r="F61" s="366">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4">
        <f ca="1">IF(项目基本情况!B11="自然人","——",ROUND(F62*F63/10000,2))</f>
        <v>1.65</v>
      </c>
      <c r="D62" s="1182" t="s">
        <v>1491</v>
      </c>
      <c r="E62" s="1167" t="s">
        <v>1492</v>
      </c>
      <c r="F62" s="370">
        <f t="shared" si="0"/>
        <v>18</v>
      </c>
      <c r="I62" s="1926" t="s">
        <v>1564</v>
      </c>
      <c r="J62" s="1927" t="s">
        <v>1565</v>
      </c>
      <c r="K62" s="1927" t="s">
        <v>1566</v>
      </c>
      <c r="L62" s="1927" t="s">
        <v>1567</v>
      </c>
      <c r="M62" s="1928" t="s">
        <v>1568</v>
      </c>
      <c r="O62" s="1882" t="s">
        <v>1042</v>
      </c>
      <c r="P62" s="1883" t="s">
        <v>1569</v>
      </c>
      <c r="Q62" s="1884">
        <f ca="1">Q56+Q57</f>
        <v>4058</v>
      </c>
      <c r="R62" s="1884" t="s">
        <v>1043</v>
      </c>
    </row>
    <row r="63" spans="1:18" s="1840" customFormat="1" ht="13.5" thickBot="1">
      <c r="A63" s="371"/>
      <c r="B63" s="1173"/>
      <c r="C63" s="28"/>
      <c r="D63" s="1183"/>
      <c r="E63" s="1167" t="s">
        <v>1493</v>
      </c>
      <c r="F63" s="347">
        <f t="shared" ca="1" si="0"/>
        <v>917.47</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3">
        <f ca="1">ROUND(C57*F64,1)</f>
        <v>8.3000000000000007</v>
      </c>
      <c r="D64" s="1181" t="s">
        <v>1496</v>
      </c>
      <c r="E64" s="1167" t="s">
        <v>1488</v>
      </c>
      <c r="F64" s="373">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3">
        <f ca="1">ROUND(C56*F65,1)</f>
        <v>0.7</v>
      </c>
      <c r="D65" s="1181" t="s">
        <v>1448</v>
      </c>
      <c r="E65" s="1167" t="s">
        <v>1449</v>
      </c>
      <c r="F65" s="375">
        <f t="shared" ca="1" si="0"/>
        <v>1.5E-3</v>
      </c>
      <c r="I65" s="1926" t="s">
        <v>1573</v>
      </c>
      <c r="J65" s="1927">
        <v>40</v>
      </c>
      <c r="K65" s="1927">
        <v>30</v>
      </c>
      <c r="L65" s="1927">
        <v>50</v>
      </c>
      <c r="M65" s="1929">
        <v>0.02</v>
      </c>
      <c r="O65" s="1882" t="s">
        <v>1036</v>
      </c>
      <c r="P65" s="1883" t="s">
        <v>1574</v>
      </c>
      <c r="Q65" s="1884">
        <f ca="1">C40+J29</f>
        <v>4058</v>
      </c>
      <c r="R65" s="1884" t="s">
        <v>1523</v>
      </c>
    </row>
    <row r="66" spans="1:18" s="1840" customFormat="1" ht="16.5" thickBot="1">
      <c r="A66" s="1199" t="s">
        <v>1498</v>
      </c>
      <c r="B66" s="1167" t="s">
        <v>1433</v>
      </c>
      <c r="C66" s="23">
        <f ca="1">ROUND(C48*F66,1)</f>
        <v>0</v>
      </c>
      <c r="D66" s="1181" t="s">
        <v>1499</v>
      </c>
      <c r="E66" s="1167" t="s">
        <v>1416</v>
      </c>
      <c r="F66" s="356">
        <f t="shared" ca="1" si="0"/>
        <v>0.01</v>
      </c>
      <c r="O66" s="1882" t="s">
        <v>1037</v>
      </c>
      <c r="P66" s="1883" t="s">
        <v>1552</v>
      </c>
      <c r="Q66" s="1884">
        <f ca="1">L60</f>
        <v>0</v>
      </c>
      <c r="R66" s="1884" t="s">
        <v>1575</v>
      </c>
    </row>
    <row r="67" spans="1:18" s="1840" customFormat="1" ht="16.5" thickBot="1">
      <c r="A67" s="1174" t="s">
        <v>1027</v>
      </c>
      <c r="B67" s="1184" t="s">
        <v>1457</v>
      </c>
      <c r="C67" s="360">
        <f ca="1">C48-C58</f>
        <v>-57</v>
      </c>
      <c r="D67" s="1180" t="s">
        <v>1458</v>
      </c>
      <c r="E67" s="1185"/>
      <c r="F67" s="1186"/>
      <c r="O67" s="1892" t="s">
        <v>1038</v>
      </c>
      <c r="P67" s="1883" t="s">
        <v>1556</v>
      </c>
      <c r="Q67" s="1930">
        <f ca="1">L51</f>
        <v>2404</v>
      </c>
      <c r="R67" s="1884" t="s">
        <v>1576</v>
      </c>
    </row>
    <row r="68" spans="1:18" s="1840" customFormat="1" ht="16.5" thickBot="1">
      <c r="A68" s="1164" t="s">
        <v>1028</v>
      </c>
      <c r="B68" s="1165" t="s">
        <v>1479</v>
      </c>
      <c r="C68" s="345">
        <f ca="1">ROUND(C67*(1-((1+F70)/(1+F68))^F69)/(F68-F70),0)</f>
        <v>-890</v>
      </c>
      <c r="D68" s="1182" t="s">
        <v>1463</v>
      </c>
      <c r="E68" s="1167" t="s">
        <v>1464</v>
      </c>
      <c r="F68" s="356">
        <f ca="1">F40</f>
        <v>5.5E-2</v>
      </c>
      <c r="O68" s="1892" t="s">
        <v>1039</v>
      </c>
      <c r="P68" s="1931" t="s">
        <v>1577</v>
      </c>
      <c r="Q68" s="1884">
        <f ca="1">ROUND(Q69-Q70*Q71,0)</f>
        <v>145</v>
      </c>
      <c r="R68" s="1884" t="s">
        <v>1047</v>
      </c>
    </row>
    <row r="69" spans="1:18" s="1840" customFormat="1" ht="13.5" thickBot="1">
      <c r="A69" s="1168"/>
      <c r="B69" s="1169"/>
      <c r="C69" s="350"/>
      <c r="D69" s="1187" t="s">
        <v>1467</v>
      </c>
      <c r="E69" s="1167" t="s">
        <v>1468</v>
      </c>
      <c r="F69" s="378">
        <f ca="1">F41</f>
        <v>36.5</v>
      </c>
      <c r="O69" s="1892" t="s">
        <v>1044</v>
      </c>
      <c r="P69" s="1931" t="s">
        <v>1578</v>
      </c>
      <c r="Q69" s="1884">
        <f ca="1">C39</f>
        <v>187</v>
      </c>
      <c r="R69" s="1884" t="s">
        <v>1523</v>
      </c>
    </row>
    <row r="70" spans="1:18" s="1840" customFormat="1" ht="13.5" thickBot="1">
      <c r="A70" s="1171"/>
      <c r="B70" s="1172"/>
      <c r="C70" s="354"/>
      <c r="D70" s="1183"/>
      <c r="E70" s="1167" t="s">
        <v>1471</v>
      </c>
      <c r="F70" s="1273"/>
      <c r="O70" s="1892" t="s">
        <v>1045</v>
      </c>
      <c r="P70" s="1931" t="s">
        <v>1579</v>
      </c>
      <c r="Q70" s="1884">
        <f ca="1">C13</f>
        <v>499</v>
      </c>
      <c r="R70" s="1884" t="s">
        <v>1523</v>
      </c>
    </row>
    <row r="71" spans="1:18" s="1840" customFormat="1" ht="13.5" thickBot="1">
      <c r="A71" s="1188" t="s">
        <v>1029</v>
      </c>
      <c r="B71" s="1189" t="s">
        <v>1481</v>
      </c>
      <c r="C71" s="381">
        <f ca="1">ROUND(C68*10000/F71,0)</f>
        <v>-8532</v>
      </c>
      <c r="D71" s="1190" t="s">
        <v>1482</v>
      </c>
      <c r="E71" s="1191" t="s">
        <v>1483</v>
      </c>
      <c r="F71" s="384">
        <f ca="1">F43</f>
        <v>1043.1300000000001</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6"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5" t="s">
        <v>1500</v>
      </c>
      <c r="C75" s="386">
        <f ca="1">ROUND(C13*C76,0)</f>
        <v>42</v>
      </c>
      <c r="D75" s="1840"/>
      <c r="E75" s="1840"/>
      <c r="F75" s="1840"/>
      <c r="K75" s="1866"/>
      <c r="L75" s="1840"/>
      <c r="O75" s="1882" t="s">
        <v>1042</v>
      </c>
      <c r="P75" s="1883" t="s">
        <v>1543</v>
      </c>
      <c r="Q75" s="1884">
        <f ca="1">Q65+Q66</f>
        <v>4058</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f ca="1">1-C80</f>
        <v>0.77500000000000002</v>
      </c>
    </row>
    <row r="80" spans="1:18">
      <c r="B80" s="385" t="s">
        <v>1505</v>
      </c>
      <c r="C80" s="317">
        <f ca="1">ROUND(C75/C39,3)</f>
        <v>0.22500000000000001</v>
      </c>
    </row>
    <row r="81" spans="2:3">
      <c r="B81" s="313" t="s">
        <v>1506</v>
      </c>
      <c r="C81" s="281"/>
    </row>
    <row r="82" spans="2:3">
      <c r="B82" s="316" t="s">
        <v>1507</v>
      </c>
      <c r="C82" s="318">
        <f ca="1">1-C83</f>
        <v>0.877</v>
      </c>
    </row>
    <row r="83" spans="2:3">
      <c r="B83" s="316" t="s">
        <v>1508</v>
      </c>
      <c r="C83" s="317">
        <f ca="1">ROUND(C13/C40,3)</f>
        <v>0.123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2" priority="56">
      <formula>$L$48&gt;$J$51</formula>
    </cfRule>
  </conditionalFormatting>
  <conditionalFormatting sqref="I55 I60">
    <cfRule type="expression" dxfId="91" priority="57">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13" zoomScale="80" zoomScaleNormal="80" workbookViewId="0">
      <selection activeCell="J44" sqref="J4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3" t="s">
        <v>2678</v>
      </c>
      <c r="C1" s="1618" t="s">
        <v>2522</v>
      </c>
      <c r="D1" s="1619" t="s">
        <v>27</v>
      </c>
      <c r="E1" s="1628"/>
      <c r="F1" s="2580" t="s">
        <v>3235</v>
      </c>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f>IF(C2="——",ROUND(C50*D3/10000,0),ROUND(C50*D3/10000,0)-D2)</f>
        <v>4566</v>
      </c>
      <c r="C2" s="2582" t="s">
        <v>70</v>
      </c>
      <c r="D2" s="1363" t="e">
        <f ca="1">SUMIF(INDIRECT("'"&amp;F2&amp;"'"&amp;"!A:A"),"承租人权益价值",INDIRECT("'"&amp;F2&amp;"'"&amp;"!c:c"))</f>
        <v>#REF!</v>
      </c>
      <c r="E2" s="2583" t="s">
        <v>2320</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f>IF(C2="——",C50,ROUND(B2*10000/D3,0))</f>
        <v>43770</v>
      </c>
      <c r="C3" s="399" t="s">
        <v>2636</v>
      </c>
      <c r="D3" s="398">
        <f>IF(D1="",'数据-汇总表'!E3,SUMIF('数据-汇总表'!$C19:$C33,D1,'数据-汇总表'!$E19:$E33))</f>
        <v>1043.1300000000001</v>
      </c>
      <c r="E3" s="2657"/>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2637</v>
      </c>
      <c r="B4" s="401"/>
      <c r="C4" s="3290" t="s">
        <v>2638</v>
      </c>
      <c r="D4" s="3291"/>
      <c r="E4" s="3292" t="s">
        <v>2639</v>
      </c>
      <c r="F4" s="3293"/>
      <c r="G4" s="3290" t="s">
        <v>2640</v>
      </c>
      <c r="H4" s="3291"/>
      <c r="I4" s="3290" t="s">
        <v>2641</v>
      </c>
      <c r="J4" s="3291"/>
      <c r="K4" s="609" t="s">
        <v>2642</v>
      </c>
      <c r="L4" s="1128"/>
      <c r="M4" s="1129"/>
      <c r="N4" s="1129"/>
      <c r="O4" s="1129"/>
      <c r="P4" s="3330" t="s">
        <v>2643</v>
      </c>
      <c r="Q4" s="3331"/>
      <c r="R4" s="3325" t="s">
        <v>2639</v>
      </c>
      <c r="S4" s="3326"/>
      <c r="T4" s="3325" t="s">
        <v>2640</v>
      </c>
      <c r="U4" s="3326"/>
      <c r="V4" s="3334" t="s">
        <v>2641</v>
      </c>
      <c r="W4" s="3334"/>
      <c r="X4" s="2664"/>
      <c r="Y4" s="3325" t="s">
        <v>2643</v>
      </c>
      <c r="Z4" s="3326"/>
      <c r="AA4" s="3324" t="s">
        <v>2639</v>
      </c>
      <c r="AB4" s="3324" t="s">
        <v>2640</v>
      </c>
      <c r="AC4" s="3327" t="s">
        <v>2641</v>
      </c>
    </row>
    <row r="5" spans="1:29" ht="15">
      <c r="A5" s="403"/>
      <c r="B5" s="404"/>
      <c r="C5" s="3319" t="s">
        <v>2534</v>
      </c>
      <c r="D5" s="3284"/>
      <c r="E5" s="3281" t="s">
        <v>3357</v>
      </c>
      <c r="F5" s="3282"/>
      <c r="G5" s="3283" t="s">
        <v>3388</v>
      </c>
      <c r="H5" s="3284"/>
      <c r="I5" s="3283" t="s">
        <v>3389</v>
      </c>
      <c r="J5" s="3284"/>
      <c r="K5" s="609"/>
      <c r="L5" s="1128"/>
      <c r="M5" s="1129"/>
      <c r="N5" s="1129"/>
      <c r="O5" s="1129"/>
      <c r="P5" s="3332"/>
      <c r="Q5" s="3297"/>
      <c r="R5" s="3279"/>
      <c r="S5" s="3280"/>
      <c r="T5" s="3279"/>
      <c r="U5" s="3280"/>
      <c r="V5" s="3302"/>
      <c r="W5" s="3302"/>
      <c r="X5" s="1811"/>
      <c r="Y5" s="3279"/>
      <c r="Z5" s="3280"/>
      <c r="AA5" s="3273"/>
      <c r="AB5" s="3273"/>
      <c r="AC5" s="3328"/>
    </row>
    <row r="6" spans="1:29" ht="15.75" thickBot="1">
      <c r="A6" s="405"/>
      <c r="B6" s="406"/>
      <c r="C6" s="3285" t="s">
        <v>2538</v>
      </c>
      <c r="D6" s="3286"/>
      <c r="E6" s="3287" t="s">
        <v>2538</v>
      </c>
      <c r="F6" s="3288"/>
      <c r="G6" s="3285" t="s">
        <v>2538</v>
      </c>
      <c r="H6" s="3286"/>
      <c r="I6" s="3285" t="s">
        <v>2538</v>
      </c>
      <c r="J6" s="3286"/>
      <c r="K6" s="609" t="s">
        <v>2539</v>
      </c>
      <c r="L6" s="1128"/>
      <c r="M6" s="1129"/>
      <c r="N6" s="1129"/>
      <c r="O6" s="1129"/>
      <c r="P6" s="3333"/>
      <c r="Q6" s="3299"/>
      <c r="R6" s="3279"/>
      <c r="S6" s="3280"/>
      <c r="T6" s="3300"/>
      <c r="U6" s="3301"/>
      <c r="V6" s="3302"/>
      <c r="W6" s="3302"/>
      <c r="X6" s="1811"/>
      <c r="Y6" s="3300"/>
      <c r="Z6" s="3301"/>
      <c r="AA6" s="3274"/>
      <c r="AB6" s="3274"/>
      <c r="AC6" s="3329"/>
    </row>
    <row r="7" spans="1:29" s="116" customFormat="1" ht="15.75" thickBot="1">
      <c r="A7" s="407" t="s">
        <v>2540</v>
      </c>
      <c r="B7" s="408"/>
      <c r="C7" s="409">
        <f>'数据-取费表'!B2</f>
        <v>43969</v>
      </c>
      <c r="D7" s="410">
        <v>100</v>
      </c>
      <c r="E7" s="411">
        <f>C7</f>
        <v>43969</v>
      </c>
      <c r="F7" s="412">
        <f>SUMIF(59:59,YEAR(E7)&amp;"-"&amp;MONTH(E7),60:60)</f>
        <v>100</v>
      </c>
      <c r="G7" s="411">
        <f>E7</f>
        <v>43969</v>
      </c>
      <c r="H7" s="410">
        <f>SUMIF(59:59,YEAR(G7)&amp;"-"&amp;MONTH(G7),60:60)</f>
        <v>100</v>
      </c>
      <c r="I7" s="411">
        <f>G7</f>
        <v>43969</v>
      </c>
      <c r="J7" s="410">
        <f>SUMIF(59:59,YEAR(I7)&amp;"-"&amp;MONTH(I7),60:60)</f>
        <v>100</v>
      </c>
      <c r="K7" s="610"/>
      <c r="L7" s="1130"/>
      <c r="M7" s="1131"/>
      <c r="N7" s="1131"/>
      <c r="O7" s="1131"/>
      <c r="P7" s="3335" t="s">
        <v>2541</v>
      </c>
      <c r="Q7" s="3303"/>
      <c r="R7" s="768" t="s">
        <v>17</v>
      </c>
      <c r="S7" s="769">
        <f t="shared" ref="S7:S15" si="0">F7</f>
        <v>100</v>
      </c>
      <c r="T7" s="768" t="s">
        <v>17</v>
      </c>
      <c r="U7" s="769">
        <f t="shared" ref="U7:U15" si="1">H7</f>
        <v>100</v>
      </c>
      <c r="V7" s="768" t="s">
        <v>17</v>
      </c>
      <c r="W7" s="769">
        <f t="shared" ref="W7:W15" si="2">J7</f>
        <v>100</v>
      </c>
      <c r="X7" s="770"/>
      <c r="Y7" s="3275" t="s">
        <v>2541</v>
      </c>
      <c r="Z7" s="3276"/>
      <c r="AA7" s="771">
        <f>D7/F7</f>
        <v>1</v>
      </c>
      <c r="AB7" s="771">
        <f>D7/H7</f>
        <v>1</v>
      </c>
      <c r="AC7" s="2665">
        <f>D7/J7</f>
        <v>1</v>
      </c>
    </row>
    <row r="8" spans="1:29" s="116" customFormat="1" ht="15.75" thickBot="1">
      <c r="A8" s="407" t="s">
        <v>2542</v>
      </c>
      <c r="B8" s="408"/>
      <c r="C8" s="413" t="s">
        <v>2644</v>
      </c>
      <c r="D8" s="410">
        <v>100</v>
      </c>
      <c r="E8" s="413" t="s">
        <v>2579</v>
      </c>
      <c r="F8" s="412">
        <f>SUMIF(62:62,E8,63:63)-SUMIF(62:62,C8,63:63)+100</f>
        <v>100</v>
      </c>
      <c r="G8" s="413" t="s">
        <v>2579</v>
      </c>
      <c r="H8" s="410">
        <f>SUMIF(62:62,G8,63:63)-SUMIF(62:62,C8,63:63)+100</f>
        <v>100</v>
      </c>
      <c r="I8" s="413" t="s">
        <v>2579</v>
      </c>
      <c r="J8" s="410">
        <f>SUMIF(62:62,I8,63:63)-SUMIF(62:62,C8,63:63)+100</f>
        <v>100</v>
      </c>
      <c r="K8" s="610"/>
      <c r="L8" s="1130"/>
      <c r="M8" s="1131"/>
      <c r="N8" s="1131"/>
      <c r="O8" s="1131"/>
      <c r="P8" s="3335" t="s">
        <v>2544</v>
      </c>
      <c r="Q8" s="3276"/>
      <c r="R8" s="768" t="s">
        <v>17</v>
      </c>
      <c r="S8" s="769">
        <f t="shared" si="0"/>
        <v>100</v>
      </c>
      <c r="T8" s="768" t="s">
        <v>17</v>
      </c>
      <c r="U8" s="769">
        <f t="shared" si="1"/>
        <v>100</v>
      </c>
      <c r="V8" s="768" t="s">
        <v>17</v>
      </c>
      <c r="W8" s="769">
        <f t="shared" si="2"/>
        <v>100</v>
      </c>
      <c r="X8" s="770"/>
      <c r="Y8" s="3275" t="s">
        <v>2544</v>
      </c>
      <c r="Z8" s="3276"/>
      <c r="AA8" s="771">
        <f t="shared" ref="AA8:AA47" si="3">D8/F8</f>
        <v>1</v>
      </c>
      <c r="AB8" s="771">
        <f t="shared" ref="AB8:AB47" si="4">D8/H8</f>
        <v>1</v>
      </c>
      <c r="AC8" s="2665">
        <f t="shared" ref="AC8:AC47" si="5">D8/J8</f>
        <v>1</v>
      </c>
    </row>
    <row r="9" spans="1:29" s="116" customFormat="1">
      <c r="A9" s="414" t="s">
        <v>2545</v>
      </c>
      <c r="B9" s="70" t="s">
        <v>2546</v>
      </c>
      <c r="C9" s="2972" t="s">
        <v>3385</v>
      </c>
      <c r="D9" s="134">
        <v>100</v>
      </c>
      <c r="E9" s="418" t="s">
        <v>27</v>
      </c>
      <c r="F9" s="134">
        <f>SUMIF(64:64,E9,65:65)-SUMIF(64:64,C9,65:65)+100</f>
        <v>100</v>
      </c>
      <c r="G9" s="418" t="s">
        <v>27</v>
      </c>
      <c r="H9" s="134">
        <f>SUMIF(64:64,G9,65:65)-SUMIF(64:64,C9,65:65)+100</f>
        <v>100</v>
      </c>
      <c r="I9" s="418" t="s">
        <v>27</v>
      </c>
      <c r="J9" s="134">
        <f>SUMIF(64:64,I9,65:65)-SUMIF(64:64,C9,65:65)+100</f>
        <v>100</v>
      </c>
      <c r="K9" s="610"/>
      <c r="L9" s="1130"/>
      <c r="M9" s="1131"/>
      <c r="N9" s="1131"/>
      <c r="O9" s="1131"/>
      <c r="P9" s="3289" t="s">
        <v>2547</v>
      </c>
      <c r="Q9" s="1793" t="str">
        <f t="shared" ref="Q9:Q15" si="6">B9</f>
        <v>用途</v>
      </c>
      <c r="R9" s="768" t="s">
        <v>17</v>
      </c>
      <c r="S9" s="769">
        <f t="shared" si="0"/>
        <v>100</v>
      </c>
      <c r="T9" s="768" t="s">
        <v>17</v>
      </c>
      <c r="U9" s="769">
        <f t="shared" si="1"/>
        <v>100</v>
      </c>
      <c r="V9" s="768" t="s">
        <v>17</v>
      </c>
      <c r="W9" s="769">
        <f t="shared" si="2"/>
        <v>100</v>
      </c>
      <c r="X9" s="770"/>
      <c r="Y9" s="3099" t="s">
        <v>2548</v>
      </c>
      <c r="Z9" s="54" t="str">
        <f t="shared" ref="Z9:Z15" si="7">Q9</f>
        <v>用途</v>
      </c>
      <c r="AA9" s="771">
        <f t="shared" si="3"/>
        <v>1</v>
      </c>
      <c r="AB9" s="771">
        <f t="shared" si="4"/>
        <v>1</v>
      </c>
      <c r="AC9" s="2665">
        <f t="shared" si="5"/>
        <v>1</v>
      </c>
    </row>
    <row r="10" spans="1:29" s="426" customFormat="1" ht="27">
      <c r="A10" s="420"/>
      <c r="B10" s="421" t="s">
        <v>2549</v>
      </c>
      <c r="C10" s="422" t="s">
        <v>3236</v>
      </c>
      <c r="D10" s="135">
        <v>100</v>
      </c>
      <c r="E10" s="422" t="s">
        <v>3236</v>
      </c>
      <c r="F10" s="135">
        <f>SUMIF(66:66,E10,67:67)-SUMIF(66:66,C10,67:67)+100</f>
        <v>100</v>
      </c>
      <c r="G10" s="422" t="s">
        <v>3236</v>
      </c>
      <c r="H10" s="135">
        <f>SUMIF(66:66,G10,67:67)-SUMIF(66:66,C10,67:67)+100</f>
        <v>100</v>
      </c>
      <c r="I10" s="422" t="s">
        <v>3236</v>
      </c>
      <c r="J10" s="135">
        <f>SUMIF(66:66,I10,67:67)-SUMIF(66:66,C10,67:67)+100</f>
        <v>100</v>
      </c>
      <c r="K10" s="611">
        <v>1</v>
      </c>
      <c r="L10" s="1133"/>
      <c r="M10" s="1134"/>
      <c r="N10" s="1134"/>
      <c r="O10" s="1134"/>
      <c r="P10" s="3289"/>
      <c r="Q10" s="1793" t="str">
        <f t="shared" si="6"/>
        <v>土地使用年限（年）</v>
      </c>
      <c r="R10" s="768" t="s">
        <v>17</v>
      </c>
      <c r="S10" s="769">
        <f t="shared" si="0"/>
        <v>100</v>
      </c>
      <c r="T10" s="768" t="s">
        <v>17</v>
      </c>
      <c r="U10" s="769">
        <f t="shared" si="1"/>
        <v>100</v>
      </c>
      <c r="V10" s="768" t="s">
        <v>17</v>
      </c>
      <c r="W10" s="769">
        <f t="shared" si="2"/>
        <v>100</v>
      </c>
      <c r="X10" s="770"/>
      <c r="Y10" s="3099"/>
      <c r="Z10" s="54" t="str">
        <f t="shared" si="7"/>
        <v>土地使用年限（年）</v>
      </c>
      <c r="AA10" s="771">
        <f t="shared" si="3"/>
        <v>1</v>
      </c>
      <c r="AB10" s="771">
        <f t="shared" si="4"/>
        <v>1</v>
      </c>
      <c r="AC10" s="2665">
        <f t="shared" si="5"/>
        <v>1</v>
      </c>
    </row>
    <row r="11" spans="1:29" ht="15">
      <c r="A11" s="427"/>
      <c r="B11" s="421" t="s">
        <v>2550</v>
      </c>
      <c r="C11" s="428">
        <v>2.2000000000000002</v>
      </c>
      <c r="D11" s="135">
        <v>100</v>
      </c>
      <c r="E11" s="428">
        <v>2.2000000000000002</v>
      </c>
      <c r="F11" s="135">
        <f>LOOKUP(E11,69:69,70:70)-LOOKUP(C11,69:69,70:70)+100</f>
        <v>100</v>
      </c>
      <c r="G11" s="428">
        <v>2.2000000000000002</v>
      </c>
      <c r="H11" s="135">
        <f>LOOKUP(G11,69:69,70:70)-LOOKUP(C11,69:69,70:70)+100</f>
        <v>100</v>
      </c>
      <c r="I11" s="428">
        <v>2.2000000000000002</v>
      </c>
      <c r="J11" s="135">
        <f>LOOKUP(I11,69:69,70:70)-LOOKUP(C11,69:69,70:70)+100</f>
        <v>100</v>
      </c>
      <c r="K11" s="611">
        <v>1</v>
      </c>
      <c r="L11" s="1136"/>
      <c r="M11" s="1129"/>
      <c r="N11" s="1129"/>
      <c r="O11" s="1129"/>
      <c r="P11" s="3289"/>
      <c r="Q11" s="1793" t="str">
        <f t="shared" si="6"/>
        <v>容积率</v>
      </c>
      <c r="R11" s="768" t="s">
        <v>17</v>
      </c>
      <c r="S11" s="769">
        <f t="shared" si="0"/>
        <v>100</v>
      </c>
      <c r="T11" s="768" t="s">
        <v>17</v>
      </c>
      <c r="U11" s="769">
        <f t="shared" si="1"/>
        <v>100</v>
      </c>
      <c r="V11" s="768" t="s">
        <v>17</v>
      </c>
      <c r="W11" s="769">
        <f t="shared" si="2"/>
        <v>100</v>
      </c>
      <c r="X11" s="770"/>
      <c r="Y11" s="3099"/>
      <c r="Z11" s="54" t="str">
        <f t="shared" si="7"/>
        <v>容积率</v>
      </c>
      <c r="AA11" s="771">
        <f t="shared" si="3"/>
        <v>1</v>
      </c>
      <c r="AB11" s="771">
        <f t="shared" si="4"/>
        <v>1</v>
      </c>
      <c r="AC11" s="2665">
        <f t="shared" si="5"/>
        <v>1</v>
      </c>
    </row>
    <row r="12" spans="1:29" s="116" customFormat="1" ht="15">
      <c r="A12" s="430"/>
      <c r="B12" s="2596">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289"/>
      <c r="Q12" s="1793">
        <f t="shared" si="6"/>
        <v>111</v>
      </c>
      <c r="R12" s="768" t="s">
        <v>17</v>
      </c>
      <c r="S12" s="769">
        <f t="shared" si="0"/>
        <v>100</v>
      </c>
      <c r="T12" s="768" t="s">
        <v>17</v>
      </c>
      <c r="U12" s="769">
        <f t="shared" si="1"/>
        <v>100</v>
      </c>
      <c r="V12" s="768" t="s">
        <v>17</v>
      </c>
      <c r="W12" s="769">
        <f t="shared" si="2"/>
        <v>100</v>
      </c>
      <c r="X12" s="770"/>
      <c r="Y12" s="3099"/>
      <c r="Z12" s="54">
        <f t="shared" si="7"/>
        <v>111</v>
      </c>
      <c r="AA12" s="771">
        <f>D12/F12</f>
        <v>1</v>
      </c>
      <c r="AB12" s="771">
        <f>D12/H12</f>
        <v>1</v>
      </c>
      <c r="AC12" s="2665">
        <f>D12/J12</f>
        <v>1</v>
      </c>
    </row>
    <row r="13" spans="1:29" ht="15">
      <c r="A13" s="427"/>
      <c r="B13" s="2596">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289"/>
      <c r="Q13" s="1793">
        <f t="shared" si="6"/>
        <v>111</v>
      </c>
      <c r="R13" s="768" t="s">
        <v>17</v>
      </c>
      <c r="S13" s="769">
        <f t="shared" si="0"/>
        <v>100</v>
      </c>
      <c r="T13" s="768" t="s">
        <v>17</v>
      </c>
      <c r="U13" s="769">
        <f t="shared" si="1"/>
        <v>100</v>
      </c>
      <c r="V13" s="768" t="s">
        <v>17</v>
      </c>
      <c r="W13" s="769">
        <f t="shared" si="2"/>
        <v>100</v>
      </c>
      <c r="X13" s="770"/>
      <c r="Y13" s="3099"/>
      <c r="Z13" s="54">
        <f t="shared" si="7"/>
        <v>111</v>
      </c>
      <c r="AA13" s="771">
        <f t="shared" si="3"/>
        <v>1</v>
      </c>
      <c r="AB13" s="771">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289"/>
      <c r="Q14" s="1793">
        <f t="shared" si="6"/>
        <v>111</v>
      </c>
      <c r="R14" s="768" t="s">
        <v>17</v>
      </c>
      <c r="S14" s="769">
        <f t="shared" si="0"/>
        <v>100</v>
      </c>
      <c r="T14" s="768" t="s">
        <v>17</v>
      </c>
      <c r="U14" s="769">
        <f t="shared" si="1"/>
        <v>100</v>
      </c>
      <c r="V14" s="768" t="s">
        <v>17</v>
      </c>
      <c r="W14" s="769">
        <f t="shared" si="2"/>
        <v>100</v>
      </c>
      <c r="X14" s="770"/>
      <c r="Y14" s="3099"/>
      <c r="Z14" s="54">
        <f t="shared" si="7"/>
        <v>111</v>
      </c>
      <c r="AA14" s="771">
        <f t="shared" si="3"/>
        <v>1</v>
      </c>
      <c r="AB14" s="771">
        <f t="shared" si="4"/>
        <v>1</v>
      </c>
      <c r="AC14" s="2665">
        <f t="shared" si="5"/>
        <v>1</v>
      </c>
    </row>
    <row r="15" spans="1:29" ht="15">
      <c r="A15" s="439" t="s">
        <v>2551</v>
      </c>
      <c r="B15" s="628" t="s">
        <v>2679</v>
      </c>
      <c r="C15" s="2667"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316" t="s">
        <v>2552</v>
      </c>
      <c r="Q15" s="1808" t="str">
        <f t="shared" si="6"/>
        <v>办公集聚程度</v>
      </c>
      <c r="R15" s="772" t="s">
        <v>17</v>
      </c>
      <c r="S15" s="773">
        <f t="shared" si="0"/>
        <v>100</v>
      </c>
      <c r="T15" s="772" t="s">
        <v>17</v>
      </c>
      <c r="U15" s="773">
        <f t="shared" si="1"/>
        <v>100</v>
      </c>
      <c r="V15" s="772" t="s">
        <v>17</v>
      </c>
      <c r="W15" s="773">
        <f t="shared" si="2"/>
        <v>100</v>
      </c>
      <c r="X15" s="1811"/>
      <c r="Y15" s="3309" t="s">
        <v>2552</v>
      </c>
      <c r="Z15" s="1812" t="str">
        <f t="shared" si="7"/>
        <v>办公集聚程度</v>
      </c>
      <c r="AA15" s="1809">
        <f t="shared" si="3"/>
        <v>1</v>
      </c>
      <c r="AB15" s="1809">
        <f t="shared" si="4"/>
        <v>1</v>
      </c>
      <c r="AC15" s="2668">
        <f t="shared" si="5"/>
        <v>1</v>
      </c>
    </row>
    <row r="16" spans="1:29" ht="15">
      <c r="A16" s="427"/>
      <c r="B16" s="629"/>
      <c r="C16" s="2600" t="s">
        <v>3173</v>
      </c>
      <c r="D16" s="447"/>
      <c r="E16" s="2600" t="s">
        <v>3173</v>
      </c>
      <c r="F16" s="447"/>
      <c r="G16" s="2600" t="s">
        <v>3173</v>
      </c>
      <c r="H16" s="449"/>
      <c r="I16" s="2600" t="s">
        <v>3173</v>
      </c>
      <c r="J16" s="447"/>
      <c r="K16" s="614"/>
      <c r="L16" s="1138"/>
      <c r="M16" s="1129"/>
      <c r="N16" s="1129"/>
      <c r="O16" s="1129"/>
      <c r="P16" s="3317"/>
      <c r="Q16" s="1808"/>
      <c r="R16" s="772"/>
      <c r="S16" s="773"/>
      <c r="T16" s="772"/>
      <c r="U16" s="773"/>
      <c r="V16" s="772"/>
      <c r="W16" s="773"/>
      <c r="X16" s="1811"/>
      <c r="Y16" s="3310"/>
      <c r="Z16" s="1812"/>
      <c r="AA16" s="1809">
        <v>1</v>
      </c>
      <c r="AB16" s="1809">
        <v>1</v>
      </c>
      <c r="AC16" s="2668">
        <v>1</v>
      </c>
    </row>
    <row r="17" spans="1:29" ht="15">
      <c r="A17" s="427"/>
      <c r="B17" s="630" t="s">
        <v>2089</v>
      </c>
      <c r="C17" s="2669"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317"/>
      <c r="Q17" s="1808" t="str">
        <f>B17</f>
        <v>交通便捷度</v>
      </c>
      <c r="R17" s="772" t="s">
        <v>17</v>
      </c>
      <c r="S17" s="773">
        <f>F17</f>
        <v>100</v>
      </c>
      <c r="T17" s="772" t="s">
        <v>17</v>
      </c>
      <c r="U17" s="773">
        <f>H17</f>
        <v>100</v>
      </c>
      <c r="V17" s="772" t="s">
        <v>17</v>
      </c>
      <c r="W17" s="773">
        <f>J17</f>
        <v>100</v>
      </c>
      <c r="X17" s="1811"/>
      <c r="Y17" s="3310"/>
      <c r="Z17" s="1812" t="str">
        <f>Q17</f>
        <v>交通便捷度</v>
      </c>
      <c r="AA17" s="1809">
        <f t="shared" si="3"/>
        <v>1</v>
      </c>
      <c r="AB17" s="1809">
        <f t="shared" si="4"/>
        <v>1</v>
      </c>
      <c r="AC17" s="2668">
        <f t="shared" si="5"/>
        <v>1</v>
      </c>
    </row>
    <row r="18" spans="1:29" ht="15">
      <c r="A18" s="427"/>
      <c r="B18" s="631"/>
      <c r="C18" s="2600" t="s">
        <v>3173</v>
      </c>
      <c r="D18" s="449"/>
      <c r="E18" s="2600" t="s">
        <v>3173</v>
      </c>
      <c r="F18" s="449"/>
      <c r="G18" s="2600" t="s">
        <v>3173</v>
      </c>
      <c r="H18" s="447"/>
      <c r="I18" s="2600" t="s">
        <v>3173</v>
      </c>
      <c r="J18" s="447"/>
      <c r="K18" s="614"/>
      <c r="L18" s="1138"/>
      <c r="M18" s="1129"/>
      <c r="N18" s="1129"/>
      <c r="O18" s="1129"/>
      <c r="P18" s="3317"/>
      <c r="Q18" s="1808"/>
      <c r="R18" s="772"/>
      <c r="S18" s="773"/>
      <c r="T18" s="772"/>
      <c r="U18" s="773"/>
      <c r="V18" s="772"/>
      <c r="W18" s="773"/>
      <c r="X18" s="1811"/>
      <c r="Y18" s="3310"/>
      <c r="Z18" s="1812"/>
      <c r="AA18" s="1809">
        <v>1</v>
      </c>
      <c r="AB18" s="1809">
        <v>1</v>
      </c>
      <c r="AC18" s="2668">
        <v>1</v>
      </c>
    </row>
    <row r="19" spans="1:29" ht="15">
      <c r="A19" s="427"/>
      <c r="B19" s="630" t="s">
        <v>2680</v>
      </c>
      <c r="C19" s="2669"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317"/>
      <c r="Q19" s="1808" t="str">
        <f>B19</f>
        <v>公共配套设施</v>
      </c>
      <c r="R19" s="772" t="s">
        <v>17</v>
      </c>
      <c r="S19" s="773">
        <f>F19</f>
        <v>100</v>
      </c>
      <c r="T19" s="772" t="s">
        <v>17</v>
      </c>
      <c r="U19" s="773">
        <f>H19</f>
        <v>100</v>
      </c>
      <c r="V19" s="772" t="s">
        <v>17</v>
      </c>
      <c r="W19" s="773">
        <f>J19</f>
        <v>100</v>
      </c>
      <c r="X19" s="1811"/>
      <c r="Y19" s="3310"/>
      <c r="Z19" s="1812" t="str">
        <f>Q19</f>
        <v>公共配套设施</v>
      </c>
      <c r="AA19" s="1809">
        <f t="shared" si="3"/>
        <v>1</v>
      </c>
      <c r="AB19" s="1809">
        <f t="shared" si="4"/>
        <v>1</v>
      </c>
      <c r="AC19" s="2668">
        <f t="shared" si="5"/>
        <v>1</v>
      </c>
    </row>
    <row r="20" spans="1:29" ht="15">
      <c r="A20" s="427"/>
      <c r="B20" s="631"/>
      <c r="C20" s="2600" t="s">
        <v>3173</v>
      </c>
      <c r="D20" s="447"/>
      <c r="E20" s="2600" t="s">
        <v>3173</v>
      </c>
      <c r="F20" s="447"/>
      <c r="G20" s="2600" t="s">
        <v>3173</v>
      </c>
      <c r="H20" s="447"/>
      <c r="I20" s="2600" t="s">
        <v>3173</v>
      </c>
      <c r="J20" s="447"/>
      <c r="K20" s="614"/>
      <c r="L20" s="1138"/>
      <c r="M20" s="1129"/>
      <c r="N20" s="1129"/>
      <c r="O20" s="1129"/>
      <c r="P20" s="3317"/>
      <c r="Q20" s="1808"/>
      <c r="R20" s="772"/>
      <c r="S20" s="773"/>
      <c r="T20" s="772"/>
      <c r="U20" s="773"/>
      <c r="V20" s="772"/>
      <c r="W20" s="773"/>
      <c r="X20" s="1811"/>
      <c r="Y20" s="3310"/>
      <c r="Z20" s="1812"/>
      <c r="AA20" s="1809">
        <v>1</v>
      </c>
      <c r="AB20" s="1809">
        <v>1</v>
      </c>
      <c r="AC20" s="2668">
        <v>1</v>
      </c>
    </row>
    <row r="21" spans="1:29" ht="15">
      <c r="A21" s="427"/>
      <c r="B21" s="632" t="s">
        <v>2681</v>
      </c>
      <c r="C21" s="2669"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2</v>
      </c>
      <c r="L21" s="1138"/>
      <c r="M21" s="1129"/>
      <c r="N21" s="1129"/>
      <c r="O21" s="1129"/>
      <c r="P21" s="3317"/>
      <c r="Q21" s="1808" t="str">
        <f>B21</f>
        <v>基础设施水平</v>
      </c>
      <c r="R21" s="772" t="s">
        <v>17</v>
      </c>
      <c r="S21" s="773">
        <f>F21</f>
        <v>100</v>
      </c>
      <c r="T21" s="772" t="s">
        <v>17</v>
      </c>
      <c r="U21" s="773">
        <f>H21</f>
        <v>100</v>
      </c>
      <c r="V21" s="772" t="s">
        <v>17</v>
      </c>
      <c r="W21" s="773">
        <f>J21</f>
        <v>100</v>
      </c>
      <c r="X21" s="1811"/>
      <c r="Y21" s="3310"/>
      <c r="Z21" s="1812" t="str">
        <f>Q21</f>
        <v>基础设施水平</v>
      </c>
      <c r="AA21" s="1809">
        <f t="shared" ref="AA21" si="8">D21/F21</f>
        <v>1</v>
      </c>
      <c r="AB21" s="1809">
        <f t="shared" ref="AB21" si="9">D21/H21</f>
        <v>1</v>
      </c>
      <c r="AC21" s="2668">
        <f t="shared" ref="AC21" si="10">D21/J21</f>
        <v>1</v>
      </c>
    </row>
    <row r="22" spans="1:29" ht="15">
      <c r="A22" s="427"/>
      <c r="B22" s="632"/>
      <c r="C22" s="2670" t="s">
        <v>3177</v>
      </c>
      <c r="D22" s="447"/>
      <c r="E22" s="2670" t="s">
        <v>3177</v>
      </c>
      <c r="F22" s="447"/>
      <c r="G22" s="2670" t="s">
        <v>3177</v>
      </c>
      <c r="H22" s="447"/>
      <c r="I22" s="2670" t="s">
        <v>3177</v>
      </c>
      <c r="J22" s="447"/>
      <c r="K22" s="1381"/>
      <c r="L22" s="1138"/>
      <c r="M22" s="1129"/>
      <c r="N22" s="1129"/>
      <c r="O22" s="1129"/>
      <c r="P22" s="3317"/>
      <c r="Q22" s="1808"/>
      <c r="R22" s="772"/>
      <c r="S22" s="773"/>
      <c r="T22" s="772"/>
      <c r="U22" s="773"/>
      <c r="V22" s="772"/>
      <c r="W22" s="773"/>
      <c r="X22" s="1811"/>
      <c r="Y22" s="3310"/>
      <c r="Z22" s="1812"/>
      <c r="AA22" s="1809">
        <v>1</v>
      </c>
      <c r="AB22" s="1809">
        <v>1</v>
      </c>
      <c r="AC22" s="2668">
        <v>1</v>
      </c>
    </row>
    <row r="23" spans="1:29" ht="15">
      <c r="A23" s="427"/>
      <c r="B23" s="630" t="s">
        <v>2682</v>
      </c>
      <c r="C23" s="2669"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317"/>
      <c r="Q23" s="1808" t="str">
        <f>B23</f>
        <v>环境质量</v>
      </c>
      <c r="R23" s="772" t="s">
        <v>17</v>
      </c>
      <c r="S23" s="773">
        <f>F23</f>
        <v>100</v>
      </c>
      <c r="T23" s="772" t="s">
        <v>17</v>
      </c>
      <c r="U23" s="773">
        <f>H23</f>
        <v>100</v>
      </c>
      <c r="V23" s="772" t="s">
        <v>17</v>
      </c>
      <c r="W23" s="773">
        <f>J23</f>
        <v>100</v>
      </c>
      <c r="X23" s="1811"/>
      <c r="Y23" s="3310"/>
      <c r="Z23" s="1812" t="str">
        <f>Q23</f>
        <v>环境质量</v>
      </c>
      <c r="AA23" s="1809">
        <f t="shared" si="3"/>
        <v>1</v>
      </c>
      <c r="AB23" s="1809">
        <f t="shared" si="4"/>
        <v>1</v>
      </c>
      <c r="AC23" s="2668">
        <f t="shared" si="5"/>
        <v>1</v>
      </c>
    </row>
    <row r="24" spans="1:29" ht="15">
      <c r="A24" s="427"/>
      <c r="B24" s="632"/>
      <c r="C24" s="2600" t="s">
        <v>3173</v>
      </c>
      <c r="D24" s="447"/>
      <c r="E24" s="2600" t="s">
        <v>3173</v>
      </c>
      <c r="F24" s="447"/>
      <c r="G24" s="2600" t="s">
        <v>3173</v>
      </c>
      <c r="H24" s="447"/>
      <c r="I24" s="2600" t="s">
        <v>3173</v>
      </c>
      <c r="J24" s="447"/>
      <c r="K24" s="614"/>
      <c r="L24" s="1138"/>
      <c r="M24" s="1129"/>
      <c r="N24" s="1129"/>
      <c r="O24" s="1129"/>
      <c r="P24" s="3317"/>
      <c r="Q24" s="1808"/>
      <c r="R24" s="772"/>
      <c r="S24" s="773"/>
      <c r="T24" s="772"/>
      <c r="U24" s="773"/>
      <c r="V24" s="772"/>
      <c r="W24" s="773"/>
      <c r="X24" s="1811"/>
      <c r="Y24" s="3310"/>
      <c r="Z24" s="1812"/>
      <c r="AA24" s="1809">
        <v>1</v>
      </c>
      <c r="AB24" s="1809">
        <v>1</v>
      </c>
      <c r="AC24" s="2668">
        <v>1</v>
      </c>
    </row>
    <row r="25" spans="1:29" ht="27">
      <c r="A25" s="403"/>
      <c r="B25" s="630" t="s">
        <v>2683</v>
      </c>
      <c r="C25" s="3031" t="s">
        <v>3390</v>
      </c>
      <c r="D25" s="434">
        <v>100</v>
      </c>
      <c r="E25" s="3032" t="s">
        <v>3391</v>
      </c>
      <c r="F25" s="434">
        <f>SUMIF(87:87,E26,88:88)-SUMIF(87:87,C26,88:88)+100</f>
        <v>100</v>
      </c>
      <c r="G25" s="3031" t="s">
        <v>3392</v>
      </c>
      <c r="H25" s="434">
        <f>SUMIF(87:87,G26,88:88)-SUMIF(87:87,C26,88:88)+100</f>
        <v>100</v>
      </c>
      <c r="I25" s="3032" t="s">
        <v>3392</v>
      </c>
      <c r="J25" s="434">
        <f>SUMIF(87:87,I26,88:88)-SUMIF(87:87,C26,88:88)+100</f>
        <v>100</v>
      </c>
      <c r="K25" s="613">
        <v>2</v>
      </c>
      <c r="L25" s="1138"/>
      <c r="M25" s="1129"/>
      <c r="N25" s="1129"/>
      <c r="O25" s="1129"/>
      <c r="P25" s="3317"/>
      <c r="Q25" s="1808" t="str">
        <f>B25</f>
        <v>毗邻道路的类型与等级</v>
      </c>
      <c r="R25" s="772" t="s">
        <v>17</v>
      </c>
      <c r="S25" s="773">
        <f>F25</f>
        <v>100</v>
      </c>
      <c r="T25" s="772" t="s">
        <v>17</v>
      </c>
      <c r="U25" s="773">
        <f>H25</f>
        <v>100</v>
      </c>
      <c r="V25" s="772" t="s">
        <v>17</v>
      </c>
      <c r="W25" s="773">
        <f>J25</f>
        <v>100</v>
      </c>
      <c r="X25" s="1811"/>
      <c r="Y25" s="3310"/>
      <c r="Z25" s="1812" t="str">
        <f>Q25</f>
        <v>毗邻道路的类型与等级</v>
      </c>
      <c r="AA25" s="1809">
        <f t="shared" si="3"/>
        <v>1</v>
      </c>
      <c r="AB25" s="1809">
        <f t="shared" si="4"/>
        <v>1</v>
      </c>
      <c r="AC25" s="2668">
        <f t="shared" si="5"/>
        <v>1</v>
      </c>
    </row>
    <row r="26" spans="1:29" ht="15">
      <c r="A26" s="403"/>
      <c r="B26" s="631"/>
      <c r="C26" s="633" t="s">
        <v>3238</v>
      </c>
      <c r="D26" s="434"/>
      <c r="E26" s="633" t="s">
        <v>3238</v>
      </c>
      <c r="F26" s="434"/>
      <c r="G26" s="633" t="s">
        <v>3238</v>
      </c>
      <c r="H26" s="434"/>
      <c r="I26" s="633" t="s">
        <v>3238</v>
      </c>
      <c r="J26" s="434"/>
      <c r="K26" s="614"/>
      <c r="L26" s="1138"/>
      <c r="M26" s="1129"/>
      <c r="N26" s="1129"/>
      <c r="O26" s="1129"/>
      <c r="P26" s="3317"/>
      <c r="Q26" s="1808"/>
      <c r="R26" s="772"/>
      <c r="S26" s="773"/>
      <c r="T26" s="772"/>
      <c r="U26" s="773"/>
      <c r="V26" s="772"/>
      <c r="W26" s="773"/>
      <c r="X26" s="1811"/>
      <c r="Y26" s="3310"/>
      <c r="Z26" s="1812"/>
      <c r="AA26" s="1809">
        <v>1</v>
      </c>
      <c r="AB26" s="1809">
        <v>1</v>
      </c>
      <c r="AC26" s="2668">
        <v>1</v>
      </c>
    </row>
    <row r="27" spans="1:29" ht="15">
      <c r="A27" s="427"/>
      <c r="B27" s="631" t="s">
        <v>2651</v>
      </c>
      <c r="C27" s="633" t="s">
        <v>3246</v>
      </c>
      <c r="D27" s="434">
        <v>100</v>
      </c>
      <c r="E27" s="615" t="s">
        <v>3246</v>
      </c>
      <c r="F27" s="434">
        <f>SUMIF(89:89,E27,90:90)-SUMIF(89:89,C27,90:90)+100</f>
        <v>100</v>
      </c>
      <c r="G27" s="633" t="s">
        <v>3244</v>
      </c>
      <c r="H27" s="434">
        <f>SUMIF(89:89,G27,90:90)-SUMIF(89:89,C27,90:90)+100</f>
        <v>102</v>
      </c>
      <c r="I27" s="615" t="s">
        <v>3246</v>
      </c>
      <c r="J27" s="434">
        <f>SUMIF(89:89,I27,90:90)-SUMIF(89:89,C27,90:90)+100</f>
        <v>100</v>
      </c>
      <c r="K27" s="611">
        <v>2</v>
      </c>
      <c r="L27" s="1138"/>
      <c r="M27" s="1129"/>
      <c r="N27" s="1129"/>
      <c r="O27" s="1129"/>
      <c r="P27" s="3317"/>
      <c r="Q27" s="1808" t="str">
        <f t="shared" ref="Q27:Q47" si="11">B27</f>
        <v>楼层</v>
      </c>
      <c r="R27" s="772" t="s">
        <v>17</v>
      </c>
      <c r="S27" s="773">
        <f>F27</f>
        <v>100</v>
      </c>
      <c r="T27" s="772" t="s">
        <v>17</v>
      </c>
      <c r="U27" s="773">
        <f>H27</f>
        <v>102</v>
      </c>
      <c r="V27" s="772" t="s">
        <v>17</v>
      </c>
      <c r="W27" s="773">
        <f>J27</f>
        <v>100</v>
      </c>
      <c r="X27" s="1811"/>
      <c r="Y27" s="3310"/>
      <c r="Z27" s="1812" t="str">
        <f>Q27</f>
        <v>楼层</v>
      </c>
      <c r="AA27" s="1809">
        <f t="shared" si="3"/>
        <v>1</v>
      </c>
      <c r="AB27" s="1809">
        <f t="shared" si="4"/>
        <v>0.98039215686274506</v>
      </c>
      <c r="AC27" s="2668">
        <f t="shared" si="5"/>
        <v>1</v>
      </c>
    </row>
    <row r="28" spans="1:29" s="116" customFormat="1" ht="15">
      <c r="A28" s="430"/>
      <c r="B28" s="630" t="s">
        <v>2684</v>
      </c>
      <c r="C28" s="2671"/>
      <c r="D28" s="461">
        <v>100</v>
      </c>
      <c r="E28" s="2659"/>
      <c r="F28" s="461">
        <f>SUMIF(91:91,E28,92:92)-SUMIF(91:91,C28,92:92)+100</f>
        <v>100</v>
      </c>
      <c r="G28" s="2671"/>
      <c r="H28" s="461">
        <f>SUMIF(91:91,G28,92:92)-SUMIF(91:91,C28,92:92)+100</f>
        <v>100</v>
      </c>
      <c r="I28" s="2659"/>
      <c r="J28" s="461">
        <f>SUMIF(91:91,I28,92:92)-SUMIF(91:91,C28,92:92)+100</f>
        <v>100</v>
      </c>
      <c r="K28" s="611">
        <v>2</v>
      </c>
      <c r="L28" s="1130"/>
      <c r="M28" s="1131"/>
      <c r="N28" s="1131"/>
      <c r="O28" s="1131"/>
      <c r="P28" s="3317"/>
      <c r="Q28" s="1793" t="str">
        <f t="shared" si="11"/>
        <v>朝向</v>
      </c>
      <c r="R28" s="768" t="s">
        <v>17</v>
      </c>
      <c r="S28" s="769">
        <f>F28</f>
        <v>100</v>
      </c>
      <c r="T28" s="768" t="s">
        <v>17</v>
      </c>
      <c r="U28" s="769">
        <f>H28</f>
        <v>100</v>
      </c>
      <c r="V28" s="768" t="s">
        <v>17</v>
      </c>
      <c r="W28" s="769">
        <f>J28</f>
        <v>100</v>
      </c>
      <c r="X28" s="770"/>
      <c r="Y28" s="3310"/>
      <c r="Z28" s="54" t="str">
        <f>Q28</f>
        <v>朝向</v>
      </c>
      <c r="AA28" s="1809">
        <f>D28/F28</f>
        <v>1</v>
      </c>
      <c r="AB28" s="1809">
        <f>D28/H28</f>
        <v>1</v>
      </c>
      <c r="AC28" s="2668">
        <f>D28/J28</f>
        <v>1</v>
      </c>
    </row>
    <row r="29" spans="1:29" ht="15">
      <c r="A29" s="427"/>
      <c r="B29" s="2672">
        <v>111</v>
      </c>
      <c r="C29" s="2611"/>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317"/>
      <c r="Q29" s="1808">
        <f t="shared" si="11"/>
        <v>111</v>
      </c>
      <c r="R29" s="772" t="s">
        <v>17</v>
      </c>
      <c r="S29" s="773">
        <f t="shared" ref="S29:S47" si="12">F29</f>
        <v>100</v>
      </c>
      <c r="T29" s="772" t="s">
        <v>17</v>
      </c>
      <c r="U29" s="773">
        <f t="shared" ref="U29:U47" si="13">H29</f>
        <v>100</v>
      </c>
      <c r="V29" s="772" t="s">
        <v>17</v>
      </c>
      <c r="W29" s="773">
        <f t="shared" ref="W29:W47" si="14">J29</f>
        <v>100</v>
      </c>
      <c r="X29" s="1811"/>
      <c r="Y29" s="3310"/>
      <c r="Z29" s="1812">
        <f t="shared" ref="Z29:Z47" si="15">Q29</f>
        <v>111</v>
      </c>
      <c r="AA29" s="1809">
        <f t="shared" si="3"/>
        <v>1</v>
      </c>
      <c r="AB29" s="1809">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317"/>
      <c r="Q30" s="1808">
        <f t="shared" si="11"/>
        <v>111</v>
      </c>
      <c r="R30" s="772" t="s">
        <v>17</v>
      </c>
      <c r="S30" s="773">
        <f t="shared" si="12"/>
        <v>100</v>
      </c>
      <c r="T30" s="772" t="s">
        <v>17</v>
      </c>
      <c r="U30" s="773">
        <f t="shared" si="13"/>
        <v>100</v>
      </c>
      <c r="V30" s="772" t="s">
        <v>17</v>
      </c>
      <c r="W30" s="773">
        <f t="shared" si="14"/>
        <v>100</v>
      </c>
      <c r="X30" s="1811"/>
      <c r="Y30" s="3310"/>
      <c r="Z30" s="1812">
        <f t="shared" si="15"/>
        <v>111</v>
      </c>
      <c r="AA30" s="1809">
        <f t="shared" si="3"/>
        <v>1</v>
      </c>
      <c r="AB30" s="1809">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317"/>
      <c r="Q31" s="1808">
        <f t="shared" si="11"/>
        <v>111</v>
      </c>
      <c r="R31" s="772" t="s">
        <v>17</v>
      </c>
      <c r="S31" s="773">
        <f t="shared" si="12"/>
        <v>100</v>
      </c>
      <c r="T31" s="772" t="s">
        <v>17</v>
      </c>
      <c r="U31" s="773">
        <f t="shared" si="13"/>
        <v>100</v>
      </c>
      <c r="V31" s="772" t="s">
        <v>17</v>
      </c>
      <c r="W31" s="773">
        <f t="shared" si="14"/>
        <v>100</v>
      </c>
      <c r="X31" s="1811"/>
      <c r="Y31" s="3310"/>
      <c r="Z31" s="1812">
        <f t="shared" si="15"/>
        <v>111</v>
      </c>
      <c r="AA31" s="1809">
        <f t="shared" si="3"/>
        <v>1</v>
      </c>
      <c r="AB31" s="1809">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317"/>
      <c r="Q32" s="1808">
        <f t="shared" si="11"/>
        <v>111</v>
      </c>
      <c r="R32" s="772" t="s">
        <v>17</v>
      </c>
      <c r="S32" s="773">
        <f t="shared" si="12"/>
        <v>100</v>
      </c>
      <c r="T32" s="772" t="s">
        <v>17</v>
      </c>
      <c r="U32" s="773">
        <f t="shared" si="13"/>
        <v>100</v>
      </c>
      <c r="V32" s="772" t="s">
        <v>17</v>
      </c>
      <c r="W32" s="773">
        <f t="shared" si="14"/>
        <v>100</v>
      </c>
      <c r="X32" s="1811"/>
      <c r="Y32" s="3310"/>
      <c r="Z32" s="1812">
        <f t="shared" si="15"/>
        <v>111</v>
      </c>
      <c r="AA32" s="1809">
        <f t="shared" si="3"/>
        <v>1</v>
      </c>
      <c r="AB32" s="1809">
        <f t="shared" si="4"/>
        <v>1</v>
      </c>
      <c r="AC32" s="2668">
        <f t="shared" si="5"/>
        <v>1</v>
      </c>
    </row>
    <row r="33" spans="1:29" ht="15">
      <c r="A33" s="439" t="s">
        <v>2555</v>
      </c>
      <c r="B33" s="70" t="s">
        <v>2685</v>
      </c>
      <c r="C33" s="2673" t="s">
        <v>3386</v>
      </c>
      <c r="D33" s="466">
        <v>100</v>
      </c>
      <c r="E33" s="2673" t="s">
        <v>3248</v>
      </c>
      <c r="F33" s="460">
        <f>SUMIF(101:101,E33,102:102)-SUMIF(101:101,C33,102:102)+100</f>
        <v>101</v>
      </c>
      <c r="G33" s="2673" t="s">
        <v>3248</v>
      </c>
      <c r="H33" s="434">
        <f>SUMIF(101:101,G33,102:102)-SUMIF(101:101,C33,102:102)+100</f>
        <v>101</v>
      </c>
      <c r="I33" s="2673" t="s">
        <v>3248</v>
      </c>
      <c r="J33" s="466">
        <f>SUMIF(101:101,I33,102:102)-SUMIF(101:101,C33,102:102)+100</f>
        <v>101</v>
      </c>
      <c r="K33" s="3387">
        <v>1</v>
      </c>
      <c r="L33" s="1138"/>
      <c r="M33" s="1129"/>
      <c r="N33" s="1129"/>
      <c r="O33" s="1129"/>
      <c r="P33" s="3311" t="s">
        <v>2557</v>
      </c>
      <c r="Q33" s="1808" t="str">
        <f t="shared" si="11"/>
        <v>建筑类型</v>
      </c>
      <c r="R33" s="772" t="s">
        <v>17</v>
      </c>
      <c r="S33" s="773">
        <f t="shared" si="12"/>
        <v>101</v>
      </c>
      <c r="T33" s="772" t="s">
        <v>17</v>
      </c>
      <c r="U33" s="773">
        <f t="shared" si="13"/>
        <v>101</v>
      </c>
      <c r="V33" s="772" t="s">
        <v>17</v>
      </c>
      <c r="W33" s="773">
        <f t="shared" si="14"/>
        <v>101</v>
      </c>
      <c r="X33" s="1811"/>
      <c r="Y33" s="3314" t="s">
        <v>2557</v>
      </c>
      <c r="Z33" s="1812" t="str">
        <f t="shared" si="15"/>
        <v>建筑类型</v>
      </c>
      <c r="AA33" s="1809">
        <f t="shared" si="3"/>
        <v>0.99009900990099009</v>
      </c>
      <c r="AB33" s="1809">
        <f t="shared" si="4"/>
        <v>0.99009900990099009</v>
      </c>
      <c r="AC33" s="2668">
        <f t="shared" si="5"/>
        <v>0.99009900990099009</v>
      </c>
    </row>
    <row r="34" spans="1:29" s="470" customFormat="1" ht="15">
      <c r="A34" s="467"/>
      <c r="B34" s="421" t="s">
        <v>2558</v>
      </c>
      <c r="C34" s="468">
        <f>'数据-汇总表'!F20</f>
        <v>1043.1300000000001</v>
      </c>
      <c r="D34" s="135">
        <v>100</v>
      </c>
      <c r="E34" s="429">
        <v>138</v>
      </c>
      <c r="F34" s="424">
        <f>LOOKUP(E34,104:104,105:105)-LOOKUP(C34,104:104,105:105)+100</f>
        <v>104</v>
      </c>
      <c r="G34" s="428">
        <v>1500</v>
      </c>
      <c r="H34" s="135">
        <f>LOOKUP(G34,104:104,105:105)-LOOKUP(C34,104:104,105:105)+100</f>
        <v>98</v>
      </c>
      <c r="I34" s="428">
        <v>1400</v>
      </c>
      <c r="J34" s="135">
        <f>LOOKUP(I34,104:104,105:105)-LOOKUP(C34,104:104,105:105)+100</f>
        <v>100</v>
      </c>
      <c r="K34" s="612"/>
      <c r="L34" s="1136"/>
      <c r="M34" s="1139"/>
      <c r="N34" s="1139"/>
      <c r="O34" s="1139"/>
      <c r="P34" s="3312"/>
      <c r="Q34" s="774" t="str">
        <f t="shared" si="11"/>
        <v>项目建筑规模</v>
      </c>
      <c r="R34" s="775" t="s">
        <v>17</v>
      </c>
      <c r="S34" s="776">
        <f t="shared" si="12"/>
        <v>104</v>
      </c>
      <c r="T34" s="775" t="s">
        <v>17</v>
      </c>
      <c r="U34" s="776">
        <f t="shared" si="13"/>
        <v>98</v>
      </c>
      <c r="V34" s="775" t="s">
        <v>17</v>
      </c>
      <c r="W34" s="776">
        <f t="shared" si="14"/>
        <v>100</v>
      </c>
      <c r="X34" s="777"/>
      <c r="Y34" s="3314"/>
      <c r="Z34" s="778" t="str">
        <f t="shared" si="15"/>
        <v>项目建筑规模</v>
      </c>
      <c r="AA34" s="1809">
        <f t="shared" si="3"/>
        <v>0.96153846153846156</v>
      </c>
      <c r="AB34" s="1809">
        <f t="shared" si="4"/>
        <v>1.0204081632653061</v>
      </c>
      <c r="AC34" s="2668">
        <f t="shared" si="5"/>
        <v>1</v>
      </c>
    </row>
    <row r="35" spans="1:29" ht="15">
      <c r="A35" s="471"/>
      <c r="B35" s="421" t="s">
        <v>2559</v>
      </c>
      <c r="C35" s="459" t="s">
        <v>3104</v>
      </c>
      <c r="D35" s="434">
        <v>100</v>
      </c>
      <c r="E35" s="459" t="s">
        <v>3106</v>
      </c>
      <c r="F35" s="460">
        <f>SUMIF(106:106,E35,107:107)-SUMIF(106:106,C35,107:107)+100</f>
        <v>98</v>
      </c>
      <c r="G35" s="459" t="s">
        <v>3106</v>
      </c>
      <c r="H35" s="434">
        <f>SUMIF(106:106,G35,107:107)-SUMIF(106:106,C35,107:107)+100</f>
        <v>98</v>
      </c>
      <c r="I35" s="459" t="s">
        <v>3106</v>
      </c>
      <c r="J35" s="434">
        <f>SUMIF(106:106,I35,107:107)-SUMIF(106:106,C35,107:107)+100</f>
        <v>98</v>
      </c>
      <c r="K35" s="611">
        <v>2</v>
      </c>
      <c r="L35" s="1138"/>
      <c r="M35" s="1129"/>
      <c r="N35" s="1129"/>
      <c r="O35" s="1129"/>
      <c r="P35" s="3312"/>
      <c r="Q35" s="1808" t="str">
        <f t="shared" si="11"/>
        <v>建筑结构</v>
      </c>
      <c r="R35" s="772" t="s">
        <v>17</v>
      </c>
      <c r="S35" s="773">
        <f t="shared" si="12"/>
        <v>98</v>
      </c>
      <c r="T35" s="772" t="s">
        <v>17</v>
      </c>
      <c r="U35" s="773">
        <f t="shared" si="13"/>
        <v>98</v>
      </c>
      <c r="V35" s="772" t="s">
        <v>17</v>
      </c>
      <c r="W35" s="773">
        <f t="shared" si="14"/>
        <v>98</v>
      </c>
      <c r="X35" s="1811"/>
      <c r="Y35" s="3314"/>
      <c r="Z35" s="1812" t="str">
        <f t="shared" si="15"/>
        <v>建筑结构</v>
      </c>
      <c r="AA35" s="1809">
        <f t="shared" si="3"/>
        <v>1.0204081632653061</v>
      </c>
      <c r="AB35" s="1809">
        <f t="shared" si="4"/>
        <v>1.0204081632653061</v>
      </c>
      <c r="AC35" s="2668">
        <f t="shared" si="5"/>
        <v>1.0204081632653061</v>
      </c>
    </row>
    <row r="36" spans="1:29" ht="15">
      <c r="A36" s="471"/>
      <c r="B36" s="421" t="s">
        <v>2653</v>
      </c>
      <c r="C36" s="459" t="s">
        <v>3216</v>
      </c>
      <c r="D36" s="434">
        <v>100</v>
      </c>
      <c r="E36" s="459" t="s">
        <v>3216</v>
      </c>
      <c r="F36" s="460">
        <f>SUMIF(108:108,E36,109:109)-SUMIF(108:108,C36,109:109)+100</f>
        <v>100</v>
      </c>
      <c r="G36" s="459" t="s">
        <v>3216</v>
      </c>
      <c r="H36" s="434">
        <f>SUMIF(108:108,G36,109:109)-SUMIF(108:108,C36,109:109)+100</f>
        <v>100</v>
      </c>
      <c r="I36" s="459" t="s">
        <v>3216</v>
      </c>
      <c r="J36" s="434">
        <f>SUMIF(108:108,I36,109:109)-SUMIF(108:108,C36,109:109)+100</f>
        <v>100</v>
      </c>
      <c r="K36" s="611">
        <v>2</v>
      </c>
      <c r="L36" s="1138"/>
      <c r="M36" s="1129"/>
      <c r="N36" s="1129"/>
      <c r="O36" s="1129"/>
      <c r="P36" s="3312"/>
      <c r="Q36" s="1808" t="str">
        <f t="shared" si="11"/>
        <v>公共部分装修</v>
      </c>
      <c r="R36" s="772" t="s">
        <v>17</v>
      </c>
      <c r="S36" s="773">
        <f t="shared" si="12"/>
        <v>100</v>
      </c>
      <c r="T36" s="772" t="s">
        <v>17</v>
      </c>
      <c r="U36" s="773">
        <f t="shared" si="13"/>
        <v>100</v>
      </c>
      <c r="V36" s="772" t="s">
        <v>17</v>
      </c>
      <c r="W36" s="773">
        <f t="shared" si="14"/>
        <v>100</v>
      </c>
      <c r="X36" s="1811"/>
      <c r="Y36" s="3314"/>
      <c r="Z36" s="1812" t="str">
        <f t="shared" si="15"/>
        <v>公共部分装修</v>
      </c>
      <c r="AA36" s="1809">
        <f t="shared" si="3"/>
        <v>1</v>
      </c>
      <c r="AB36" s="1809">
        <f t="shared" si="4"/>
        <v>1</v>
      </c>
      <c r="AC36" s="2668">
        <f t="shared" si="5"/>
        <v>1</v>
      </c>
    </row>
    <row r="37" spans="1:29" ht="15">
      <c r="A37" s="471"/>
      <c r="B37" s="421" t="s">
        <v>2654</v>
      </c>
      <c r="C37" s="473">
        <f>'数据-取费表'!N7</f>
        <v>0.9</v>
      </c>
      <c r="D37" s="434">
        <v>100</v>
      </c>
      <c r="E37" s="473">
        <v>0.8</v>
      </c>
      <c r="F37" s="460">
        <f>LOOKUP(E37,111:111,112:112)-LOOKUP(C37,111:111,112:112)+100</f>
        <v>98</v>
      </c>
      <c r="G37" s="473">
        <f>ROUND(1-(2020-2008)/60,2)</f>
        <v>0.8</v>
      </c>
      <c r="H37" s="460">
        <f>LOOKUP(G37,111:111,112:112)-LOOKUP(C37,111:111,112:112)+100</f>
        <v>98</v>
      </c>
      <c r="I37" s="473">
        <v>0.8</v>
      </c>
      <c r="J37" s="434">
        <f>LOOKUP(I37,111:111,112:112)-LOOKUP(C37,111:111,112:112)+100</f>
        <v>98</v>
      </c>
      <c r="K37" s="611">
        <v>2</v>
      </c>
      <c r="L37" s="1138"/>
      <c r="M37" s="1129"/>
      <c r="N37" s="1129"/>
      <c r="O37" s="1129"/>
      <c r="P37" s="3312"/>
      <c r="Q37" s="1808" t="str">
        <f t="shared" si="11"/>
        <v>成新度</v>
      </c>
      <c r="R37" s="772" t="s">
        <v>17</v>
      </c>
      <c r="S37" s="773">
        <f t="shared" si="12"/>
        <v>98</v>
      </c>
      <c r="T37" s="772" t="s">
        <v>17</v>
      </c>
      <c r="U37" s="773">
        <f t="shared" si="13"/>
        <v>98</v>
      </c>
      <c r="V37" s="772" t="s">
        <v>17</v>
      </c>
      <c r="W37" s="773">
        <f t="shared" si="14"/>
        <v>98</v>
      </c>
      <c r="X37" s="1811"/>
      <c r="Y37" s="3314"/>
      <c r="Z37" s="1812" t="str">
        <f t="shared" si="15"/>
        <v>成新度</v>
      </c>
      <c r="AA37" s="1809">
        <f t="shared" si="3"/>
        <v>1.0204081632653061</v>
      </c>
      <c r="AB37" s="1809">
        <f t="shared" si="4"/>
        <v>1.0204081632653061</v>
      </c>
      <c r="AC37" s="2668">
        <f t="shared" si="5"/>
        <v>1.0204081632653061</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2</v>
      </c>
      <c r="L38" s="1130"/>
      <c r="M38" s="1131"/>
      <c r="N38" s="1131"/>
      <c r="O38" s="1131"/>
      <c r="P38" s="3312"/>
      <c r="Q38" s="1793" t="str">
        <f t="shared" si="11"/>
        <v>写字楼等级</v>
      </c>
      <c r="R38" s="768" t="s">
        <v>17</v>
      </c>
      <c r="S38" s="769">
        <f t="shared" si="12"/>
        <v>100</v>
      </c>
      <c r="T38" s="768" t="s">
        <v>17</v>
      </c>
      <c r="U38" s="769">
        <f t="shared" si="13"/>
        <v>100</v>
      </c>
      <c r="V38" s="768" t="s">
        <v>17</v>
      </c>
      <c r="W38" s="769">
        <f t="shared" si="14"/>
        <v>100</v>
      </c>
      <c r="X38" s="770"/>
      <c r="Y38" s="3314"/>
      <c r="Z38" s="54" t="str">
        <f t="shared" si="15"/>
        <v>写字楼等级</v>
      </c>
      <c r="AA38" s="771">
        <f t="shared" si="3"/>
        <v>1</v>
      </c>
      <c r="AB38" s="771">
        <f t="shared" si="4"/>
        <v>1</v>
      </c>
      <c r="AC38" s="2665">
        <f t="shared" si="5"/>
        <v>1</v>
      </c>
    </row>
    <row r="39" spans="1:29" ht="15">
      <c r="A39" s="471"/>
      <c r="B39" s="421" t="s">
        <v>2687</v>
      </c>
      <c r="C39" s="459" t="s">
        <v>3223</v>
      </c>
      <c r="D39" s="434">
        <v>100</v>
      </c>
      <c r="E39" s="459" t="s">
        <v>3223</v>
      </c>
      <c r="F39" s="460">
        <f>SUMIF(115:115,E39,116:116)-SUMIF(115:115,C39,116:116)+100</f>
        <v>100</v>
      </c>
      <c r="G39" s="459" t="s">
        <v>3223</v>
      </c>
      <c r="H39" s="434">
        <f>SUMIF(115:115,G39,116:116)-SUMIF(115:115,C39,116:116)+100</f>
        <v>100</v>
      </c>
      <c r="I39" s="459" t="s">
        <v>3223</v>
      </c>
      <c r="J39" s="434">
        <f>SUMIF(115:115,I39,116:116)-SUMIF(115:115,C39,116:116)+100</f>
        <v>100</v>
      </c>
      <c r="K39" s="611">
        <v>2</v>
      </c>
      <c r="L39" s="1138"/>
      <c r="M39" s="1129"/>
      <c r="N39" s="1129"/>
      <c r="O39" s="1129"/>
      <c r="P39" s="3312" t="s">
        <v>2557</v>
      </c>
      <c r="Q39" s="1808" t="str">
        <f t="shared" si="11"/>
        <v>物业管理</v>
      </c>
      <c r="R39" s="772" t="s">
        <v>17</v>
      </c>
      <c r="S39" s="773">
        <f t="shared" si="12"/>
        <v>100</v>
      </c>
      <c r="T39" s="772" t="s">
        <v>17</v>
      </c>
      <c r="U39" s="773">
        <f t="shared" si="13"/>
        <v>100</v>
      </c>
      <c r="V39" s="772" t="s">
        <v>17</v>
      </c>
      <c r="W39" s="773">
        <f t="shared" si="14"/>
        <v>100</v>
      </c>
      <c r="X39" s="1811"/>
      <c r="Y39" s="3314" t="s">
        <v>2557</v>
      </c>
      <c r="Z39" s="1812" t="str">
        <f t="shared" si="15"/>
        <v>物业管理</v>
      </c>
      <c r="AA39" s="1809">
        <f t="shared" si="3"/>
        <v>1</v>
      </c>
      <c r="AB39" s="1809">
        <f t="shared" si="4"/>
        <v>1</v>
      </c>
      <c r="AC39" s="2668">
        <f t="shared" si="5"/>
        <v>1</v>
      </c>
    </row>
    <row r="40" spans="1:29" ht="15">
      <c r="A40" s="471"/>
      <c r="B40" s="421" t="s">
        <v>2655</v>
      </c>
      <c r="C40" s="459" t="s">
        <v>3227</v>
      </c>
      <c r="D40" s="434">
        <v>100</v>
      </c>
      <c r="E40" s="459" t="s">
        <v>3227</v>
      </c>
      <c r="F40" s="460">
        <f>SUMIF(117:117,E40,118:118)-SUMIF(117:117,C40,118:118)+100</f>
        <v>100</v>
      </c>
      <c r="G40" s="459" t="s">
        <v>3227</v>
      </c>
      <c r="H40" s="434">
        <f>SUMIF(117:117,G40,118:118)-SUMIF(117:117,C40,118:118)+100</f>
        <v>100</v>
      </c>
      <c r="I40" s="459" t="s">
        <v>3227</v>
      </c>
      <c r="J40" s="434">
        <f>SUMIF(117:117,I40,118:118)-SUMIF(117:117,C40,118:118)+100</f>
        <v>100</v>
      </c>
      <c r="K40" s="611">
        <v>2</v>
      </c>
      <c r="L40" s="1138"/>
      <c r="M40" s="1129"/>
      <c r="N40" s="1129"/>
      <c r="O40" s="1129"/>
      <c r="P40" s="3312"/>
      <c r="Q40" s="1808" t="str">
        <f t="shared" si="11"/>
        <v>市政基础设施</v>
      </c>
      <c r="R40" s="772" t="s">
        <v>17</v>
      </c>
      <c r="S40" s="773">
        <f t="shared" si="12"/>
        <v>100</v>
      </c>
      <c r="T40" s="772" t="s">
        <v>17</v>
      </c>
      <c r="U40" s="773">
        <f t="shared" si="13"/>
        <v>100</v>
      </c>
      <c r="V40" s="772" t="s">
        <v>17</v>
      </c>
      <c r="W40" s="773">
        <f t="shared" si="14"/>
        <v>100</v>
      </c>
      <c r="X40" s="1811"/>
      <c r="Y40" s="3314"/>
      <c r="Z40" s="1812" t="str">
        <f t="shared" si="15"/>
        <v>市政基础设施</v>
      </c>
      <c r="AA40" s="1809">
        <f t="shared" si="3"/>
        <v>1</v>
      </c>
      <c r="AB40" s="1809">
        <f t="shared" si="4"/>
        <v>1</v>
      </c>
      <c r="AC40" s="2668">
        <f t="shared" si="5"/>
        <v>1</v>
      </c>
    </row>
    <row r="41" spans="1:29" ht="15">
      <c r="A41" s="471"/>
      <c r="B41" s="421" t="s">
        <v>2657</v>
      </c>
      <c r="C41" s="615" t="s">
        <v>3258</v>
      </c>
      <c r="D41" s="434">
        <v>100</v>
      </c>
      <c r="E41" s="615" t="s">
        <v>3258</v>
      </c>
      <c r="F41" s="460">
        <f>SUMIF(119:119,E41,120:120)-SUMIF(119:119,C41,120:120)+100</f>
        <v>100</v>
      </c>
      <c r="G41" s="615" t="s">
        <v>3258</v>
      </c>
      <c r="H41" s="434">
        <f>SUMIF(119:119,G41,120:120)-SUMIF(119:119,C41,120:120)+100</f>
        <v>100</v>
      </c>
      <c r="I41" s="615" t="s">
        <v>3258</v>
      </c>
      <c r="J41" s="434">
        <f>SUMIF(119:119,I41,120:120)-SUMIF(119:119,C41,120:120)+100</f>
        <v>100</v>
      </c>
      <c r="K41" s="611">
        <v>2</v>
      </c>
      <c r="L41" s="1138"/>
      <c r="M41" s="1129"/>
      <c r="N41" s="1129"/>
      <c r="O41" s="1129"/>
      <c r="P41" s="3312"/>
      <c r="Q41" s="1808" t="str">
        <f t="shared" si="11"/>
        <v>层高</v>
      </c>
      <c r="R41" s="772" t="s">
        <v>17</v>
      </c>
      <c r="S41" s="773">
        <f t="shared" si="12"/>
        <v>100</v>
      </c>
      <c r="T41" s="772" t="s">
        <v>17</v>
      </c>
      <c r="U41" s="773">
        <f t="shared" si="13"/>
        <v>100</v>
      </c>
      <c r="V41" s="772" t="s">
        <v>17</v>
      </c>
      <c r="W41" s="773">
        <f t="shared" si="14"/>
        <v>100</v>
      </c>
      <c r="X41" s="1811"/>
      <c r="Y41" s="3314"/>
      <c r="Z41" s="1812" t="str">
        <f t="shared" si="15"/>
        <v>层高</v>
      </c>
      <c r="AA41" s="1809">
        <f t="shared" si="3"/>
        <v>1</v>
      </c>
      <c r="AB41" s="1809">
        <f t="shared" si="4"/>
        <v>1</v>
      </c>
      <c r="AC41" s="2668">
        <f t="shared" si="5"/>
        <v>1</v>
      </c>
    </row>
    <row r="42" spans="1:29" s="470" customFormat="1" ht="15">
      <c r="A42" s="467"/>
      <c r="B42" s="1810"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312"/>
      <c r="Q42" s="774" t="str">
        <f t="shared" si="11"/>
        <v>单套建筑面积</v>
      </c>
      <c r="R42" s="775" t="s">
        <v>17</v>
      </c>
      <c r="S42" s="776">
        <f t="shared" si="12"/>
        <v>100</v>
      </c>
      <c r="T42" s="775" t="s">
        <v>17</v>
      </c>
      <c r="U42" s="776">
        <f t="shared" si="13"/>
        <v>100</v>
      </c>
      <c r="V42" s="775" t="s">
        <v>17</v>
      </c>
      <c r="W42" s="776">
        <f t="shared" si="14"/>
        <v>100</v>
      </c>
      <c r="X42" s="777"/>
      <c r="Y42" s="3314"/>
      <c r="Z42" s="778" t="str">
        <f t="shared" si="15"/>
        <v>单套建筑面积</v>
      </c>
      <c r="AA42" s="1809">
        <f t="shared" si="3"/>
        <v>1</v>
      </c>
      <c r="AB42" s="1809">
        <f t="shared" si="4"/>
        <v>1</v>
      </c>
      <c r="AC42" s="2668">
        <f t="shared" si="5"/>
        <v>1</v>
      </c>
    </row>
    <row r="43" spans="1:29" ht="15">
      <c r="A43" s="471"/>
      <c r="B43" s="421" t="s">
        <v>2660</v>
      </c>
      <c r="C43" s="459" t="s">
        <v>3218</v>
      </c>
      <c r="D43" s="434">
        <v>100</v>
      </c>
      <c r="E43" s="459" t="s">
        <v>3220</v>
      </c>
      <c r="F43" s="460">
        <f>SUMIF(123:123,E43,124:124)-SUMIF(123:123,C43,124:124)+100</f>
        <v>98</v>
      </c>
      <c r="G43" s="459" t="s">
        <v>3220</v>
      </c>
      <c r="H43" s="434">
        <f>SUMIF(123:123,G43,124:124)-SUMIF(123:123,C43,124:124)+100</f>
        <v>98</v>
      </c>
      <c r="I43" s="459" t="s">
        <v>3218</v>
      </c>
      <c r="J43" s="434">
        <f>SUMIF(123:123,I43,124:124)-SUMIF(123:123,C43,124:124)+100</f>
        <v>100</v>
      </c>
      <c r="K43" s="611">
        <v>2</v>
      </c>
      <c r="L43" s="1138"/>
      <c r="M43" s="1129"/>
      <c r="N43" s="1129"/>
      <c r="O43" s="1129"/>
      <c r="P43" s="3312"/>
      <c r="Q43" s="1808" t="str">
        <f t="shared" si="11"/>
        <v>内部装修</v>
      </c>
      <c r="R43" s="772" t="s">
        <v>17</v>
      </c>
      <c r="S43" s="773">
        <f t="shared" si="12"/>
        <v>98</v>
      </c>
      <c r="T43" s="772" t="s">
        <v>17</v>
      </c>
      <c r="U43" s="773">
        <f t="shared" si="13"/>
        <v>98</v>
      </c>
      <c r="V43" s="772" t="s">
        <v>17</v>
      </c>
      <c r="W43" s="773">
        <f t="shared" si="14"/>
        <v>100</v>
      </c>
      <c r="X43" s="1811"/>
      <c r="Y43" s="3314"/>
      <c r="Z43" s="1812" t="str">
        <f t="shared" si="15"/>
        <v>内部装修</v>
      </c>
      <c r="AA43" s="1809">
        <f t="shared" si="3"/>
        <v>1.0204081632653061</v>
      </c>
      <c r="AB43" s="1809">
        <f t="shared" si="4"/>
        <v>1.0204081632653061</v>
      </c>
      <c r="AC43" s="2668">
        <f t="shared" si="5"/>
        <v>1</v>
      </c>
    </row>
    <row r="44" spans="1:29" ht="15">
      <c r="A44" s="471"/>
      <c r="B44" s="421" t="s">
        <v>2568</v>
      </c>
      <c r="C44" s="459" t="s">
        <v>3173</v>
      </c>
      <c r="D44" s="434">
        <v>100</v>
      </c>
      <c r="E44" s="459" t="s">
        <v>3173</v>
      </c>
      <c r="F44" s="460">
        <f>SUMIF(125:125,E44,126:126)-SUMIF(125:125,C44,126:126)+100</f>
        <v>100</v>
      </c>
      <c r="G44" s="459" t="s">
        <v>3173</v>
      </c>
      <c r="H44" s="434">
        <f>SUMIF(125:125,G44,126:126)-SUMIF(125:125,C44,126:126)+100</f>
        <v>100</v>
      </c>
      <c r="I44" s="459" t="s">
        <v>3173</v>
      </c>
      <c r="J44" s="434">
        <f>SUMIF(125:125,I44,126:126)-SUMIF(125:125,C44,126:126)+100</f>
        <v>100</v>
      </c>
      <c r="K44" s="611">
        <v>2</v>
      </c>
      <c r="L44" s="1138"/>
      <c r="M44" s="1129"/>
      <c r="N44" s="1129"/>
      <c r="O44" s="1129"/>
      <c r="P44" s="3312"/>
      <c r="Q44" s="1808" t="str">
        <f t="shared" si="11"/>
        <v>内部装修维护情况</v>
      </c>
      <c r="R44" s="772" t="s">
        <v>17</v>
      </c>
      <c r="S44" s="773">
        <f t="shared" si="12"/>
        <v>100</v>
      </c>
      <c r="T44" s="772" t="s">
        <v>17</v>
      </c>
      <c r="U44" s="773">
        <f t="shared" si="13"/>
        <v>100</v>
      </c>
      <c r="V44" s="772" t="s">
        <v>17</v>
      </c>
      <c r="W44" s="773">
        <f t="shared" si="14"/>
        <v>100</v>
      </c>
      <c r="X44" s="1811"/>
      <c r="Y44" s="3314"/>
      <c r="Z44" s="1812" t="str">
        <f t="shared" si="15"/>
        <v>内部装修维护情况</v>
      </c>
      <c r="AA44" s="1809">
        <f t="shared" si="3"/>
        <v>1</v>
      </c>
      <c r="AB44" s="1809">
        <f t="shared" si="4"/>
        <v>1</v>
      </c>
      <c r="AC44" s="2668">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312"/>
      <c r="Q45" s="1793">
        <f t="shared" si="11"/>
        <v>111</v>
      </c>
      <c r="R45" s="768" t="s">
        <v>17</v>
      </c>
      <c r="S45" s="769">
        <f t="shared" si="12"/>
        <v>100</v>
      </c>
      <c r="T45" s="768" t="s">
        <v>17</v>
      </c>
      <c r="U45" s="769">
        <f t="shared" si="13"/>
        <v>100</v>
      </c>
      <c r="V45" s="768" t="s">
        <v>17</v>
      </c>
      <c r="W45" s="769">
        <f t="shared" si="14"/>
        <v>100</v>
      </c>
      <c r="X45" s="770"/>
      <c r="Y45" s="3314"/>
      <c r="Z45" s="54">
        <f t="shared" si="15"/>
        <v>111</v>
      </c>
      <c r="AA45" s="771">
        <f t="shared" si="3"/>
        <v>1</v>
      </c>
      <c r="AB45" s="771">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v>2005</v>
      </c>
      <c r="N46" s="1129"/>
      <c r="O46" s="1129"/>
      <c r="P46" s="3312"/>
      <c r="Q46" s="1808">
        <f t="shared" si="11"/>
        <v>111</v>
      </c>
      <c r="R46" s="772" t="s">
        <v>17</v>
      </c>
      <c r="S46" s="773">
        <f t="shared" si="12"/>
        <v>100</v>
      </c>
      <c r="T46" s="772" t="s">
        <v>17</v>
      </c>
      <c r="U46" s="773">
        <f t="shared" si="13"/>
        <v>100</v>
      </c>
      <c r="V46" s="772" t="s">
        <v>17</v>
      </c>
      <c r="W46" s="773">
        <f t="shared" si="14"/>
        <v>100</v>
      </c>
      <c r="X46" s="1811"/>
      <c r="Y46" s="3314"/>
      <c r="Z46" s="1812">
        <f t="shared" si="15"/>
        <v>111</v>
      </c>
      <c r="AA46" s="1809">
        <f t="shared" si="3"/>
        <v>1</v>
      </c>
      <c r="AB46" s="1809">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v>2008</v>
      </c>
      <c r="N47" s="1129"/>
      <c r="O47" s="1129"/>
      <c r="P47" s="3313"/>
      <c r="Q47" s="1808">
        <f t="shared" si="11"/>
        <v>111</v>
      </c>
      <c r="R47" s="772" t="s">
        <v>17</v>
      </c>
      <c r="S47" s="773">
        <f t="shared" si="12"/>
        <v>100</v>
      </c>
      <c r="T47" s="772" t="s">
        <v>17</v>
      </c>
      <c r="U47" s="773">
        <f t="shared" si="13"/>
        <v>100</v>
      </c>
      <c r="V47" s="772" t="s">
        <v>17</v>
      </c>
      <c r="W47" s="773">
        <f t="shared" si="14"/>
        <v>100</v>
      </c>
      <c r="X47" s="1811"/>
      <c r="Y47" s="3315"/>
      <c r="Z47" s="1812">
        <f t="shared" si="15"/>
        <v>111</v>
      </c>
      <c r="AA47" s="1809">
        <f t="shared" si="3"/>
        <v>1</v>
      </c>
      <c r="AB47" s="1809">
        <f t="shared" si="4"/>
        <v>1</v>
      </c>
      <c r="AC47" s="2668">
        <f t="shared" si="5"/>
        <v>1</v>
      </c>
    </row>
    <row r="48" spans="1:29" ht="15">
      <c r="A48" s="478" t="s">
        <v>2569</v>
      </c>
      <c r="B48" s="479"/>
      <c r="C48" s="1405" t="s">
        <v>1</v>
      </c>
      <c r="D48" s="1406"/>
      <c r="E48" s="1407">
        <v>44000</v>
      </c>
      <c r="F48" s="1408"/>
      <c r="G48" s="1409">
        <v>43300</v>
      </c>
      <c r="H48" s="1410"/>
      <c r="I48" s="1407">
        <v>40000</v>
      </c>
      <c r="J48" s="484"/>
      <c r="K48" s="781"/>
      <c r="L48" s="1141"/>
      <c r="M48" s="1129">
        <v>2008</v>
      </c>
      <c r="N48" s="1129"/>
      <c r="O48" s="1129"/>
      <c r="P48" s="3289" t="str">
        <f>A48</f>
        <v>成交单价（元/平方米）</v>
      </c>
      <c r="Q48" s="3307"/>
      <c r="R48" s="3308">
        <f>E48</f>
        <v>44000</v>
      </c>
      <c r="S48" s="3308"/>
      <c r="T48" s="3308">
        <f>G48</f>
        <v>43300</v>
      </c>
      <c r="U48" s="3308"/>
      <c r="V48" s="3308">
        <f>I48</f>
        <v>40000</v>
      </c>
      <c r="W48" s="3308"/>
      <c r="X48" s="445"/>
      <c r="Y48" s="779"/>
      <c r="Z48" s="445"/>
      <c r="AA48" s="445"/>
      <c r="AB48" s="445"/>
      <c r="AC48" s="629"/>
    </row>
    <row r="49" spans="1:29" ht="15.75" thickBot="1">
      <c r="A49" s="485" t="s">
        <v>2661</v>
      </c>
      <c r="B49" s="486"/>
      <c r="C49" s="1411">
        <f>R50</f>
        <v>43770</v>
      </c>
      <c r="D49" s="1412"/>
      <c r="E49" s="1413">
        <f>R49</f>
        <v>44506</v>
      </c>
      <c r="F49" s="1413"/>
      <c r="G49" s="1411">
        <f>T49</f>
        <v>45568</v>
      </c>
      <c r="H49" s="1412"/>
      <c r="I49" s="1413">
        <f>V49</f>
        <v>41237</v>
      </c>
      <c r="J49" s="488"/>
      <c r="K49" s="782"/>
      <c r="L49" s="1141"/>
      <c r="M49" s="1129"/>
      <c r="N49" s="1129"/>
      <c r="O49" s="1129"/>
      <c r="P49" s="3289" t="str">
        <f>A49</f>
        <v>比较价值（元/平方米）</v>
      </c>
      <c r="Q49" s="3307"/>
      <c r="R49" s="3308">
        <f>IF(F1="售价",ROUND(PRODUCT(R48,AA7:AA47),0),ROUND(PRODUCT(R48,AA7:AA47),1))</f>
        <v>44506</v>
      </c>
      <c r="S49" s="3308"/>
      <c r="T49" s="3308">
        <f>IF(F1="售价",ROUND(PRODUCT(T48,AB7:AB47),0),ROUND(PRODUCT(T48,AB7:AB47),1))</f>
        <v>45568</v>
      </c>
      <c r="U49" s="3308"/>
      <c r="V49" s="3308">
        <f>IF(F1="售价",ROUND(PRODUCT(V48,AC7:AC47),0),ROUND(PRODUCT(V48,AC7:AC47),1))</f>
        <v>41237</v>
      </c>
      <c r="W49" s="3308"/>
      <c r="X49" s="445"/>
      <c r="Y49" s="445"/>
      <c r="Z49" s="445"/>
      <c r="AA49" s="445"/>
      <c r="AB49" s="445"/>
      <c r="AC49" s="629"/>
    </row>
    <row r="50" spans="1:29" ht="15.75" thickBot="1">
      <c r="A50" s="491" t="s">
        <v>2662</v>
      </c>
      <c r="B50" s="492"/>
      <c r="C50" s="1415">
        <f>R50</f>
        <v>43770</v>
      </c>
      <c r="D50" s="1415"/>
      <c r="E50" s="1415"/>
      <c r="F50" s="1415"/>
      <c r="G50" s="1415"/>
      <c r="H50" s="1415"/>
      <c r="I50" s="1415"/>
      <c r="J50" s="493"/>
      <c r="K50" s="783"/>
      <c r="L50" s="1141"/>
      <c r="M50" s="1129"/>
      <c r="N50" s="1129"/>
      <c r="O50" s="1129"/>
      <c r="P50" s="3336" t="str">
        <f>A50</f>
        <v>估价对象XX用房的比较价值（楼面单价，元/平方米）</v>
      </c>
      <c r="Q50" s="3337"/>
      <c r="R50" s="3338">
        <f>IF(F1="售价",ROUND(AVERAGE(R49:V49),0),ROUND(AVERAGE(R49:V49),1))</f>
        <v>43770</v>
      </c>
      <c r="S50" s="3338"/>
      <c r="T50" s="3338"/>
      <c r="U50" s="3338"/>
      <c r="V50" s="3338"/>
      <c r="W50" s="3338"/>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f>IF(E48&lt;E49,E49/E48-1,E48/E49-1)</f>
        <v>1.1500000000000066E-2</v>
      </c>
      <c r="F53" s="499" t="str">
        <f>IF(OR(E53&gt;=0.3,E53&lt;=-0.3),"超过30%","")</f>
        <v/>
      </c>
      <c r="G53" s="498">
        <f>IF(G48&lt;G49,G49/G48-1,G48/G49-1)</f>
        <v>5.2378752886836022E-2</v>
      </c>
      <c r="H53" s="499" t="str">
        <f>IF(OR(G53&gt;=0.3,G53&lt;=-0.3),"超过30%","")</f>
        <v/>
      </c>
      <c r="I53" s="498">
        <f>IF(I48&lt;I49,I49/I48-1,I48/I49-1)</f>
        <v>3.0925000000000091E-2</v>
      </c>
      <c r="J53" s="499" t="str">
        <f>IF(OR(I53&gt;=0.3,I53&lt;=-0.3),"超过30%","")</f>
        <v/>
      </c>
      <c r="K53" s="1103"/>
      <c r="L53" s="1104"/>
      <c r="M53" s="1142"/>
      <c r="N53" s="1142"/>
      <c r="O53" s="1142"/>
    </row>
    <row r="54" spans="1:29" ht="13.5" customHeight="1">
      <c r="A54" s="1142"/>
      <c r="B54" s="1142"/>
      <c r="C54" s="496" t="s">
        <v>2664</v>
      </c>
      <c r="D54" s="500"/>
      <c r="E54" s="498">
        <f>IF(E49&lt;G49,G49/E49-1,E49/G49-1)</f>
        <v>2.3861951197591269E-2</v>
      </c>
      <c r="F54" s="499" t="str">
        <f>IF(OR(E54&gt;=0.2,E54&lt;=-0.2),"超过20%","")</f>
        <v/>
      </c>
      <c r="G54" s="498">
        <f>IF(G49&lt;I49,I49/G49-1,G49/I49-1)</f>
        <v>0.10502703882435682</v>
      </c>
      <c r="H54" s="499" t="str">
        <f>IF(OR(G54&gt;=0.2,G54&lt;=-0.2),"超过20%","")</f>
        <v/>
      </c>
      <c r="I54" s="498">
        <f>IF(I49&lt;E49,E49/I49-1,I49/E49-1)</f>
        <v>7.9273468002037051E-2</v>
      </c>
      <c r="J54" s="499" t="str">
        <f>IF(OR(I54&gt;=0.2,I54&lt;=-0.2),"超过20%","")</f>
        <v/>
      </c>
      <c r="K54" s="1103"/>
      <c r="L54" s="1104"/>
      <c r="M54" s="1142"/>
      <c r="N54" s="1142"/>
      <c r="O54" s="1142"/>
    </row>
    <row r="55" spans="1:29" s="501" customFormat="1" ht="13.5" customHeight="1">
      <c r="A55" s="1143"/>
      <c r="B55" s="1143"/>
      <c r="C55" s="496" t="s">
        <v>2665</v>
      </c>
      <c r="D55" s="500"/>
      <c r="E55" s="498">
        <f>IF(E48&lt;G48,G48/E48-1,E48/G48-1)</f>
        <v>1.616628175519641E-2</v>
      </c>
      <c r="F55" s="499" t="str">
        <f>IF(OR(E55&gt;=0.3,E55&lt;=-0.3),"超过30%","")</f>
        <v/>
      </c>
      <c r="G55" s="498">
        <f>IF(G48&lt;I48,I48/G48-1,G48/I48-1)</f>
        <v>8.2500000000000018E-2</v>
      </c>
      <c r="H55" s="499" t="str">
        <f>IF(OR(G55&gt;=0.3,G55&lt;=-0.3),"超过30%","")</f>
        <v/>
      </c>
      <c r="I55" s="498">
        <f>IF(I48&lt;E48,E48/I48-1,I48/E48-1)</f>
        <v>0.10000000000000009</v>
      </c>
      <c r="J55" s="499" t="str">
        <f>IF(OR(I55&gt;=0.3,I55&lt;=-0.3),"超过30%","")</f>
        <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1" t="s">
        <v>2666</v>
      </c>
      <c r="B58" s="757"/>
      <c r="C58" s="762"/>
      <c r="D58" s="762"/>
      <c r="E58" s="762"/>
      <c r="F58" s="763"/>
      <c r="G58" s="763"/>
      <c r="H58" s="762"/>
      <c r="I58" s="762"/>
      <c r="J58" s="762"/>
      <c r="K58" s="764"/>
      <c r="L58" s="1159"/>
      <c r="M58" s="1157"/>
      <c r="N58" s="1157"/>
      <c r="O58" s="1157"/>
      <c r="P58" s="2675"/>
      <c r="Q58" s="503"/>
    </row>
    <row r="59" spans="1:29" s="507" customFormat="1" ht="15">
      <c r="A59" s="504" t="s">
        <v>2540</v>
      </c>
      <c r="B59" s="505"/>
      <c r="C59" s="1572" t="str">
        <f>YEAR(C7)&amp;"-"&amp;MONTH(C7)</f>
        <v>2020-5</v>
      </c>
      <c r="D59" s="1573">
        <f>EDATE(C59,-1)</f>
        <v>43922</v>
      </c>
      <c r="E59" s="1573">
        <f>EDATE(D59,-1)</f>
        <v>43891</v>
      </c>
      <c r="F59" s="1573">
        <f t="shared" ref="F59:O59" si="16">EDATE(E59,-1)</f>
        <v>43862</v>
      </c>
      <c r="G59" s="1573">
        <f t="shared" si="16"/>
        <v>43831</v>
      </c>
      <c r="H59" s="1573">
        <f t="shared" si="16"/>
        <v>43800</v>
      </c>
      <c r="I59" s="1573">
        <f t="shared" si="16"/>
        <v>43770</v>
      </c>
      <c r="J59" s="1573">
        <f t="shared" si="16"/>
        <v>43739</v>
      </c>
      <c r="K59" s="1573">
        <f t="shared" si="16"/>
        <v>43709</v>
      </c>
      <c r="L59" s="1573">
        <f t="shared" si="16"/>
        <v>43678</v>
      </c>
      <c r="M59" s="1573">
        <f t="shared" si="16"/>
        <v>43647</v>
      </c>
      <c r="N59" s="1573">
        <f t="shared" si="16"/>
        <v>43617</v>
      </c>
      <c r="O59" s="1573">
        <f t="shared" si="16"/>
        <v>43586</v>
      </c>
      <c r="P59" s="1569"/>
    </row>
    <row r="60" spans="1:29" s="116" customFormat="1" ht="15">
      <c r="A60" s="508"/>
      <c r="B60" s="509"/>
      <c r="C60" s="1571">
        <v>100</v>
      </c>
      <c r="D60" s="511">
        <v>100</v>
      </c>
      <c r="E60" s="511">
        <v>100</v>
      </c>
      <c r="F60" s="511">
        <v>100</v>
      </c>
      <c r="G60" s="511">
        <v>100</v>
      </c>
      <c r="H60" s="511">
        <v>100</v>
      </c>
      <c r="I60" s="511">
        <v>100</v>
      </c>
      <c r="J60" s="511">
        <v>100</v>
      </c>
      <c r="K60" s="511">
        <v>100</v>
      </c>
      <c r="L60" s="511">
        <v>100</v>
      </c>
      <c r="M60" s="511">
        <v>100</v>
      </c>
      <c r="N60" s="511">
        <v>100</v>
      </c>
      <c r="O60" s="511">
        <v>100</v>
      </c>
      <c r="P60" s="2676"/>
    </row>
    <row r="61" spans="1:29" s="116" customFormat="1" ht="15.75" thickBot="1">
      <c r="A61" s="514" t="s">
        <v>2577</v>
      </c>
      <c r="B61" s="515"/>
      <c r="C61" s="516"/>
      <c r="D61" s="517"/>
      <c r="E61" s="517"/>
      <c r="F61" s="517"/>
      <c r="G61" s="517"/>
      <c r="H61" s="517"/>
      <c r="I61" s="517"/>
      <c r="J61" s="517"/>
      <c r="K61" s="517"/>
      <c r="L61" s="517"/>
      <c r="M61" s="518"/>
      <c r="N61" s="517"/>
      <c r="O61" s="518"/>
      <c r="P61" s="2676"/>
      <c r="Q61" s="503"/>
    </row>
    <row r="62" spans="1:29" s="116" customFormat="1" ht="15">
      <c r="A62" s="520" t="s">
        <v>2542</v>
      </c>
      <c r="B62" s="509"/>
      <c r="C62" s="521" t="s">
        <v>2644</v>
      </c>
      <c r="D62" s="522"/>
      <c r="E62" s="522"/>
      <c r="F62" s="522"/>
      <c r="G62" s="522"/>
      <c r="H62" s="522"/>
      <c r="I62" s="522"/>
      <c r="J62" s="522"/>
      <c r="K62" s="522"/>
      <c r="L62" s="523"/>
      <c r="M62" s="524"/>
      <c r="N62" s="1149"/>
      <c r="O62" s="1149"/>
      <c r="P62" s="2677"/>
      <c r="Q62" s="503"/>
    </row>
    <row r="63" spans="1:29" s="116"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2580</v>
      </c>
      <c r="B64" s="527" t="s">
        <v>2546</v>
      </c>
      <c r="C64" s="528" t="str">
        <f>C9</f>
        <v>办公</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8"/>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1"/>
      <c r="O67" s="1151"/>
      <c r="P67" s="2678"/>
      <c r="Q67" s="503"/>
    </row>
    <row r="68" spans="1:17" ht="15.75" thickTop="1">
      <c r="A68" s="533"/>
      <c r="B68" s="545" t="s">
        <v>2550</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ht="15">
      <c r="A69" s="533"/>
      <c r="B69" s="547"/>
      <c r="C69" s="548">
        <v>0</v>
      </c>
      <c r="D69" s="548">
        <v>1</v>
      </c>
      <c r="E69" s="548">
        <v>2</v>
      </c>
      <c r="F69" s="548">
        <v>3</v>
      </c>
      <c r="G69" s="548"/>
      <c r="H69" s="548"/>
      <c r="I69" s="548"/>
      <c r="J69" s="548"/>
      <c r="K69" s="549"/>
      <c r="L69" s="550"/>
      <c r="M69" s="551"/>
      <c r="N69" s="1150"/>
      <c r="O69" s="1150"/>
      <c r="P69" s="2678"/>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78"/>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78"/>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78"/>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8"/>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1"/>
      <c r="O84" s="1151"/>
      <c r="P84" s="2678"/>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78"/>
      <c r="Q86" s="503"/>
    </row>
    <row r="87" spans="1:17" s="116" customFormat="1" ht="27.75" thickTop="1">
      <c r="A87" s="578"/>
      <c r="B87" s="537" t="s">
        <v>2691</v>
      </c>
      <c r="C87" s="2976" t="s">
        <v>3242</v>
      </c>
      <c r="D87" s="2976" t="s">
        <v>3237</v>
      </c>
      <c r="E87" s="2976" t="s">
        <v>3239</v>
      </c>
      <c r="F87" s="2976" t="s">
        <v>3240</v>
      </c>
      <c r="G87" s="2976" t="s">
        <v>3241</v>
      </c>
      <c r="H87" s="553"/>
      <c r="I87" s="553"/>
      <c r="J87" s="553"/>
      <c r="K87" s="553"/>
      <c r="L87" s="579"/>
      <c r="M87" s="580"/>
      <c r="N87" s="1149"/>
      <c r="O87" s="1149"/>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1"/>
      <c r="O88" s="1151"/>
      <c r="P88" s="2678"/>
      <c r="Q88" s="503"/>
    </row>
    <row r="89" spans="1:17" s="116" customFormat="1" ht="15.75" thickTop="1">
      <c r="A89" s="578"/>
      <c r="B89" s="537" t="str">
        <f>B27</f>
        <v>楼层</v>
      </c>
      <c r="C89" s="2976" t="s">
        <v>3243</v>
      </c>
      <c r="D89" s="2976" t="s">
        <v>3245</v>
      </c>
      <c r="E89" s="2976" t="s">
        <v>3247</v>
      </c>
      <c r="F89" s="2629"/>
      <c r="G89" s="553"/>
      <c r="H89" s="553"/>
      <c r="I89" s="553"/>
      <c r="J89" s="553"/>
      <c r="K89" s="553"/>
      <c r="L89" s="553"/>
      <c r="M89" s="580"/>
      <c r="N89" s="1149"/>
      <c r="O89" s="1149"/>
      <c r="P89" s="267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21">C92-$K28</f>
        <v>98</v>
      </c>
      <c r="E92" s="543">
        <f t="shared" si="21"/>
        <v>96</v>
      </c>
      <c r="F92" s="543">
        <f t="shared" si="21"/>
        <v>94</v>
      </c>
      <c r="G92" s="543">
        <f t="shared" si="21"/>
        <v>92</v>
      </c>
      <c r="H92" s="543">
        <f t="shared" si="21"/>
        <v>90</v>
      </c>
      <c r="I92" s="543">
        <f t="shared" si="21"/>
        <v>88</v>
      </c>
      <c r="J92" s="543">
        <f t="shared" si="21"/>
        <v>86</v>
      </c>
      <c r="K92" s="543">
        <f t="shared" si="21"/>
        <v>84</v>
      </c>
      <c r="L92" s="543">
        <f t="shared" si="21"/>
        <v>82</v>
      </c>
      <c r="M92" s="543">
        <f t="shared" si="21"/>
        <v>80</v>
      </c>
      <c r="N92" s="1152"/>
      <c r="O92" s="1152"/>
      <c r="P92" s="2679"/>
      <c r="Q92" s="558"/>
    </row>
    <row r="93" spans="1:17" ht="15.75" thickTop="1">
      <c r="A93" s="533"/>
      <c r="B93" s="537">
        <f>B29</f>
        <v>111</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111</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111</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111</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2555</v>
      </c>
      <c r="B101" s="527" t="s">
        <v>2604</v>
      </c>
      <c r="C101" s="2978" t="s">
        <v>3249</v>
      </c>
      <c r="D101" s="2978" t="s">
        <v>3387</v>
      </c>
      <c r="E101" s="5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78"/>
      <c r="Q102" s="503"/>
    </row>
    <row r="103" spans="1:17" ht="29.25" thickTop="1">
      <c r="A103" s="533"/>
      <c r="B103" s="537" t="s">
        <v>2605</v>
      </c>
      <c r="C103" s="577" t="str">
        <f>C104&amp;"(含)"&amp;"-"&amp;D104</f>
        <v>0(含)-500</v>
      </c>
      <c r="D103" s="577" t="str">
        <f t="shared" ref="D103:L103" si="23">D104&amp;"(含)"&amp;"-"&amp;E104</f>
        <v>500(含)-1000</v>
      </c>
      <c r="E103" s="577" t="str">
        <f t="shared" si="23"/>
        <v>1000(含)-1500</v>
      </c>
      <c r="F103" s="577" t="str">
        <f t="shared" si="23"/>
        <v>1500(含)-2000</v>
      </c>
      <c r="G103" s="577" t="str">
        <f t="shared" si="23"/>
        <v>2000(含)-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v>0</v>
      </c>
      <c r="D104" s="594">
        <v>500</v>
      </c>
      <c r="E104" s="594">
        <v>1000</v>
      </c>
      <c r="F104" s="594">
        <v>1500</v>
      </c>
      <c r="G104" s="594">
        <v>2000</v>
      </c>
      <c r="H104" s="594"/>
      <c r="I104" s="594"/>
      <c r="J104" s="595"/>
      <c r="K104" s="595"/>
      <c r="L104" s="596"/>
      <c r="M104" s="597"/>
      <c r="N104" s="1152"/>
      <c r="O104" s="1152"/>
      <c r="P104" s="2679"/>
      <c r="Q104" s="558"/>
    </row>
    <row r="105" spans="1:17" s="470" customFormat="1" ht="15.75" thickBot="1">
      <c r="A105" s="552"/>
      <c r="B105" s="542"/>
      <c r="C105" s="559">
        <v>100</v>
      </c>
      <c r="D105" s="535">
        <v>98</v>
      </c>
      <c r="E105" s="535">
        <v>96</v>
      </c>
      <c r="F105" s="535">
        <v>94</v>
      </c>
      <c r="G105" s="535">
        <v>92</v>
      </c>
      <c r="H105" s="535"/>
      <c r="I105" s="535"/>
      <c r="J105" s="535"/>
      <c r="K105" s="535"/>
      <c r="L105" s="535"/>
      <c r="M105" s="536"/>
      <c r="N105" s="1151"/>
      <c r="O105" s="1151"/>
      <c r="P105" s="2679"/>
      <c r="Q105" s="558"/>
    </row>
    <row r="106" spans="1:17" ht="15" thickTop="1">
      <c r="A106" s="598"/>
      <c r="B106" s="537" t="s">
        <v>2606</v>
      </c>
      <c r="C106" s="2976" t="s">
        <v>3250</v>
      </c>
      <c r="D106" s="2976" t="s">
        <v>3251</v>
      </c>
      <c r="E106" s="2979" t="s">
        <v>3252</v>
      </c>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78"/>
      <c r="Q107" s="503"/>
    </row>
    <row r="108" spans="1:17" ht="15" thickTop="1">
      <c r="A108" s="598"/>
      <c r="B108" s="537" t="s">
        <v>2608</v>
      </c>
      <c r="C108" s="2976" t="s">
        <v>3217</v>
      </c>
      <c r="D108" s="2976" t="s">
        <v>3219</v>
      </c>
      <c r="E108" s="2976" t="s">
        <v>3221</v>
      </c>
      <c r="F108" s="2979" t="s">
        <v>3222</v>
      </c>
      <c r="G108" s="582"/>
      <c r="H108" s="582"/>
      <c r="I108" s="582"/>
      <c r="J108" s="582"/>
      <c r="K108" s="583"/>
      <c r="L108" s="584"/>
      <c r="M108" s="585"/>
      <c r="N108" s="1150"/>
      <c r="O108" s="1150"/>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78"/>
      <c r="Q109" s="503"/>
    </row>
    <row r="110" spans="1:17" ht="15" thickTop="1">
      <c r="A110" s="598"/>
      <c r="B110" s="537" t="s">
        <v>1989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1"/>
      <c r="O112" s="1151"/>
      <c r="P112" s="2678"/>
      <c r="Q112" s="503"/>
    </row>
    <row r="113" spans="1:17" s="470" customFormat="1" ht="15" thickTop="1">
      <c r="A113" s="592"/>
      <c r="B113" s="537" t="s">
        <v>2692</v>
      </c>
      <c r="C113" s="2976" t="s">
        <v>3255</v>
      </c>
      <c r="D113" s="2976" t="s">
        <v>3256</v>
      </c>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2"/>
      <c r="O114" s="1152"/>
      <c r="P114" s="2679"/>
      <c r="Q114" s="558"/>
    </row>
    <row r="115" spans="1:17" ht="15" thickTop="1">
      <c r="A115" s="598"/>
      <c r="B115" s="537" t="s">
        <v>2609</v>
      </c>
      <c r="C115" s="2976" t="s">
        <v>3253</v>
      </c>
      <c r="D115" s="2976" t="s">
        <v>3254</v>
      </c>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1"/>
      <c r="O116" s="1151"/>
      <c r="P116" s="2678"/>
      <c r="Q116" s="503"/>
    </row>
    <row r="117" spans="1:17" ht="15" thickTop="1">
      <c r="A117" s="598"/>
      <c r="B117" s="537" t="s">
        <v>2610</v>
      </c>
      <c r="C117" s="2976" t="s">
        <v>3226</v>
      </c>
      <c r="D117" s="2976" t="s">
        <v>3228</v>
      </c>
      <c r="E117" s="2976" t="s">
        <v>3229</v>
      </c>
      <c r="F117" s="553"/>
      <c r="G117" s="553"/>
      <c r="H117" s="582"/>
      <c r="I117" s="582"/>
      <c r="J117" s="582"/>
      <c r="K117" s="583"/>
      <c r="L117" s="584"/>
      <c r="M117" s="585"/>
      <c r="N117" s="1150"/>
      <c r="O117" s="1150"/>
      <c r="P117" s="2678"/>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1"/>
      <c r="O118" s="1151"/>
      <c r="P118" s="2678"/>
      <c r="Q118" s="503"/>
    </row>
    <row r="119" spans="1:17" ht="15" thickTop="1">
      <c r="A119" s="598"/>
      <c r="B119" s="635" t="s">
        <v>2693</v>
      </c>
      <c r="C119" s="2979" t="s">
        <v>3257</v>
      </c>
      <c r="D119" s="2979" t="s">
        <v>3259</v>
      </c>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78"/>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2612</v>
      </c>
      <c r="C123" s="2976" t="s">
        <v>3217</v>
      </c>
      <c r="D123" s="2976" t="s">
        <v>3219</v>
      </c>
      <c r="E123" s="2976" t="s">
        <v>3221</v>
      </c>
      <c r="F123" s="2979" t="s">
        <v>3222</v>
      </c>
      <c r="G123" s="582"/>
      <c r="H123" s="582"/>
      <c r="I123" s="582"/>
      <c r="J123" s="582"/>
      <c r="K123" s="583"/>
      <c r="L123" s="584"/>
      <c r="M123" s="585"/>
      <c r="N123" s="1150"/>
      <c r="O123" s="1150"/>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1"/>
      <c r="O124" s="1151"/>
      <c r="P124" s="2678"/>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6" sqref="G6:H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3" t="s">
        <v>2694</v>
      </c>
      <c r="C1" s="1618" t="s">
        <v>2522</v>
      </c>
      <c r="D1" s="1619"/>
      <c r="E1" s="1628"/>
      <c r="F1" s="2580"/>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2"/>
      <c r="D2" s="1122" t="e">
        <f ca="1">SUMIF(INDIRECT("'"&amp;F2&amp;"'"&amp;"!A:A"),"承租人权益价值",INDIRECT("'"&amp;F2&amp;"'"&amp;"!c:c"))</f>
        <v>#REF!</v>
      </c>
      <c r="E2" s="2583" t="s">
        <v>2320</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1191.7</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90" t="s">
        <v>2638</v>
      </c>
      <c r="D4" s="3291"/>
      <c r="E4" s="3292" t="s">
        <v>2639</v>
      </c>
      <c r="F4" s="3293"/>
      <c r="G4" s="3290" t="s">
        <v>2640</v>
      </c>
      <c r="H4" s="3291"/>
      <c r="I4" s="3290" t="s">
        <v>2641</v>
      </c>
      <c r="J4" s="3291"/>
      <c r="K4" s="609" t="s">
        <v>2642</v>
      </c>
      <c r="L4" s="1128"/>
      <c r="M4" s="1129"/>
      <c r="N4" s="1129"/>
      <c r="O4" s="1129"/>
      <c r="P4" s="3294" t="s">
        <v>2643</v>
      </c>
      <c r="Q4" s="3295"/>
      <c r="R4" s="3277" t="s">
        <v>2639</v>
      </c>
      <c r="S4" s="3278"/>
      <c r="T4" s="3277" t="s">
        <v>2640</v>
      </c>
      <c r="U4" s="3278"/>
      <c r="V4" s="3302" t="s">
        <v>2641</v>
      </c>
      <c r="W4" s="3302"/>
      <c r="X4" s="1811"/>
      <c r="Y4" s="3277" t="s">
        <v>2643</v>
      </c>
      <c r="Z4" s="3278"/>
      <c r="AA4" s="3272" t="s">
        <v>2639</v>
      </c>
      <c r="AB4" s="3273" t="s">
        <v>2640</v>
      </c>
      <c r="AC4" s="3272" t="s">
        <v>2641</v>
      </c>
    </row>
    <row r="5" spans="1:29" ht="15">
      <c r="A5" s="403"/>
      <c r="B5" s="404"/>
      <c r="C5" s="3319" t="s">
        <v>2534</v>
      </c>
      <c r="D5" s="3284"/>
      <c r="E5" s="3318" t="s">
        <v>2535</v>
      </c>
      <c r="F5" s="3282"/>
      <c r="G5" s="3319" t="s">
        <v>2536</v>
      </c>
      <c r="H5" s="3284"/>
      <c r="I5" s="3319" t="s">
        <v>2537</v>
      </c>
      <c r="J5" s="3284"/>
      <c r="K5" s="609"/>
      <c r="L5" s="1128"/>
      <c r="M5" s="1129"/>
      <c r="N5" s="1129"/>
      <c r="O5" s="1129"/>
      <c r="P5" s="3296"/>
      <c r="Q5" s="3297"/>
      <c r="R5" s="3279"/>
      <c r="S5" s="3280"/>
      <c r="T5" s="3279"/>
      <c r="U5" s="3280"/>
      <c r="V5" s="3302"/>
      <c r="W5" s="3302"/>
      <c r="X5" s="1811"/>
      <c r="Y5" s="3279"/>
      <c r="Z5" s="3280"/>
      <c r="AA5" s="3273"/>
      <c r="AB5" s="3273"/>
      <c r="AC5" s="3273"/>
    </row>
    <row r="6" spans="1:29" ht="15.75" thickBot="1">
      <c r="A6" s="405"/>
      <c r="B6" s="406"/>
      <c r="C6" s="3285" t="s">
        <v>2538</v>
      </c>
      <c r="D6" s="3286"/>
      <c r="E6" s="3287" t="s">
        <v>2538</v>
      </c>
      <c r="F6" s="3288"/>
      <c r="G6" s="3285" t="s">
        <v>2538</v>
      </c>
      <c r="H6" s="3286"/>
      <c r="I6" s="3285" t="s">
        <v>2538</v>
      </c>
      <c r="J6" s="3286"/>
      <c r="K6" s="609" t="s">
        <v>2539</v>
      </c>
      <c r="L6" s="1128"/>
      <c r="M6" s="1129"/>
      <c r="N6" s="1129"/>
      <c r="O6" s="1129"/>
      <c r="P6" s="3298"/>
      <c r="Q6" s="3299"/>
      <c r="R6" s="3279"/>
      <c r="S6" s="3280"/>
      <c r="T6" s="3300"/>
      <c r="U6" s="3301"/>
      <c r="V6" s="3302"/>
      <c r="W6" s="3302"/>
      <c r="X6" s="1811"/>
      <c r="Y6" s="3300"/>
      <c r="Z6" s="3301"/>
      <c r="AA6" s="3274"/>
      <c r="AB6" s="3274"/>
      <c r="AC6" s="3274"/>
    </row>
    <row r="7" spans="1:29" s="116" customFormat="1" ht="15.75" thickBot="1">
      <c r="A7" s="407" t="s">
        <v>2540</v>
      </c>
      <c r="B7" s="408"/>
      <c r="C7" s="409">
        <f>'数据-取费表'!B2</f>
        <v>43969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75" t="s">
        <v>2541</v>
      </c>
      <c r="Q7" s="3303"/>
      <c r="R7" s="768" t="s">
        <v>17</v>
      </c>
      <c r="S7" s="769">
        <f t="shared" ref="S7:S15" si="0">F7</f>
        <v>0</v>
      </c>
      <c r="T7" s="768" t="s">
        <v>17</v>
      </c>
      <c r="U7" s="769">
        <f t="shared" ref="U7:U15" si="1">H7</f>
        <v>0</v>
      </c>
      <c r="V7" s="768" t="s">
        <v>17</v>
      </c>
      <c r="W7" s="769">
        <f t="shared" ref="W7:W15" si="2">J7</f>
        <v>0</v>
      </c>
      <c r="X7" s="770"/>
      <c r="Y7" s="3275" t="s">
        <v>2541</v>
      </c>
      <c r="Z7" s="3276"/>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75" t="s">
        <v>2544</v>
      </c>
      <c r="Q8" s="3276"/>
      <c r="R8" s="768" t="s">
        <v>17</v>
      </c>
      <c r="S8" s="769">
        <f t="shared" si="0"/>
        <v>0</v>
      </c>
      <c r="T8" s="768" t="s">
        <v>17</v>
      </c>
      <c r="U8" s="769">
        <f t="shared" si="1"/>
        <v>0</v>
      </c>
      <c r="V8" s="768" t="s">
        <v>17</v>
      </c>
      <c r="W8" s="769">
        <f t="shared" si="2"/>
        <v>0</v>
      </c>
      <c r="X8" s="770"/>
      <c r="Y8" s="3275" t="s">
        <v>2544</v>
      </c>
      <c r="Z8" s="3276"/>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07" t="s">
        <v>2547</v>
      </c>
      <c r="Q9" s="1793" t="str">
        <f t="shared" ref="Q9:Q15" si="6">B9</f>
        <v>用途</v>
      </c>
      <c r="R9" s="768" t="s">
        <v>17</v>
      </c>
      <c r="S9" s="769">
        <f t="shared" si="0"/>
        <v>100</v>
      </c>
      <c r="T9" s="768" t="s">
        <v>17</v>
      </c>
      <c r="U9" s="769">
        <f t="shared" si="1"/>
        <v>100</v>
      </c>
      <c r="V9" s="768" t="s">
        <v>17</v>
      </c>
      <c r="W9" s="769">
        <f t="shared" si="2"/>
        <v>100</v>
      </c>
      <c r="X9" s="770"/>
      <c r="Y9" s="3099" t="s">
        <v>2548</v>
      </c>
      <c r="Z9" s="54"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07"/>
      <c r="Q10" s="1793" t="str">
        <f t="shared" si="6"/>
        <v>土地使用年限（年）</v>
      </c>
      <c r="R10" s="768" t="s">
        <v>17</v>
      </c>
      <c r="S10" s="769">
        <f t="shared" si="0"/>
        <v>100</v>
      </c>
      <c r="T10" s="768" t="s">
        <v>17</v>
      </c>
      <c r="U10" s="769">
        <f t="shared" si="1"/>
        <v>100</v>
      </c>
      <c r="V10" s="768" t="s">
        <v>17</v>
      </c>
      <c r="W10" s="769">
        <f t="shared" si="2"/>
        <v>100</v>
      </c>
      <c r="X10" s="770"/>
      <c r="Y10" s="3099"/>
      <c r="Z10" s="54"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07"/>
      <c r="Q11" s="1793" t="str">
        <f t="shared" si="6"/>
        <v>容积率</v>
      </c>
      <c r="R11" s="768" t="s">
        <v>17</v>
      </c>
      <c r="S11" s="769" t="e">
        <f t="shared" si="0"/>
        <v>#N/A</v>
      </c>
      <c r="T11" s="768" t="s">
        <v>17</v>
      </c>
      <c r="U11" s="769" t="e">
        <f t="shared" si="1"/>
        <v>#N/A</v>
      </c>
      <c r="V11" s="768" t="s">
        <v>17</v>
      </c>
      <c r="W11" s="769" t="e">
        <f t="shared" si="2"/>
        <v>#N/A</v>
      </c>
      <c r="X11" s="770"/>
      <c r="Y11" s="3099"/>
      <c r="Z11" s="54" t="str">
        <f t="shared" si="7"/>
        <v>容积率</v>
      </c>
      <c r="AA11" s="771" t="e">
        <f t="shared" si="3"/>
        <v>#N/A</v>
      </c>
      <c r="AB11" s="771" t="e">
        <f t="shared" si="4"/>
        <v>#N/A</v>
      </c>
      <c r="AC11" s="771" t="e">
        <f t="shared" si="5"/>
        <v>#N/A</v>
      </c>
    </row>
    <row r="12" spans="1:29" s="116" customFormat="1" ht="15">
      <c r="A12" s="430"/>
      <c r="B12" s="2596">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307"/>
      <c r="Q12" s="1793">
        <f t="shared" si="6"/>
        <v>111</v>
      </c>
      <c r="R12" s="768" t="s">
        <v>17</v>
      </c>
      <c r="S12" s="769">
        <f t="shared" si="0"/>
        <v>100</v>
      </c>
      <c r="T12" s="768" t="s">
        <v>17</v>
      </c>
      <c r="U12" s="769">
        <f t="shared" si="1"/>
        <v>100</v>
      </c>
      <c r="V12" s="768" t="s">
        <v>17</v>
      </c>
      <c r="W12" s="769">
        <f t="shared" si="2"/>
        <v>100</v>
      </c>
      <c r="X12" s="770"/>
      <c r="Y12" s="3099"/>
      <c r="Z12" s="54">
        <f t="shared" si="7"/>
        <v>111</v>
      </c>
      <c r="AA12" s="771">
        <f>D12/F12</f>
        <v>1</v>
      </c>
      <c r="AB12" s="771">
        <f>D12/H12</f>
        <v>1</v>
      </c>
      <c r="AC12" s="771">
        <f>D12/J12</f>
        <v>1</v>
      </c>
    </row>
    <row r="13" spans="1:29" ht="15">
      <c r="A13" s="427"/>
      <c r="B13" s="2596">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307"/>
      <c r="Q13" s="1793">
        <f t="shared" si="6"/>
        <v>111</v>
      </c>
      <c r="R13" s="768" t="s">
        <v>17</v>
      </c>
      <c r="S13" s="769">
        <f t="shared" si="0"/>
        <v>100</v>
      </c>
      <c r="T13" s="768" t="s">
        <v>17</v>
      </c>
      <c r="U13" s="769">
        <f t="shared" si="1"/>
        <v>100</v>
      </c>
      <c r="V13" s="768" t="s">
        <v>17</v>
      </c>
      <c r="W13" s="769">
        <f t="shared" si="2"/>
        <v>100</v>
      </c>
      <c r="X13" s="770"/>
      <c r="Y13" s="3099"/>
      <c r="Z13" s="54">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307"/>
      <c r="Q14" s="1793">
        <f t="shared" si="6"/>
        <v>111</v>
      </c>
      <c r="R14" s="768" t="s">
        <v>17</v>
      </c>
      <c r="S14" s="769">
        <f t="shared" si="0"/>
        <v>100</v>
      </c>
      <c r="T14" s="768" t="s">
        <v>17</v>
      </c>
      <c r="U14" s="769">
        <f t="shared" si="1"/>
        <v>100</v>
      </c>
      <c r="V14" s="768" t="s">
        <v>17</v>
      </c>
      <c r="W14" s="769">
        <f t="shared" si="2"/>
        <v>100</v>
      </c>
      <c r="X14" s="770"/>
      <c r="Y14" s="3099"/>
      <c r="Z14" s="54">
        <f t="shared" si="7"/>
        <v>111</v>
      </c>
      <c r="AA14" s="771">
        <f t="shared" si="3"/>
        <v>1</v>
      </c>
      <c r="AB14" s="771">
        <f t="shared" si="4"/>
        <v>1</v>
      </c>
      <c r="AC14" s="771">
        <f t="shared" si="5"/>
        <v>1</v>
      </c>
    </row>
    <row r="15" spans="1:29" ht="57">
      <c r="A15" s="439" t="s">
        <v>2551</v>
      </c>
      <c r="B15" s="68" t="s">
        <v>2695</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09" t="s">
        <v>2552</v>
      </c>
      <c r="Q15" s="1808" t="str">
        <f t="shared" si="6"/>
        <v>产业集聚程度</v>
      </c>
      <c r="R15" s="772" t="s">
        <v>17</v>
      </c>
      <c r="S15" s="773">
        <f t="shared" si="0"/>
        <v>100</v>
      </c>
      <c r="T15" s="772" t="s">
        <v>17</v>
      </c>
      <c r="U15" s="773">
        <f t="shared" si="1"/>
        <v>100</v>
      </c>
      <c r="V15" s="772" t="s">
        <v>17</v>
      </c>
      <c r="W15" s="773">
        <f t="shared" si="2"/>
        <v>100</v>
      </c>
      <c r="X15" s="1811"/>
      <c r="Y15" s="3309"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10"/>
      <c r="Q16" s="1808"/>
      <c r="R16" s="772"/>
      <c r="S16" s="773"/>
      <c r="T16" s="772"/>
      <c r="U16" s="773"/>
      <c r="V16" s="772"/>
      <c r="W16" s="773"/>
      <c r="X16" s="1811"/>
      <c r="Y16" s="3310"/>
      <c r="Z16" s="1812"/>
      <c r="AA16" s="1809">
        <v>1</v>
      </c>
      <c r="AB16" s="1809">
        <v>1</v>
      </c>
      <c r="AC16" s="1809">
        <v>1</v>
      </c>
    </row>
    <row r="17" spans="1:29" ht="85.5">
      <c r="A17" s="427"/>
      <c r="B17" s="450" t="s">
        <v>2089</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10"/>
      <c r="Q17" s="1808" t="str">
        <f>B17</f>
        <v>交通便捷度</v>
      </c>
      <c r="R17" s="772" t="s">
        <v>17</v>
      </c>
      <c r="S17" s="773">
        <f>F17</f>
        <v>100</v>
      </c>
      <c r="T17" s="772" t="s">
        <v>17</v>
      </c>
      <c r="U17" s="773">
        <f>H17</f>
        <v>100</v>
      </c>
      <c r="V17" s="772" t="s">
        <v>17</v>
      </c>
      <c r="W17" s="773">
        <f>J17</f>
        <v>100</v>
      </c>
      <c r="X17" s="1811"/>
      <c r="Y17" s="3310"/>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310"/>
      <c r="Q18" s="1808"/>
      <c r="R18" s="772"/>
      <c r="S18" s="773"/>
      <c r="T18" s="772"/>
      <c r="U18" s="773"/>
      <c r="V18" s="772"/>
      <c r="W18" s="773"/>
      <c r="X18" s="1811"/>
      <c r="Y18" s="3310"/>
      <c r="Z18" s="1812"/>
      <c r="AA18" s="1809">
        <v>1</v>
      </c>
      <c r="AB18" s="1809">
        <v>1</v>
      </c>
      <c r="AC18" s="1809">
        <v>1</v>
      </c>
    </row>
    <row r="19" spans="1:29" ht="42.75">
      <c r="A19" s="427"/>
      <c r="B19" s="450" t="s">
        <v>2680</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10"/>
      <c r="Q19" s="1808" t="str">
        <f>B19</f>
        <v>公共配套设施</v>
      </c>
      <c r="R19" s="772" t="s">
        <v>17</v>
      </c>
      <c r="S19" s="773">
        <f>F19</f>
        <v>100</v>
      </c>
      <c r="T19" s="772" t="s">
        <v>17</v>
      </c>
      <c r="U19" s="773">
        <f>H19</f>
        <v>100</v>
      </c>
      <c r="V19" s="772" t="s">
        <v>17</v>
      </c>
      <c r="W19" s="773">
        <f>J19</f>
        <v>100</v>
      </c>
      <c r="X19" s="1811"/>
      <c r="Y19" s="3310"/>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310"/>
      <c r="Q20" s="1808"/>
      <c r="R20" s="772"/>
      <c r="S20" s="773"/>
      <c r="T20" s="772"/>
      <c r="U20" s="773"/>
      <c r="V20" s="772"/>
      <c r="W20" s="773"/>
      <c r="X20" s="1811"/>
      <c r="Y20" s="3310"/>
      <c r="Z20" s="1812"/>
      <c r="AA20" s="1809">
        <v>1</v>
      </c>
      <c r="AB20" s="1809">
        <v>1</v>
      </c>
      <c r="AC20" s="1809">
        <v>1</v>
      </c>
    </row>
    <row r="21" spans="1:29" ht="28.5">
      <c r="A21" s="427"/>
      <c r="B21" s="1382" t="s">
        <v>2681</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10"/>
      <c r="Q21" s="1808" t="str">
        <f>B21</f>
        <v>基础设施水平</v>
      </c>
      <c r="R21" s="772" t="s">
        <v>17</v>
      </c>
      <c r="S21" s="773">
        <f>F21</f>
        <v>100</v>
      </c>
      <c r="T21" s="772" t="s">
        <v>17</v>
      </c>
      <c r="U21" s="773">
        <f>H21</f>
        <v>100</v>
      </c>
      <c r="V21" s="772" t="s">
        <v>17</v>
      </c>
      <c r="W21" s="773">
        <f>J21</f>
        <v>100</v>
      </c>
      <c r="X21" s="1811"/>
      <c r="Y21" s="331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310"/>
      <c r="Q22" s="1808"/>
      <c r="R22" s="772"/>
      <c r="S22" s="773"/>
      <c r="T22" s="772"/>
      <c r="U22" s="773"/>
      <c r="V22" s="772"/>
      <c r="W22" s="773"/>
      <c r="X22" s="1811"/>
      <c r="Y22" s="3310"/>
      <c r="Z22" s="1812"/>
      <c r="AA22" s="1809">
        <v>1</v>
      </c>
      <c r="AB22" s="1809">
        <v>1</v>
      </c>
      <c r="AC22" s="1809">
        <v>1</v>
      </c>
    </row>
    <row r="23" spans="1:29" ht="71.25">
      <c r="A23" s="427"/>
      <c r="B23" s="450" t="s">
        <v>2682</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10"/>
      <c r="Q23" s="1808" t="str">
        <f>B23</f>
        <v>环境质量</v>
      </c>
      <c r="R23" s="772" t="s">
        <v>17</v>
      </c>
      <c r="S23" s="773">
        <f>F23</f>
        <v>100</v>
      </c>
      <c r="T23" s="772" t="s">
        <v>17</v>
      </c>
      <c r="U23" s="773">
        <f>H23</f>
        <v>100</v>
      </c>
      <c r="V23" s="772" t="s">
        <v>17</v>
      </c>
      <c r="W23" s="773">
        <f>J23</f>
        <v>100</v>
      </c>
      <c r="X23" s="1811"/>
      <c r="Y23" s="3310"/>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310"/>
      <c r="Q24" s="1808"/>
      <c r="R24" s="772"/>
      <c r="S24" s="773"/>
      <c r="T24" s="772"/>
      <c r="U24" s="773"/>
      <c r="V24" s="772"/>
      <c r="W24" s="773"/>
      <c r="X24" s="1811"/>
      <c r="Y24" s="3310"/>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10"/>
      <c r="Q25" s="1808">
        <f>B25</f>
        <v>111</v>
      </c>
      <c r="R25" s="772" t="s">
        <v>17</v>
      </c>
      <c r="S25" s="773">
        <f>F25</f>
        <v>100</v>
      </c>
      <c r="T25" s="772" t="s">
        <v>17</v>
      </c>
      <c r="U25" s="773">
        <f>H25</f>
        <v>100</v>
      </c>
      <c r="V25" s="772" t="s">
        <v>17</v>
      </c>
      <c r="W25" s="773">
        <f>J25</f>
        <v>100</v>
      </c>
      <c r="X25" s="1811"/>
      <c r="Y25" s="3310"/>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10"/>
      <c r="Q26" s="1808">
        <f t="shared" ref="Q26:Q40" si="11">B26</f>
        <v>111</v>
      </c>
      <c r="R26" s="772" t="s">
        <v>17</v>
      </c>
      <c r="S26" s="773">
        <f>F26</f>
        <v>100</v>
      </c>
      <c r="T26" s="772" t="s">
        <v>17</v>
      </c>
      <c r="U26" s="773">
        <f>H26</f>
        <v>100</v>
      </c>
      <c r="V26" s="772" t="s">
        <v>17</v>
      </c>
      <c r="W26" s="773">
        <f>J26</f>
        <v>100</v>
      </c>
      <c r="X26" s="1811"/>
      <c r="Y26" s="3310"/>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10"/>
      <c r="Q27" s="1793">
        <f t="shared" si="11"/>
        <v>111</v>
      </c>
      <c r="R27" s="768" t="s">
        <v>17</v>
      </c>
      <c r="S27" s="769">
        <f>F27</f>
        <v>100</v>
      </c>
      <c r="T27" s="768" t="s">
        <v>17</v>
      </c>
      <c r="U27" s="769">
        <f>H27</f>
        <v>100</v>
      </c>
      <c r="V27" s="768" t="s">
        <v>17</v>
      </c>
      <c r="W27" s="769">
        <f>J27</f>
        <v>100</v>
      </c>
      <c r="X27" s="770"/>
      <c r="Y27" s="3310"/>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10"/>
      <c r="Q28" s="1808">
        <f t="shared" si="11"/>
        <v>111</v>
      </c>
      <c r="R28" s="772" t="s">
        <v>17</v>
      </c>
      <c r="S28" s="773">
        <f t="shared" ref="S28:S40" si="12">F28</f>
        <v>100</v>
      </c>
      <c r="T28" s="772" t="s">
        <v>17</v>
      </c>
      <c r="U28" s="773">
        <f t="shared" ref="U28:U40" si="13">H28</f>
        <v>100</v>
      </c>
      <c r="V28" s="772" t="s">
        <v>17</v>
      </c>
      <c r="W28" s="773">
        <f t="shared" ref="W28:W40" si="14">J28</f>
        <v>100</v>
      </c>
      <c r="X28" s="1811"/>
      <c r="Y28" s="3310"/>
      <c r="Z28" s="1812">
        <f t="shared" ref="Z28:Z40" si="15">Q28</f>
        <v>111</v>
      </c>
      <c r="AA28" s="1809">
        <f t="shared" si="3"/>
        <v>1</v>
      </c>
      <c r="AB28" s="1809">
        <f t="shared" si="4"/>
        <v>1</v>
      </c>
      <c r="AC28" s="1809">
        <f t="shared" si="5"/>
        <v>1</v>
      </c>
    </row>
    <row r="29" spans="1:29" ht="28.5">
      <c r="A29" s="465" t="s">
        <v>2555</v>
      </c>
      <c r="B29" s="70" t="s">
        <v>2685</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339" t="s">
        <v>2557</v>
      </c>
      <c r="Q29" s="1808" t="str">
        <f t="shared" si="11"/>
        <v>建筑类型</v>
      </c>
      <c r="R29" s="772" t="s">
        <v>17</v>
      </c>
      <c r="S29" s="773">
        <f t="shared" si="12"/>
        <v>100</v>
      </c>
      <c r="T29" s="772" t="s">
        <v>17</v>
      </c>
      <c r="U29" s="773">
        <f t="shared" si="13"/>
        <v>100</v>
      </c>
      <c r="V29" s="772" t="s">
        <v>17</v>
      </c>
      <c r="W29" s="773">
        <f t="shared" si="14"/>
        <v>100</v>
      </c>
      <c r="X29" s="1811"/>
      <c r="Y29" s="3314"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14"/>
      <c r="Q30" s="774" t="str">
        <f t="shared" si="11"/>
        <v>项目建筑规模</v>
      </c>
      <c r="R30" s="775" t="s">
        <v>17</v>
      </c>
      <c r="S30" s="776" t="e">
        <f t="shared" si="12"/>
        <v>#N/A</v>
      </c>
      <c r="T30" s="775" t="s">
        <v>17</v>
      </c>
      <c r="U30" s="776" t="e">
        <f t="shared" si="13"/>
        <v>#N/A</v>
      </c>
      <c r="V30" s="775" t="s">
        <v>17</v>
      </c>
      <c r="W30" s="776" t="e">
        <f t="shared" si="14"/>
        <v>#N/A</v>
      </c>
      <c r="X30" s="777"/>
      <c r="Y30" s="3314"/>
      <c r="Z30" s="778"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14"/>
      <c r="Q31" s="1808" t="str">
        <f t="shared" si="11"/>
        <v>建筑结构</v>
      </c>
      <c r="R31" s="772" t="s">
        <v>17</v>
      </c>
      <c r="S31" s="773">
        <f t="shared" si="12"/>
        <v>100</v>
      </c>
      <c r="T31" s="772" t="s">
        <v>17</v>
      </c>
      <c r="U31" s="773">
        <f t="shared" si="13"/>
        <v>100</v>
      </c>
      <c r="V31" s="772" t="s">
        <v>17</v>
      </c>
      <c r="W31" s="773">
        <f t="shared" si="14"/>
        <v>100</v>
      </c>
      <c r="X31" s="1811"/>
      <c r="Y31" s="3314"/>
      <c r="Z31" s="1812" t="str">
        <f t="shared" si="15"/>
        <v>建筑结构</v>
      </c>
      <c r="AA31" s="1809">
        <f t="shared" si="3"/>
        <v>1</v>
      </c>
      <c r="AB31" s="1809">
        <f t="shared" si="4"/>
        <v>1</v>
      </c>
      <c r="AC31" s="1809">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14"/>
      <c r="Q32" s="1808" t="str">
        <f t="shared" si="11"/>
        <v>公共部分装修</v>
      </c>
      <c r="R32" s="772" t="s">
        <v>17</v>
      </c>
      <c r="S32" s="773">
        <f t="shared" si="12"/>
        <v>100</v>
      </c>
      <c r="T32" s="772" t="s">
        <v>17</v>
      </c>
      <c r="U32" s="773">
        <f t="shared" si="13"/>
        <v>100</v>
      </c>
      <c r="V32" s="772" t="s">
        <v>17</v>
      </c>
      <c r="W32" s="773">
        <f t="shared" si="14"/>
        <v>100</v>
      </c>
      <c r="X32" s="1811"/>
      <c r="Y32" s="3314"/>
      <c r="Z32" s="1812" t="str">
        <f t="shared" si="15"/>
        <v>公共部分装修</v>
      </c>
      <c r="AA32" s="1809">
        <f t="shared" si="3"/>
        <v>1</v>
      </c>
      <c r="AB32" s="1809">
        <f t="shared" si="4"/>
        <v>1</v>
      </c>
      <c r="AC32" s="1809">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14"/>
      <c r="Q33" s="1808" t="str">
        <f t="shared" si="11"/>
        <v>成新度</v>
      </c>
      <c r="R33" s="772" t="s">
        <v>17</v>
      </c>
      <c r="S33" s="773" t="e">
        <f t="shared" si="12"/>
        <v>#N/A</v>
      </c>
      <c r="T33" s="772" t="s">
        <v>17</v>
      </c>
      <c r="U33" s="773" t="e">
        <f t="shared" si="13"/>
        <v>#N/A</v>
      </c>
      <c r="V33" s="772" t="s">
        <v>17</v>
      </c>
      <c r="W33" s="773" t="e">
        <f t="shared" si="14"/>
        <v>#N/A</v>
      </c>
      <c r="X33" s="1811"/>
      <c r="Y33" s="3314"/>
      <c r="Z33" s="1812" t="str">
        <f t="shared" si="15"/>
        <v>成新度</v>
      </c>
      <c r="AA33" s="1809" t="e">
        <f t="shared" si="3"/>
        <v>#N/A</v>
      </c>
      <c r="AB33" s="1809" t="e">
        <f t="shared" si="4"/>
        <v>#N/A</v>
      </c>
      <c r="AC33" s="1809"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14"/>
      <c r="Q34" s="1793" t="str">
        <f t="shared" si="11"/>
        <v>物业管理</v>
      </c>
      <c r="R34" s="768" t="s">
        <v>17</v>
      </c>
      <c r="S34" s="769">
        <f t="shared" si="12"/>
        <v>100</v>
      </c>
      <c r="T34" s="768" t="s">
        <v>17</v>
      </c>
      <c r="U34" s="769">
        <f t="shared" si="13"/>
        <v>100</v>
      </c>
      <c r="V34" s="768" t="s">
        <v>17</v>
      </c>
      <c r="W34" s="769">
        <f t="shared" si="14"/>
        <v>100</v>
      </c>
      <c r="X34" s="770"/>
      <c r="Y34" s="3314"/>
      <c r="Z34" s="54"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14" t="s">
        <v>2557</v>
      </c>
      <c r="Q35" s="1808" t="str">
        <f t="shared" si="11"/>
        <v>市政基础设施</v>
      </c>
      <c r="R35" s="772" t="s">
        <v>17</v>
      </c>
      <c r="S35" s="773">
        <f t="shared" si="12"/>
        <v>100</v>
      </c>
      <c r="T35" s="772" t="s">
        <v>17</v>
      </c>
      <c r="U35" s="773">
        <f t="shared" si="13"/>
        <v>100</v>
      </c>
      <c r="V35" s="772" t="s">
        <v>17</v>
      </c>
      <c r="W35" s="773">
        <f t="shared" si="14"/>
        <v>100</v>
      </c>
      <c r="X35" s="1811"/>
      <c r="Y35" s="3314" t="s">
        <v>2557</v>
      </c>
      <c r="Z35" s="1812" t="str">
        <f t="shared" si="15"/>
        <v>市政基础设施</v>
      </c>
      <c r="AA35" s="1809">
        <f t="shared" si="3"/>
        <v>1</v>
      </c>
      <c r="AB35" s="1809">
        <f t="shared" si="4"/>
        <v>1</v>
      </c>
      <c r="AC35" s="1809">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14"/>
      <c r="Q36" s="1808" t="str">
        <f t="shared" si="11"/>
        <v>内部装修</v>
      </c>
      <c r="R36" s="772" t="s">
        <v>17</v>
      </c>
      <c r="S36" s="773">
        <f t="shared" si="12"/>
        <v>100</v>
      </c>
      <c r="T36" s="772" t="s">
        <v>17</v>
      </c>
      <c r="U36" s="773">
        <f t="shared" si="13"/>
        <v>100</v>
      </c>
      <c r="V36" s="772" t="s">
        <v>17</v>
      </c>
      <c r="W36" s="773">
        <f t="shared" si="14"/>
        <v>100</v>
      </c>
      <c r="X36" s="1811"/>
      <c r="Y36" s="3314"/>
      <c r="Z36" s="1812" t="str">
        <f t="shared" si="15"/>
        <v>内部装修</v>
      </c>
      <c r="AA36" s="1809">
        <f t="shared" si="3"/>
        <v>1</v>
      </c>
      <c r="AB36" s="1809">
        <f t="shared" si="4"/>
        <v>1</v>
      </c>
      <c r="AC36" s="1809">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14"/>
      <c r="Q37" s="1808" t="str">
        <f t="shared" si="11"/>
        <v>内部装修状况</v>
      </c>
      <c r="R37" s="772" t="s">
        <v>17</v>
      </c>
      <c r="S37" s="773">
        <f t="shared" si="12"/>
        <v>100</v>
      </c>
      <c r="T37" s="772" t="s">
        <v>17</v>
      </c>
      <c r="U37" s="773">
        <f t="shared" si="13"/>
        <v>100</v>
      </c>
      <c r="V37" s="772" t="s">
        <v>17</v>
      </c>
      <c r="W37" s="773">
        <f t="shared" si="14"/>
        <v>100</v>
      </c>
      <c r="X37" s="1811"/>
      <c r="Y37" s="331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14"/>
      <c r="Q38" s="774">
        <f t="shared" si="11"/>
        <v>111</v>
      </c>
      <c r="R38" s="775" t="s">
        <v>17</v>
      </c>
      <c r="S38" s="776">
        <f t="shared" si="12"/>
        <v>100</v>
      </c>
      <c r="T38" s="775" t="s">
        <v>17</v>
      </c>
      <c r="U38" s="776">
        <f t="shared" si="13"/>
        <v>100</v>
      </c>
      <c r="V38" s="775" t="s">
        <v>17</v>
      </c>
      <c r="W38" s="776">
        <f t="shared" si="14"/>
        <v>100</v>
      </c>
      <c r="X38" s="777"/>
      <c r="Y38" s="3314"/>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14"/>
      <c r="Q39" s="1808">
        <f t="shared" si="11"/>
        <v>111</v>
      </c>
      <c r="R39" s="772" t="s">
        <v>17</v>
      </c>
      <c r="S39" s="773">
        <f t="shared" si="12"/>
        <v>100</v>
      </c>
      <c r="T39" s="772" t="s">
        <v>17</v>
      </c>
      <c r="U39" s="773">
        <f t="shared" si="13"/>
        <v>100</v>
      </c>
      <c r="V39" s="772" t="s">
        <v>17</v>
      </c>
      <c r="W39" s="773">
        <f t="shared" si="14"/>
        <v>100</v>
      </c>
      <c r="X39" s="1811"/>
      <c r="Y39" s="3314"/>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15"/>
      <c r="Q40" s="1808">
        <f t="shared" si="11"/>
        <v>111</v>
      </c>
      <c r="R40" s="772" t="s">
        <v>17</v>
      </c>
      <c r="S40" s="773">
        <f t="shared" si="12"/>
        <v>100</v>
      </c>
      <c r="T40" s="772" t="s">
        <v>17</v>
      </c>
      <c r="U40" s="773">
        <f t="shared" si="13"/>
        <v>100</v>
      </c>
      <c r="V40" s="772" t="s">
        <v>17</v>
      </c>
      <c r="W40" s="773">
        <f t="shared" si="14"/>
        <v>100</v>
      </c>
      <c r="X40" s="1811"/>
      <c r="Y40" s="3315"/>
      <c r="Z40" s="1812">
        <f t="shared" si="15"/>
        <v>111</v>
      </c>
      <c r="AA40" s="1809">
        <f t="shared" si="3"/>
        <v>1</v>
      </c>
      <c r="AB40" s="1809">
        <f t="shared" si="4"/>
        <v>1</v>
      </c>
      <c r="AC40" s="1809">
        <f t="shared" si="5"/>
        <v>1</v>
      </c>
    </row>
    <row r="41" spans="1:29" ht="15">
      <c r="A41" s="478" t="s">
        <v>2569</v>
      </c>
      <c r="B41" s="479"/>
      <c r="C41" s="1405" t="s">
        <v>1</v>
      </c>
      <c r="D41" s="1406"/>
      <c r="E41" s="1407"/>
      <c r="F41" s="1408"/>
      <c r="G41" s="1409"/>
      <c r="H41" s="1410"/>
      <c r="I41" s="1407"/>
      <c r="J41" s="1410"/>
      <c r="K41" s="781"/>
      <c r="L41" s="1141"/>
      <c r="M41" s="1142"/>
      <c r="N41" s="1129"/>
      <c r="O41" s="1142"/>
      <c r="P41" s="3307" t="str">
        <f>A41</f>
        <v>成交单价（元/平方米）</v>
      </c>
      <c r="Q41" s="3307"/>
      <c r="R41" s="3308">
        <f>E41</f>
        <v>0</v>
      </c>
      <c r="S41" s="3308"/>
      <c r="T41" s="3308">
        <f>G41</f>
        <v>0</v>
      </c>
      <c r="U41" s="3308"/>
      <c r="V41" s="3308">
        <f>I41</f>
        <v>0</v>
      </c>
      <c r="W41" s="3308"/>
      <c r="X41" s="757"/>
      <c r="Y41" s="779"/>
      <c r="Z41" s="757"/>
      <c r="AA41" s="757"/>
      <c r="AB41" s="757"/>
      <c r="AC41" s="757"/>
    </row>
    <row r="42" spans="1:29" ht="15.75" thickBot="1">
      <c r="A42" s="485" t="s">
        <v>2661</v>
      </c>
      <c r="B42" s="486"/>
      <c r="C42" s="1411" t="e">
        <f>R43</f>
        <v>#DIV/0!</v>
      </c>
      <c r="D42" s="1412"/>
      <c r="E42" s="1413" t="e">
        <f>R42</f>
        <v>#DIV/0!</v>
      </c>
      <c r="F42" s="1413"/>
      <c r="G42" s="1411" t="e">
        <f>T42</f>
        <v>#DIV/0!</v>
      </c>
      <c r="H42" s="1412"/>
      <c r="I42" s="1413" t="e">
        <f>V42</f>
        <v>#DIV/0!</v>
      </c>
      <c r="J42" s="1412"/>
      <c r="K42" s="782"/>
      <c r="L42" s="1141"/>
      <c r="M42" s="1142"/>
      <c r="N42" s="1129"/>
      <c r="O42" s="1142"/>
      <c r="P42" s="3307" t="str">
        <f>A42</f>
        <v>比较价值（元/平方米）</v>
      </c>
      <c r="Q42" s="3307"/>
      <c r="R42" s="3308" t="e">
        <f>IF(F1="售价",ROUND(PRODUCT(R41,AA7:AA40),0),ROUND(PRODUCT(R41,AA7:AA40),1))</f>
        <v>#DIV/0!</v>
      </c>
      <c r="S42" s="3308"/>
      <c r="T42" s="3308" t="e">
        <f>IF(F1="售价",ROUND(PRODUCT(T41,AB7:AB40),0),ROUND(PRODUCT(T41,AB7:AB40),1))</f>
        <v>#DIV/0!</v>
      </c>
      <c r="U42" s="3308"/>
      <c r="V42" s="3308" t="e">
        <f>IF(F1="售价",ROUND(PRODUCT(V41,AC7:AC40),0),ROUND(PRODUCT(V41,AC7:AC40),1))</f>
        <v>#DIV/0!</v>
      </c>
      <c r="W42" s="3308"/>
      <c r="X42" s="757"/>
      <c r="Y42" s="757"/>
      <c r="Z42" s="757"/>
      <c r="AA42" s="757"/>
      <c r="AB42" s="757"/>
      <c r="AC42" s="757"/>
    </row>
    <row r="43" spans="1:29" ht="15.75" thickBot="1">
      <c r="A43" s="491" t="s">
        <v>2662</v>
      </c>
      <c r="B43" s="492"/>
      <c r="C43" s="1415" t="e">
        <f>R43</f>
        <v>#DIV/0!</v>
      </c>
      <c r="D43" s="1415"/>
      <c r="E43" s="1415"/>
      <c r="F43" s="1415"/>
      <c r="G43" s="1415"/>
      <c r="H43" s="1415"/>
      <c r="I43" s="1415"/>
      <c r="J43" s="1415"/>
      <c r="K43" s="783"/>
      <c r="L43" s="1141"/>
      <c r="M43" s="1142"/>
      <c r="N43" s="1142"/>
      <c r="O43" s="1142"/>
      <c r="P43" s="3304" t="str">
        <f>A43</f>
        <v>估价对象XX用房的比较价值（楼面单价，元/平方米）</v>
      </c>
      <c r="Q43" s="3305"/>
      <c r="R43" s="3306" t="e">
        <f>IF(F1="售价",ROUND(AVERAGE(R42:V42),0),ROUND(AVERAGE(R42:V42),1))</f>
        <v>#DIV/0!</v>
      </c>
      <c r="S43" s="3306"/>
      <c r="T43" s="3306"/>
      <c r="U43" s="3306"/>
      <c r="V43" s="3306"/>
      <c r="W43" s="330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2666</v>
      </c>
      <c r="B51" s="757"/>
      <c r="C51" s="762"/>
      <c r="D51" s="762"/>
      <c r="E51" s="762"/>
      <c r="F51" s="763"/>
      <c r="G51" s="763"/>
      <c r="H51" s="762"/>
      <c r="I51" s="762"/>
      <c r="J51" s="762"/>
      <c r="K51" s="1158"/>
      <c r="L51" s="1159"/>
      <c r="M51" s="1157"/>
      <c r="N51" s="1157"/>
      <c r="O51" s="1157"/>
      <c r="P51" s="502"/>
      <c r="Q51" s="503"/>
    </row>
    <row r="52" spans="1:17" s="507" customFormat="1" ht="15">
      <c r="A52" s="504" t="s">
        <v>2540</v>
      </c>
      <c r="B52" s="505"/>
      <c r="C52" s="1572" t="str">
        <f>YEAR(C7)&amp;"-"&amp;MONTH(C7)</f>
        <v>2020-5</v>
      </c>
      <c r="D52" s="1573">
        <f>EDATE(C52,-1)</f>
        <v>43922</v>
      </c>
      <c r="E52" s="1573">
        <f t="shared" ref="E52:O52" si="16">EDATE(D52,-1)</f>
        <v>43891</v>
      </c>
      <c r="F52" s="1573">
        <f t="shared" si="16"/>
        <v>43862</v>
      </c>
      <c r="G52" s="1573">
        <f t="shared" si="16"/>
        <v>43831</v>
      </c>
      <c r="H52" s="1573">
        <f t="shared" si="16"/>
        <v>43800</v>
      </c>
      <c r="I52" s="1573">
        <f t="shared" si="16"/>
        <v>43770</v>
      </c>
      <c r="J52" s="1573">
        <f t="shared" si="16"/>
        <v>43739</v>
      </c>
      <c r="K52" s="1573">
        <f t="shared" si="16"/>
        <v>43709</v>
      </c>
      <c r="L52" s="1573">
        <f t="shared" si="16"/>
        <v>43678</v>
      </c>
      <c r="M52" s="1573">
        <f t="shared" si="16"/>
        <v>43647</v>
      </c>
      <c r="N52" s="1573">
        <f t="shared" si="16"/>
        <v>43617</v>
      </c>
      <c r="O52" s="1573">
        <f t="shared" si="16"/>
        <v>43586</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0"/>
      <c r="B87" s="568"/>
      <c r="C87" s="569"/>
      <c r="D87" s="569"/>
      <c r="E87" s="569"/>
      <c r="F87" s="569"/>
      <c r="G87" s="590"/>
      <c r="H87" s="590"/>
      <c r="I87" s="590"/>
      <c r="J87" s="590"/>
      <c r="K87" s="590"/>
      <c r="L87" s="590"/>
      <c r="M87" s="591"/>
      <c r="N87" s="1151"/>
      <c r="O87" s="1151"/>
      <c r="P87" s="44"/>
      <c r="Q87" s="503"/>
    </row>
    <row r="88" spans="1:17">
      <c r="A88" s="526" t="s">
        <v>2555</v>
      </c>
      <c r="B88" s="527" t="s">
        <v>2604</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2608</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1989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2612</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0"/>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6" sqref="G6:H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0"/>
      <c r="F1" s="2580"/>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2"/>
      <c r="D2" s="1122" t="e">
        <f ca="1">SUMIF(INDIRECT("'"&amp;F2&amp;"'"&amp;"!A:A"),"承租人权益价值",INDIRECT("'"&amp;F2&amp;"'"&amp;"!c:c"))</f>
        <v>#REF!</v>
      </c>
      <c r="E2" s="2583" t="s">
        <v>2320</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2637</v>
      </c>
      <c r="B4" s="401"/>
      <c r="C4" s="3290" t="s">
        <v>2638</v>
      </c>
      <c r="D4" s="3291"/>
      <c r="E4" s="3292" t="s">
        <v>2639</v>
      </c>
      <c r="F4" s="3293"/>
      <c r="G4" s="3290" t="s">
        <v>2640</v>
      </c>
      <c r="H4" s="3291"/>
      <c r="I4" s="3290" t="s">
        <v>2641</v>
      </c>
      <c r="J4" s="3291"/>
      <c r="K4" s="609" t="s">
        <v>2642</v>
      </c>
      <c r="L4" s="1128"/>
      <c r="M4" s="1129"/>
      <c r="N4" s="1129"/>
      <c r="O4" s="1129"/>
      <c r="P4" s="3294" t="s">
        <v>2643</v>
      </c>
      <c r="Q4" s="3295"/>
      <c r="R4" s="3277" t="s">
        <v>2639</v>
      </c>
      <c r="S4" s="3278"/>
      <c r="T4" s="3277" t="s">
        <v>2640</v>
      </c>
      <c r="U4" s="3278"/>
      <c r="V4" s="3302" t="s">
        <v>2641</v>
      </c>
      <c r="W4" s="3302"/>
      <c r="X4" s="1811"/>
      <c r="Y4" s="3277" t="s">
        <v>2643</v>
      </c>
      <c r="Z4" s="3278"/>
      <c r="AA4" s="3272" t="s">
        <v>2639</v>
      </c>
      <c r="AB4" s="3273" t="s">
        <v>2640</v>
      </c>
      <c r="AC4" s="3272" t="s">
        <v>2641</v>
      </c>
    </row>
    <row r="5" spans="1:29" ht="15">
      <c r="A5" s="403"/>
      <c r="B5" s="404"/>
      <c r="C5" s="3319" t="s">
        <v>2534</v>
      </c>
      <c r="D5" s="3284"/>
      <c r="E5" s="3318" t="s">
        <v>2535</v>
      </c>
      <c r="F5" s="3282"/>
      <c r="G5" s="3319" t="s">
        <v>2536</v>
      </c>
      <c r="H5" s="3284"/>
      <c r="I5" s="3319" t="s">
        <v>2537</v>
      </c>
      <c r="J5" s="3284"/>
      <c r="K5" s="609"/>
      <c r="L5" s="1128"/>
      <c r="M5" s="1129"/>
      <c r="N5" s="1129"/>
      <c r="O5" s="1129"/>
      <c r="P5" s="3296"/>
      <c r="Q5" s="3297"/>
      <c r="R5" s="3279"/>
      <c r="S5" s="3280"/>
      <c r="T5" s="3279"/>
      <c r="U5" s="3280"/>
      <c r="V5" s="3302"/>
      <c r="W5" s="3302"/>
      <c r="X5" s="1811"/>
      <c r="Y5" s="3279"/>
      <c r="Z5" s="3280"/>
      <c r="AA5" s="3273"/>
      <c r="AB5" s="3273"/>
      <c r="AC5" s="3273"/>
    </row>
    <row r="6" spans="1:29" ht="15.75" thickBot="1">
      <c r="A6" s="405"/>
      <c r="B6" s="406"/>
      <c r="C6" s="3285" t="s">
        <v>2538</v>
      </c>
      <c r="D6" s="3286"/>
      <c r="E6" s="3287" t="s">
        <v>2538</v>
      </c>
      <c r="F6" s="3288"/>
      <c r="G6" s="3285" t="s">
        <v>2538</v>
      </c>
      <c r="H6" s="3286"/>
      <c r="I6" s="3285" t="s">
        <v>2538</v>
      </c>
      <c r="J6" s="3286"/>
      <c r="K6" s="609" t="s">
        <v>2539</v>
      </c>
      <c r="L6" s="1128"/>
      <c r="M6" s="1129"/>
      <c r="N6" s="1129"/>
      <c r="O6" s="1129"/>
      <c r="P6" s="3298"/>
      <c r="Q6" s="3299"/>
      <c r="R6" s="3279"/>
      <c r="S6" s="3280"/>
      <c r="T6" s="3300"/>
      <c r="U6" s="3301"/>
      <c r="V6" s="3302"/>
      <c r="W6" s="3302"/>
      <c r="X6" s="1811"/>
      <c r="Y6" s="3300"/>
      <c r="Z6" s="3301"/>
      <c r="AA6" s="3274"/>
      <c r="AB6" s="3274"/>
      <c r="AC6" s="3274"/>
    </row>
    <row r="7" spans="1:29" s="116" customFormat="1" ht="15.75" thickBot="1">
      <c r="A7" s="407" t="s">
        <v>2540</v>
      </c>
      <c r="B7" s="408"/>
      <c r="C7" s="409">
        <f>'数据-取费表'!B2</f>
        <v>43969</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75" t="s">
        <v>2541</v>
      </c>
      <c r="Q7" s="3303"/>
      <c r="R7" s="768" t="s">
        <v>17</v>
      </c>
      <c r="S7" s="769">
        <f t="shared" ref="S7:S14" si="0">F7</f>
        <v>0</v>
      </c>
      <c r="T7" s="768" t="s">
        <v>17</v>
      </c>
      <c r="U7" s="769">
        <f t="shared" ref="U7:U14" si="1">H7</f>
        <v>0</v>
      </c>
      <c r="V7" s="768" t="s">
        <v>17</v>
      </c>
      <c r="W7" s="769">
        <f t="shared" ref="W7:W14" si="2">J7</f>
        <v>0</v>
      </c>
      <c r="X7" s="770"/>
      <c r="Y7" s="3275" t="s">
        <v>2541</v>
      </c>
      <c r="Z7" s="3276"/>
      <c r="AA7" s="771" t="e">
        <f>D7/F7</f>
        <v>#DIV/0!</v>
      </c>
      <c r="AB7" s="771" t="e">
        <f>D7/H7</f>
        <v>#DIV/0!</v>
      </c>
      <c r="AC7" s="771"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75" t="s">
        <v>2544</v>
      </c>
      <c r="Q8" s="3276"/>
      <c r="R8" s="768" t="s">
        <v>17</v>
      </c>
      <c r="S8" s="769">
        <f t="shared" si="0"/>
        <v>0</v>
      </c>
      <c r="T8" s="768" t="s">
        <v>17</v>
      </c>
      <c r="U8" s="769">
        <f t="shared" si="1"/>
        <v>0</v>
      </c>
      <c r="V8" s="768" t="s">
        <v>17</v>
      </c>
      <c r="W8" s="769">
        <f t="shared" si="2"/>
        <v>0</v>
      </c>
      <c r="X8" s="770"/>
      <c r="Y8" s="3275" t="s">
        <v>2544</v>
      </c>
      <c r="Z8" s="3276"/>
      <c r="AA8" s="771" t="e">
        <f t="shared" ref="AA8:AA36" si="3">D8/F8</f>
        <v>#DIV/0!</v>
      </c>
      <c r="AB8" s="771" t="e">
        <f t="shared" ref="AB8:AB36" si="4">D8/H8</f>
        <v>#DIV/0!</v>
      </c>
      <c r="AC8" s="771" t="e">
        <f t="shared" ref="AC8:AC36" si="5">D8/J8</f>
        <v>#DIV/0!</v>
      </c>
    </row>
    <row r="9" spans="1:29" s="116" customFormat="1">
      <c r="A9" s="67"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07" t="s">
        <v>2547</v>
      </c>
      <c r="Q9" s="1793" t="str">
        <f t="shared" ref="Q9:Q14" si="6">B9</f>
        <v>用途</v>
      </c>
      <c r="R9" s="768" t="s">
        <v>17</v>
      </c>
      <c r="S9" s="769">
        <f t="shared" si="0"/>
        <v>100</v>
      </c>
      <c r="T9" s="768" t="s">
        <v>17</v>
      </c>
      <c r="U9" s="769">
        <f t="shared" si="1"/>
        <v>100</v>
      </c>
      <c r="V9" s="768" t="s">
        <v>17</v>
      </c>
      <c r="W9" s="769">
        <f t="shared" si="2"/>
        <v>100</v>
      </c>
      <c r="X9" s="770"/>
      <c r="Y9" s="3099" t="s">
        <v>2548</v>
      </c>
      <c r="Z9" s="54" t="str">
        <f t="shared" ref="Z9:Z14" si="7">Q9</f>
        <v>用途</v>
      </c>
      <c r="AA9" s="771">
        <f t="shared" si="3"/>
        <v>1</v>
      </c>
      <c r="AB9" s="771">
        <f t="shared" si="4"/>
        <v>1</v>
      </c>
      <c r="AC9" s="771">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07"/>
      <c r="Q10" s="1793" t="str">
        <f t="shared" si="6"/>
        <v>土地使用年限（年）</v>
      </c>
      <c r="R10" s="768" t="s">
        <v>17</v>
      </c>
      <c r="S10" s="769">
        <f t="shared" si="0"/>
        <v>100</v>
      </c>
      <c r="T10" s="768" t="s">
        <v>17</v>
      </c>
      <c r="U10" s="769">
        <f t="shared" si="1"/>
        <v>100</v>
      </c>
      <c r="V10" s="768" t="s">
        <v>17</v>
      </c>
      <c r="W10" s="769">
        <f t="shared" si="2"/>
        <v>100</v>
      </c>
      <c r="X10" s="770"/>
      <c r="Y10" s="3099"/>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07"/>
      <c r="Q11" s="1793">
        <f t="shared" si="6"/>
        <v>111</v>
      </c>
      <c r="R11" s="768" t="s">
        <v>17</v>
      </c>
      <c r="S11" s="769">
        <f t="shared" si="0"/>
        <v>100</v>
      </c>
      <c r="T11" s="768" t="s">
        <v>17</v>
      </c>
      <c r="U11" s="769">
        <f t="shared" si="1"/>
        <v>100</v>
      </c>
      <c r="V11" s="768" t="s">
        <v>17</v>
      </c>
      <c r="W11" s="769">
        <f t="shared" si="2"/>
        <v>100</v>
      </c>
      <c r="X11" s="770"/>
      <c r="Y11" s="3099"/>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07"/>
      <c r="Q12" s="1793">
        <f t="shared" si="6"/>
        <v>111</v>
      </c>
      <c r="R12" s="768" t="s">
        <v>17</v>
      </c>
      <c r="S12" s="769">
        <f t="shared" si="0"/>
        <v>100</v>
      </c>
      <c r="T12" s="768" t="s">
        <v>17</v>
      </c>
      <c r="U12" s="769">
        <f t="shared" si="1"/>
        <v>100</v>
      </c>
      <c r="V12" s="768" t="s">
        <v>17</v>
      </c>
      <c r="W12" s="769">
        <f t="shared" si="2"/>
        <v>100</v>
      </c>
      <c r="X12" s="770"/>
      <c r="Y12" s="3099"/>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07"/>
      <c r="Q13" s="1793">
        <f t="shared" si="6"/>
        <v>111</v>
      </c>
      <c r="R13" s="768" t="s">
        <v>17</v>
      </c>
      <c r="S13" s="769">
        <f t="shared" si="0"/>
        <v>100</v>
      </c>
      <c r="T13" s="768" t="s">
        <v>17</v>
      </c>
      <c r="U13" s="769">
        <f t="shared" si="1"/>
        <v>100</v>
      </c>
      <c r="V13" s="768" t="s">
        <v>17</v>
      </c>
      <c r="W13" s="769">
        <f t="shared" si="2"/>
        <v>100</v>
      </c>
      <c r="X13" s="770"/>
      <c r="Y13" s="3099"/>
      <c r="Z13" s="54">
        <f t="shared" si="7"/>
        <v>111</v>
      </c>
      <c r="AA13" s="771">
        <f t="shared" si="3"/>
        <v>1</v>
      </c>
      <c r="AB13" s="771">
        <f t="shared" si="4"/>
        <v>1</v>
      </c>
      <c r="AC13" s="771">
        <f t="shared" si="5"/>
        <v>1</v>
      </c>
    </row>
    <row r="14" spans="1:29" ht="15">
      <c r="A14" s="400" t="s">
        <v>2551</v>
      </c>
      <c r="B14" s="628" t="s">
        <v>2701</v>
      </c>
      <c r="C14" s="2687"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09" t="s">
        <v>2552</v>
      </c>
      <c r="Q14" s="1808" t="str">
        <f t="shared" si="6"/>
        <v>交通便捷度</v>
      </c>
      <c r="R14" s="772" t="s">
        <v>17</v>
      </c>
      <c r="S14" s="773">
        <f t="shared" si="0"/>
        <v>100</v>
      </c>
      <c r="T14" s="772" t="s">
        <v>17</v>
      </c>
      <c r="U14" s="773">
        <f t="shared" si="1"/>
        <v>100</v>
      </c>
      <c r="V14" s="772" t="s">
        <v>17</v>
      </c>
      <c r="W14" s="773">
        <f t="shared" si="2"/>
        <v>100</v>
      </c>
      <c r="X14" s="1811"/>
      <c r="Y14" s="3309" t="s">
        <v>2552</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310"/>
      <c r="Q15" s="1808"/>
      <c r="R15" s="772"/>
      <c r="S15" s="773"/>
      <c r="T15" s="772"/>
      <c r="U15" s="773"/>
      <c r="V15" s="772"/>
      <c r="W15" s="773"/>
      <c r="X15" s="1811"/>
      <c r="Y15" s="3310"/>
      <c r="Z15" s="1812"/>
      <c r="AA15" s="1809">
        <v>1</v>
      </c>
      <c r="AB15" s="1809">
        <v>1</v>
      </c>
      <c r="AC15" s="1809">
        <v>1</v>
      </c>
    </row>
    <row r="16" spans="1:29" ht="15">
      <c r="A16" s="403"/>
      <c r="B16" s="630" t="s">
        <v>2680</v>
      </c>
      <c r="C16" s="2603"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10"/>
      <c r="Q16" s="1808" t="str">
        <f>B16</f>
        <v>公共配套设施</v>
      </c>
      <c r="R16" s="772" t="s">
        <v>17</v>
      </c>
      <c r="S16" s="773">
        <f>F16</f>
        <v>100</v>
      </c>
      <c r="T16" s="772" t="s">
        <v>17</v>
      </c>
      <c r="U16" s="773">
        <f>H16</f>
        <v>100</v>
      </c>
      <c r="V16" s="772" t="s">
        <v>17</v>
      </c>
      <c r="W16" s="773">
        <f>J16</f>
        <v>100</v>
      </c>
      <c r="X16" s="1811"/>
      <c r="Y16" s="3310"/>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310"/>
      <c r="Q17" s="1808"/>
      <c r="R17" s="772"/>
      <c r="S17" s="773"/>
      <c r="T17" s="772"/>
      <c r="U17" s="773"/>
      <c r="V17" s="772"/>
      <c r="W17" s="773"/>
      <c r="X17" s="1811"/>
      <c r="Y17" s="3310"/>
      <c r="Z17" s="1812"/>
      <c r="AA17" s="1809">
        <v>1</v>
      </c>
      <c r="AB17" s="1809">
        <v>1</v>
      </c>
      <c r="AC17" s="1809">
        <v>1</v>
      </c>
    </row>
    <row r="18" spans="1:29" ht="15">
      <c r="A18" s="403"/>
      <c r="B18" s="632" t="s">
        <v>2681</v>
      </c>
      <c r="C18" s="2603"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10"/>
      <c r="Q18" s="1808" t="str">
        <f>B18</f>
        <v>基础设施水平</v>
      </c>
      <c r="R18" s="772" t="s">
        <v>17</v>
      </c>
      <c r="S18" s="773">
        <f>F18</f>
        <v>100</v>
      </c>
      <c r="T18" s="772" t="s">
        <v>17</v>
      </c>
      <c r="U18" s="773">
        <f>H18</f>
        <v>100</v>
      </c>
      <c r="V18" s="772" t="s">
        <v>17</v>
      </c>
      <c r="W18" s="773">
        <f>J18</f>
        <v>100</v>
      </c>
      <c r="X18" s="1811"/>
      <c r="Y18" s="3310"/>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310"/>
      <c r="Q19" s="1808"/>
      <c r="R19" s="772"/>
      <c r="S19" s="773"/>
      <c r="T19" s="772"/>
      <c r="U19" s="773"/>
      <c r="V19" s="772"/>
      <c r="W19" s="773"/>
      <c r="X19" s="1811"/>
      <c r="Y19" s="3310"/>
      <c r="Z19" s="1812"/>
      <c r="AA19" s="1809">
        <v>1</v>
      </c>
      <c r="AB19" s="1809">
        <v>1</v>
      </c>
      <c r="AC19" s="1809">
        <v>1</v>
      </c>
    </row>
    <row r="20" spans="1:29" ht="15">
      <c r="A20" s="403"/>
      <c r="B20" s="630" t="s">
        <v>2702</v>
      </c>
      <c r="C20" s="2603"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10"/>
      <c r="Q20" s="1808" t="str">
        <f>B20</f>
        <v>自然及人文环境</v>
      </c>
      <c r="R20" s="772" t="s">
        <v>17</v>
      </c>
      <c r="S20" s="773">
        <f>F20</f>
        <v>100</v>
      </c>
      <c r="T20" s="772" t="s">
        <v>17</v>
      </c>
      <c r="U20" s="773">
        <f>H20</f>
        <v>100</v>
      </c>
      <c r="V20" s="772" t="s">
        <v>17</v>
      </c>
      <c r="W20" s="773">
        <f>J20</f>
        <v>100</v>
      </c>
      <c r="X20" s="1811"/>
      <c r="Y20" s="331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310"/>
      <c r="Q21" s="1808"/>
      <c r="R21" s="772"/>
      <c r="S21" s="773"/>
      <c r="T21" s="772"/>
      <c r="U21" s="773"/>
      <c r="V21" s="772"/>
      <c r="W21" s="773"/>
      <c r="X21" s="1811"/>
      <c r="Y21" s="3310"/>
      <c r="Z21" s="1812"/>
      <c r="AA21" s="1809">
        <v>1</v>
      </c>
      <c r="AB21" s="1809">
        <v>1</v>
      </c>
      <c r="AC21" s="1809">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10"/>
      <c r="Q22" s="1808" t="str">
        <f>B22</f>
        <v>楼层</v>
      </c>
      <c r="R22" s="772" t="s">
        <v>17</v>
      </c>
      <c r="S22" s="773">
        <f>F22</f>
        <v>100</v>
      </c>
      <c r="T22" s="772" t="s">
        <v>17</v>
      </c>
      <c r="U22" s="773">
        <f>H22</f>
        <v>100</v>
      </c>
      <c r="V22" s="772" t="s">
        <v>17</v>
      </c>
      <c r="W22" s="773">
        <f>J22</f>
        <v>100</v>
      </c>
      <c r="X22" s="1811"/>
      <c r="Y22" s="331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10"/>
      <c r="Q23" s="1808">
        <f>B23</f>
        <v>111</v>
      </c>
      <c r="R23" s="772" t="s">
        <v>17</v>
      </c>
      <c r="S23" s="773">
        <f>F23</f>
        <v>100</v>
      </c>
      <c r="T23" s="772" t="s">
        <v>17</v>
      </c>
      <c r="U23" s="773">
        <f>H23</f>
        <v>100</v>
      </c>
      <c r="V23" s="772" t="s">
        <v>17</v>
      </c>
      <c r="W23" s="773">
        <f>J23</f>
        <v>100</v>
      </c>
      <c r="X23" s="1811"/>
      <c r="Y23" s="331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10"/>
      <c r="Q24" s="1808">
        <f t="shared" ref="Q24:Q36" si="11">B24</f>
        <v>111</v>
      </c>
      <c r="R24" s="772" t="s">
        <v>17</v>
      </c>
      <c r="S24" s="773">
        <f>F24</f>
        <v>100</v>
      </c>
      <c r="T24" s="772" t="s">
        <v>17</v>
      </c>
      <c r="U24" s="773">
        <f>H24</f>
        <v>100</v>
      </c>
      <c r="V24" s="772" t="s">
        <v>17</v>
      </c>
      <c r="W24" s="773">
        <f>J24</f>
        <v>100</v>
      </c>
      <c r="X24" s="1811"/>
      <c r="Y24" s="3310"/>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10"/>
      <c r="Q25" s="1793">
        <f t="shared" si="11"/>
        <v>111</v>
      </c>
      <c r="R25" s="768" t="s">
        <v>17</v>
      </c>
      <c r="S25" s="769">
        <f>F25</f>
        <v>100</v>
      </c>
      <c r="T25" s="768" t="s">
        <v>17</v>
      </c>
      <c r="U25" s="769">
        <f>H25</f>
        <v>100</v>
      </c>
      <c r="V25" s="768" t="s">
        <v>17</v>
      </c>
      <c r="W25" s="769">
        <f>J25</f>
        <v>100</v>
      </c>
      <c r="X25" s="770"/>
      <c r="Y25" s="3310"/>
      <c r="Z25" s="54">
        <f>Q25</f>
        <v>111</v>
      </c>
      <c r="AA25" s="1809">
        <f>D25/F25</f>
        <v>1</v>
      </c>
      <c r="AB25" s="1809">
        <f>D25/H25</f>
        <v>1</v>
      </c>
      <c r="AC25" s="1809">
        <f>D25/J25</f>
        <v>1</v>
      </c>
    </row>
    <row r="26" spans="1:29" ht="28.5">
      <c r="A26" s="651" t="s">
        <v>2555</v>
      </c>
      <c r="B26" s="69" t="s">
        <v>2704</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39" t="s">
        <v>2557</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14" t="s">
        <v>2557</v>
      </c>
      <c r="Z26" s="1812" t="str">
        <f t="shared" ref="Z26:Z36" si="15">Q26</f>
        <v>配套类型</v>
      </c>
      <c r="AA26" s="1809">
        <f t="shared" si="3"/>
        <v>1</v>
      </c>
      <c r="AB26" s="1809">
        <f t="shared" si="4"/>
        <v>1</v>
      </c>
      <c r="AC26" s="1809">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14"/>
      <c r="Q27" s="774" t="str">
        <f t="shared" si="11"/>
        <v>项目停车位配比</v>
      </c>
      <c r="R27" s="775" t="s">
        <v>17</v>
      </c>
      <c r="S27" s="776">
        <f t="shared" si="12"/>
        <v>100</v>
      </c>
      <c r="T27" s="775" t="s">
        <v>17</v>
      </c>
      <c r="U27" s="776">
        <f t="shared" si="13"/>
        <v>100</v>
      </c>
      <c r="V27" s="775" t="s">
        <v>17</v>
      </c>
      <c r="W27" s="776">
        <f t="shared" si="14"/>
        <v>100</v>
      </c>
      <c r="X27" s="777"/>
      <c r="Y27" s="3314"/>
      <c r="Z27" s="778" t="str">
        <f t="shared" si="15"/>
        <v>项目停车位配比</v>
      </c>
      <c r="AA27" s="1809">
        <f t="shared" si="3"/>
        <v>1</v>
      </c>
      <c r="AB27" s="1809">
        <f t="shared" si="4"/>
        <v>1</v>
      </c>
      <c r="AC27" s="1809">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14"/>
      <c r="Q28" s="1808" t="str">
        <f t="shared" si="11"/>
        <v>公共部分装修</v>
      </c>
      <c r="R28" s="772" t="s">
        <v>17</v>
      </c>
      <c r="S28" s="773">
        <f t="shared" si="12"/>
        <v>100</v>
      </c>
      <c r="T28" s="772" t="s">
        <v>17</v>
      </c>
      <c r="U28" s="773">
        <f t="shared" si="13"/>
        <v>100</v>
      </c>
      <c r="V28" s="772" t="s">
        <v>17</v>
      </c>
      <c r="W28" s="773">
        <f t="shared" si="14"/>
        <v>100</v>
      </c>
      <c r="X28" s="1811"/>
      <c r="Y28" s="3314"/>
      <c r="Z28" s="1812" t="str">
        <f t="shared" si="15"/>
        <v>公共部分装修</v>
      </c>
      <c r="AA28" s="1809">
        <f t="shared" si="3"/>
        <v>1</v>
      </c>
      <c r="AB28" s="1809">
        <f t="shared" si="4"/>
        <v>1</v>
      </c>
      <c r="AC28" s="1809">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14"/>
      <c r="Q29" s="1808" t="str">
        <f t="shared" si="11"/>
        <v>成新率</v>
      </c>
      <c r="R29" s="772" t="s">
        <v>17</v>
      </c>
      <c r="S29" s="773" t="e">
        <f t="shared" si="12"/>
        <v>#N/A</v>
      </c>
      <c r="T29" s="772" t="s">
        <v>17</v>
      </c>
      <c r="U29" s="773" t="e">
        <f t="shared" si="13"/>
        <v>#N/A</v>
      </c>
      <c r="V29" s="772" t="s">
        <v>17</v>
      </c>
      <c r="W29" s="773" t="e">
        <f t="shared" si="14"/>
        <v>#N/A</v>
      </c>
      <c r="X29" s="1811"/>
      <c r="Y29" s="3314"/>
      <c r="Z29" s="1812" t="str">
        <f t="shared" si="15"/>
        <v>成新率</v>
      </c>
      <c r="AA29" s="1809" t="e">
        <f t="shared" si="3"/>
        <v>#N/A</v>
      </c>
      <c r="AB29" s="1809" t="e">
        <f t="shared" si="4"/>
        <v>#N/A</v>
      </c>
      <c r="AC29" s="1809"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14"/>
      <c r="Q30" s="1808" t="str">
        <f t="shared" si="11"/>
        <v>物业等级</v>
      </c>
      <c r="R30" s="772" t="s">
        <v>17</v>
      </c>
      <c r="S30" s="773">
        <f t="shared" si="12"/>
        <v>100</v>
      </c>
      <c r="T30" s="772" t="s">
        <v>17</v>
      </c>
      <c r="U30" s="773">
        <f t="shared" si="13"/>
        <v>100</v>
      </c>
      <c r="V30" s="772" t="s">
        <v>17</v>
      </c>
      <c r="W30" s="773">
        <f t="shared" si="14"/>
        <v>100</v>
      </c>
      <c r="X30" s="1811"/>
      <c r="Y30" s="3314"/>
      <c r="Z30" s="1812" t="str">
        <f t="shared" si="15"/>
        <v>物业等级</v>
      </c>
      <c r="AA30" s="1809">
        <f t="shared" si="3"/>
        <v>1</v>
      </c>
      <c r="AB30" s="1809">
        <f t="shared" si="4"/>
        <v>1</v>
      </c>
      <c r="AC30" s="1809">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14"/>
      <c r="Q31" s="1793" t="str">
        <f t="shared" si="11"/>
        <v>停车位面积</v>
      </c>
      <c r="R31" s="768" t="s">
        <v>17</v>
      </c>
      <c r="S31" s="769" t="e">
        <f t="shared" si="12"/>
        <v>#N/A</v>
      </c>
      <c r="T31" s="768" t="s">
        <v>17</v>
      </c>
      <c r="U31" s="769" t="e">
        <f t="shared" si="13"/>
        <v>#N/A</v>
      </c>
      <c r="V31" s="768" t="s">
        <v>17</v>
      </c>
      <c r="W31" s="769" t="e">
        <f t="shared" si="14"/>
        <v>#N/A</v>
      </c>
      <c r="X31" s="770"/>
      <c r="Y31" s="3314"/>
      <c r="Z31" s="54" t="str">
        <f t="shared" si="15"/>
        <v>停车位面积</v>
      </c>
      <c r="AA31" s="771" t="e">
        <f t="shared" si="3"/>
        <v>#N/A</v>
      </c>
      <c r="AB31" s="771" t="e">
        <f t="shared" si="4"/>
        <v>#N/A</v>
      </c>
      <c r="AC31" s="771"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14" t="s">
        <v>2557</v>
      </c>
      <c r="Q32" s="1808" t="str">
        <f t="shared" si="11"/>
        <v>车位类型</v>
      </c>
      <c r="R32" s="772" t="s">
        <v>17</v>
      </c>
      <c r="S32" s="773">
        <f t="shared" si="12"/>
        <v>100</v>
      </c>
      <c r="T32" s="772" t="s">
        <v>17</v>
      </c>
      <c r="U32" s="773">
        <f t="shared" si="13"/>
        <v>100</v>
      </c>
      <c r="V32" s="772" t="s">
        <v>17</v>
      </c>
      <c r="W32" s="773">
        <f t="shared" si="14"/>
        <v>100</v>
      </c>
      <c r="X32" s="1811"/>
      <c r="Y32" s="3314" t="s">
        <v>2557</v>
      </c>
      <c r="Z32" s="1812" t="str">
        <f t="shared" si="15"/>
        <v>车位类型</v>
      </c>
      <c r="AA32" s="1809">
        <f t="shared" si="3"/>
        <v>1</v>
      </c>
      <c r="AB32" s="1809">
        <f t="shared" si="4"/>
        <v>1</v>
      </c>
      <c r="AC32" s="1809">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14"/>
      <c r="Q33" s="1808" t="str">
        <f t="shared" si="11"/>
        <v>是否直接入户</v>
      </c>
      <c r="R33" s="772" t="s">
        <v>17</v>
      </c>
      <c r="S33" s="773">
        <f t="shared" si="12"/>
        <v>100</v>
      </c>
      <c r="T33" s="772" t="s">
        <v>17</v>
      </c>
      <c r="U33" s="773">
        <f t="shared" si="13"/>
        <v>100</v>
      </c>
      <c r="V33" s="772" t="s">
        <v>17</v>
      </c>
      <c r="W33" s="773">
        <f t="shared" si="14"/>
        <v>100</v>
      </c>
      <c r="X33" s="1811"/>
      <c r="Y33" s="331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14"/>
      <c r="Q34" s="1808">
        <f t="shared" si="11"/>
        <v>111</v>
      </c>
      <c r="R34" s="772" t="s">
        <v>17</v>
      </c>
      <c r="S34" s="773">
        <f t="shared" si="12"/>
        <v>100</v>
      </c>
      <c r="T34" s="772" t="s">
        <v>17</v>
      </c>
      <c r="U34" s="773">
        <f t="shared" si="13"/>
        <v>100</v>
      </c>
      <c r="V34" s="772" t="s">
        <v>17</v>
      </c>
      <c r="W34" s="773">
        <f t="shared" si="14"/>
        <v>100</v>
      </c>
      <c r="X34" s="1811"/>
      <c r="Y34" s="331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14"/>
      <c r="Q35" s="774">
        <f t="shared" si="11"/>
        <v>111</v>
      </c>
      <c r="R35" s="775" t="s">
        <v>17</v>
      </c>
      <c r="S35" s="776">
        <f t="shared" si="12"/>
        <v>100</v>
      </c>
      <c r="T35" s="775" t="s">
        <v>17</v>
      </c>
      <c r="U35" s="776">
        <f t="shared" si="13"/>
        <v>100</v>
      </c>
      <c r="V35" s="775" t="s">
        <v>17</v>
      </c>
      <c r="W35" s="776">
        <f t="shared" si="14"/>
        <v>100</v>
      </c>
      <c r="X35" s="777"/>
      <c r="Y35" s="3314"/>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14"/>
      <c r="Q36" s="1808">
        <f t="shared" si="11"/>
        <v>111</v>
      </c>
      <c r="R36" s="772" t="s">
        <v>17</v>
      </c>
      <c r="S36" s="773">
        <f t="shared" si="12"/>
        <v>100</v>
      </c>
      <c r="T36" s="772" t="s">
        <v>17</v>
      </c>
      <c r="U36" s="773">
        <f t="shared" si="13"/>
        <v>100</v>
      </c>
      <c r="V36" s="772" t="s">
        <v>17</v>
      </c>
      <c r="W36" s="773">
        <f t="shared" si="14"/>
        <v>100</v>
      </c>
      <c r="X36" s="1811"/>
      <c r="Y36" s="3314"/>
      <c r="Z36" s="1812">
        <f t="shared" si="15"/>
        <v>111</v>
      </c>
      <c r="AA36" s="1809">
        <f t="shared" si="3"/>
        <v>1</v>
      </c>
      <c r="AB36" s="1809">
        <f t="shared" si="4"/>
        <v>1</v>
      </c>
      <c r="AC36" s="1809">
        <f t="shared" si="5"/>
        <v>1</v>
      </c>
    </row>
    <row r="37" spans="1:29" ht="15">
      <c r="A37" s="478" t="s">
        <v>2712</v>
      </c>
      <c r="B37" s="2689" t="s">
        <v>2713</v>
      </c>
      <c r="C37" s="1405" t="s">
        <v>1</v>
      </c>
      <c r="D37" s="1406"/>
      <c r="E37" s="1407"/>
      <c r="F37" s="1408"/>
      <c r="G37" s="1409"/>
      <c r="H37" s="1410"/>
      <c r="I37" s="1407"/>
      <c r="J37" s="1410"/>
      <c r="K37" s="618"/>
      <c r="L37" s="1141"/>
      <c r="M37" s="1142"/>
      <c r="N37" s="1129"/>
      <c r="O37" s="1142"/>
      <c r="P37" s="3307" t="str">
        <f>A37</f>
        <v>成交单价</v>
      </c>
      <c r="Q37" s="3307"/>
      <c r="R37" s="3308">
        <f>E37</f>
        <v>0</v>
      </c>
      <c r="S37" s="3308"/>
      <c r="T37" s="3308">
        <f>G37</f>
        <v>0</v>
      </c>
      <c r="U37" s="3308"/>
      <c r="V37" s="3308">
        <f>I37</f>
        <v>0</v>
      </c>
      <c r="W37" s="3308"/>
      <c r="X37" s="757"/>
      <c r="Y37" s="779"/>
      <c r="Z37" s="757"/>
      <c r="AA37" s="757"/>
      <c r="AB37" s="757"/>
      <c r="AC37" s="757"/>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307" t="str">
        <f>A38</f>
        <v>比较价值（元/平方米）</v>
      </c>
      <c r="Q38" s="3307"/>
      <c r="R38" s="3308" t="e">
        <f>IF(F1="售价",ROUND(PRODUCT(R37,AA7:AA36),0),ROUND(PRODUCT(R37,AA7:AA36),1))</f>
        <v>#DIV/0!</v>
      </c>
      <c r="S38" s="3308"/>
      <c r="T38" s="3308" t="e">
        <f>IF(F1="售价",ROUND(PRODUCT(T37,AB7:AB36),0),ROUND(PRODUCT(T37,AB7:AB36),1))</f>
        <v>#DIV/0!</v>
      </c>
      <c r="U38" s="3308"/>
      <c r="V38" s="3308" t="e">
        <f>IF(F1="售价",ROUND(PRODUCT(V37,AC7:AC36),0),ROUND(PRODUCT(V37,AC7:AC36),1))</f>
        <v>#DIV/0!</v>
      </c>
      <c r="W38" s="3308"/>
      <c r="X38" s="757"/>
      <c r="Y38" s="757"/>
      <c r="Z38" s="757"/>
      <c r="AA38" s="757"/>
      <c r="AB38" s="757"/>
      <c r="AC38" s="757"/>
    </row>
    <row r="39" spans="1:29" ht="15.75" thickBot="1">
      <c r="A39" s="491" t="s">
        <v>2715</v>
      </c>
      <c r="B39" s="492"/>
      <c r="C39" s="1415" t="e">
        <f>R39</f>
        <v>#DIV/0!</v>
      </c>
      <c r="D39" s="1415"/>
      <c r="E39" s="1415"/>
      <c r="F39" s="1415"/>
      <c r="G39" s="1415"/>
      <c r="H39" s="1415"/>
      <c r="I39" s="1415"/>
      <c r="J39" s="1415"/>
      <c r="K39" s="620"/>
      <c r="L39" s="1141"/>
      <c r="M39" s="1142"/>
      <c r="N39" s="1142"/>
      <c r="O39" s="1142"/>
      <c r="P39" s="3304" t="str">
        <f>A39</f>
        <v>估价对象XX用房的比较价值（楼面单价，元/平方米）</v>
      </c>
      <c r="Q39" s="3305"/>
      <c r="R39" s="3306" t="e">
        <f>IF(F1="售价",ROUND(AVERAGE(R38:V38),0),ROUND(AVERAGE(R38:V38),1))</f>
        <v>#DIV/0!</v>
      </c>
      <c r="S39" s="3306"/>
      <c r="T39" s="3306"/>
      <c r="U39" s="3306"/>
      <c r="V39" s="3306"/>
      <c r="W39" s="330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2" t="str">
        <f>YEAR(C7)&amp;"-"&amp;MONTH(C7)</f>
        <v>2020-5</v>
      </c>
      <c r="D48" s="1573">
        <f>EDATE(C48,-1)</f>
        <v>43922</v>
      </c>
      <c r="E48" s="1573">
        <f t="shared" ref="E48:O48" si="16">EDATE(D48,-1)</f>
        <v>43891</v>
      </c>
      <c r="F48" s="1573">
        <f t="shared" si="16"/>
        <v>43862</v>
      </c>
      <c r="G48" s="1573">
        <f t="shared" si="16"/>
        <v>43831</v>
      </c>
      <c r="H48" s="1573">
        <f t="shared" si="16"/>
        <v>43800</v>
      </c>
      <c r="I48" s="1573">
        <f t="shared" si="16"/>
        <v>43770</v>
      </c>
      <c r="J48" s="1573">
        <f t="shared" si="16"/>
        <v>43739</v>
      </c>
      <c r="K48" s="1573">
        <f t="shared" si="16"/>
        <v>43709</v>
      </c>
      <c r="L48" s="1573">
        <f t="shared" si="16"/>
        <v>43678</v>
      </c>
      <c r="M48" s="1573">
        <f t="shared" si="16"/>
        <v>43647</v>
      </c>
      <c r="N48" s="1573">
        <f t="shared" si="16"/>
        <v>43617</v>
      </c>
      <c r="O48" s="1573">
        <f t="shared" si="16"/>
        <v>43586</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6" sqref="G6:H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8"/>
      <c r="F1" s="2580"/>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2"/>
      <c r="D2" s="1122" t="e">
        <f ca="1">SUMIF(INDIRECT("'"&amp;F2&amp;"'"&amp;"!A:A"),"承租人权益价值",INDIRECT("'"&amp;F2&amp;"'"&amp;"!c:c"))</f>
        <v>#REF!</v>
      </c>
      <c r="E2" s="2583" t="s">
        <v>2320</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90" t="s">
        <v>2638</v>
      </c>
      <c r="D4" s="3291"/>
      <c r="E4" s="3292" t="s">
        <v>2639</v>
      </c>
      <c r="F4" s="3293"/>
      <c r="G4" s="3290" t="s">
        <v>2640</v>
      </c>
      <c r="H4" s="3291"/>
      <c r="I4" s="3290" t="s">
        <v>2641</v>
      </c>
      <c r="J4" s="3291"/>
      <c r="K4" s="609" t="s">
        <v>2642</v>
      </c>
      <c r="L4" s="1128"/>
      <c r="M4" s="1129"/>
      <c r="N4" s="1129"/>
      <c r="O4" s="1129"/>
      <c r="P4" s="3294" t="s">
        <v>2643</v>
      </c>
      <c r="Q4" s="3295"/>
      <c r="R4" s="3277" t="s">
        <v>2639</v>
      </c>
      <c r="S4" s="3278"/>
      <c r="T4" s="3277" t="s">
        <v>2640</v>
      </c>
      <c r="U4" s="3278"/>
      <c r="V4" s="3302" t="s">
        <v>2641</v>
      </c>
      <c r="W4" s="3302"/>
      <c r="X4" s="1811"/>
      <c r="Y4" s="3277" t="s">
        <v>2643</v>
      </c>
      <c r="Z4" s="3278"/>
      <c r="AA4" s="3272" t="s">
        <v>2639</v>
      </c>
      <c r="AB4" s="3273" t="s">
        <v>2640</v>
      </c>
      <c r="AC4" s="3272" t="s">
        <v>2641</v>
      </c>
    </row>
    <row r="5" spans="1:29" ht="15">
      <c r="A5" s="403"/>
      <c r="B5" s="404"/>
      <c r="C5" s="3319" t="s">
        <v>2534</v>
      </c>
      <c r="D5" s="3284"/>
      <c r="E5" s="3318" t="s">
        <v>2535</v>
      </c>
      <c r="F5" s="3282"/>
      <c r="G5" s="3319" t="s">
        <v>2536</v>
      </c>
      <c r="H5" s="3284"/>
      <c r="I5" s="3319" t="s">
        <v>2537</v>
      </c>
      <c r="J5" s="3284"/>
      <c r="K5" s="609"/>
      <c r="L5" s="1128"/>
      <c r="M5" s="1129"/>
      <c r="N5" s="1129"/>
      <c r="O5" s="1129"/>
      <c r="P5" s="3296"/>
      <c r="Q5" s="3297"/>
      <c r="R5" s="3279"/>
      <c r="S5" s="3280"/>
      <c r="T5" s="3279"/>
      <c r="U5" s="3280"/>
      <c r="V5" s="3302"/>
      <c r="W5" s="3302"/>
      <c r="X5" s="1811"/>
      <c r="Y5" s="3279"/>
      <c r="Z5" s="3280"/>
      <c r="AA5" s="3273"/>
      <c r="AB5" s="3273"/>
      <c r="AC5" s="3273"/>
    </row>
    <row r="6" spans="1:29" ht="15.75" thickBot="1">
      <c r="A6" s="405"/>
      <c r="B6" s="406"/>
      <c r="C6" s="3285" t="s">
        <v>2538</v>
      </c>
      <c r="D6" s="3286"/>
      <c r="E6" s="3287" t="s">
        <v>2538</v>
      </c>
      <c r="F6" s="3288"/>
      <c r="G6" s="3285" t="s">
        <v>2538</v>
      </c>
      <c r="H6" s="3286"/>
      <c r="I6" s="3285" t="s">
        <v>2538</v>
      </c>
      <c r="J6" s="3286"/>
      <c r="K6" s="609" t="s">
        <v>2539</v>
      </c>
      <c r="L6" s="1128"/>
      <c r="M6" s="1129"/>
      <c r="N6" s="1129"/>
      <c r="O6" s="1129"/>
      <c r="P6" s="3298"/>
      <c r="Q6" s="3299"/>
      <c r="R6" s="3279"/>
      <c r="S6" s="3280"/>
      <c r="T6" s="3300"/>
      <c r="U6" s="3301"/>
      <c r="V6" s="3302"/>
      <c r="W6" s="3302"/>
      <c r="X6" s="1811"/>
      <c r="Y6" s="3300"/>
      <c r="Z6" s="3301"/>
      <c r="AA6" s="3274"/>
      <c r="AB6" s="3274"/>
      <c r="AC6" s="3274"/>
    </row>
    <row r="7" spans="1:29" s="116" customFormat="1" ht="15.75" thickBot="1">
      <c r="A7" s="407" t="s">
        <v>2540</v>
      </c>
      <c r="B7" s="408"/>
      <c r="C7" s="409">
        <f>'数据-取费表'!B2</f>
        <v>43969</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275" t="s">
        <v>2541</v>
      </c>
      <c r="Q7" s="3303"/>
      <c r="R7" s="768" t="s">
        <v>17</v>
      </c>
      <c r="S7" s="769">
        <f t="shared" ref="S7:S14" si="0">F7</f>
        <v>0</v>
      </c>
      <c r="T7" s="768" t="s">
        <v>17</v>
      </c>
      <c r="U7" s="769">
        <f t="shared" ref="U7:U14" si="1">H7</f>
        <v>0</v>
      </c>
      <c r="V7" s="768" t="s">
        <v>17</v>
      </c>
      <c r="W7" s="769">
        <f t="shared" ref="W7:W14" si="2">J7</f>
        <v>0</v>
      </c>
      <c r="X7" s="770"/>
      <c r="Y7" s="3275" t="s">
        <v>2541</v>
      </c>
      <c r="Z7" s="3276"/>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75" t="s">
        <v>2544</v>
      </c>
      <c r="Q8" s="3276"/>
      <c r="R8" s="768" t="s">
        <v>17</v>
      </c>
      <c r="S8" s="769">
        <f t="shared" si="0"/>
        <v>0</v>
      </c>
      <c r="T8" s="768" t="s">
        <v>17</v>
      </c>
      <c r="U8" s="769">
        <f t="shared" si="1"/>
        <v>0</v>
      </c>
      <c r="V8" s="768" t="s">
        <v>17</v>
      </c>
      <c r="W8" s="769">
        <f t="shared" si="2"/>
        <v>0</v>
      </c>
      <c r="X8" s="770"/>
      <c r="Y8" s="3275" t="s">
        <v>2544</v>
      </c>
      <c r="Z8" s="3276"/>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07" t="s">
        <v>2547</v>
      </c>
      <c r="Q9" s="1793" t="str">
        <f t="shared" ref="Q9:Q14" si="6">B9</f>
        <v>用途</v>
      </c>
      <c r="R9" s="768" t="s">
        <v>17</v>
      </c>
      <c r="S9" s="769">
        <f t="shared" si="0"/>
        <v>100</v>
      </c>
      <c r="T9" s="768" t="s">
        <v>17</v>
      </c>
      <c r="U9" s="769">
        <f t="shared" si="1"/>
        <v>100</v>
      </c>
      <c r="V9" s="768" t="s">
        <v>17</v>
      </c>
      <c r="W9" s="769">
        <f t="shared" si="2"/>
        <v>100</v>
      </c>
      <c r="X9" s="770"/>
      <c r="Y9" s="3099" t="s">
        <v>2548</v>
      </c>
      <c r="Z9" s="54"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07"/>
      <c r="Q10" s="1793" t="str">
        <f t="shared" si="6"/>
        <v>土地使用年限（年）</v>
      </c>
      <c r="R10" s="768" t="s">
        <v>17</v>
      </c>
      <c r="S10" s="769">
        <f t="shared" si="0"/>
        <v>100</v>
      </c>
      <c r="T10" s="768" t="s">
        <v>17</v>
      </c>
      <c r="U10" s="769">
        <f t="shared" si="1"/>
        <v>100</v>
      </c>
      <c r="V10" s="768" t="s">
        <v>17</v>
      </c>
      <c r="W10" s="769">
        <f t="shared" si="2"/>
        <v>100</v>
      </c>
      <c r="X10" s="770"/>
      <c r="Y10" s="3099"/>
      <c r="Z10" s="54"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07"/>
      <c r="Q11" s="1793">
        <f t="shared" si="6"/>
        <v>111</v>
      </c>
      <c r="R11" s="768" t="s">
        <v>17</v>
      </c>
      <c r="S11" s="769">
        <f t="shared" si="0"/>
        <v>100</v>
      </c>
      <c r="T11" s="768" t="s">
        <v>17</v>
      </c>
      <c r="U11" s="769">
        <f t="shared" si="1"/>
        <v>100</v>
      </c>
      <c r="V11" s="768" t="s">
        <v>17</v>
      </c>
      <c r="W11" s="769">
        <f t="shared" si="2"/>
        <v>100</v>
      </c>
      <c r="X11" s="770"/>
      <c r="Y11" s="3099"/>
      <c r="Z11" s="54">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07"/>
      <c r="Q12" s="1793">
        <f t="shared" si="6"/>
        <v>111</v>
      </c>
      <c r="R12" s="768" t="s">
        <v>17</v>
      </c>
      <c r="S12" s="769">
        <f t="shared" si="0"/>
        <v>100</v>
      </c>
      <c r="T12" s="768" t="s">
        <v>17</v>
      </c>
      <c r="U12" s="769">
        <f t="shared" si="1"/>
        <v>100</v>
      </c>
      <c r="V12" s="768" t="s">
        <v>17</v>
      </c>
      <c r="W12" s="769">
        <f t="shared" si="2"/>
        <v>100</v>
      </c>
      <c r="X12" s="770"/>
      <c r="Y12" s="3099"/>
      <c r="Z12" s="54">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307"/>
      <c r="Q13" s="1793">
        <f t="shared" si="6"/>
        <v>111</v>
      </c>
      <c r="R13" s="768" t="s">
        <v>17</v>
      </c>
      <c r="S13" s="769">
        <f t="shared" si="0"/>
        <v>100</v>
      </c>
      <c r="T13" s="768" t="s">
        <v>17</v>
      </c>
      <c r="U13" s="769">
        <f t="shared" si="1"/>
        <v>100</v>
      </c>
      <c r="V13" s="768" t="s">
        <v>17</v>
      </c>
      <c r="W13" s="769">
        <f t="shared" si="2"/>
        <v>100</v>
      </c>
      <c r="X13" s="770"/>
      <c r="Y13" s="3099"/>
      <c r="Z13" s="54">
        <f t="shared" si="7"/>
        <v>111</v>
      </c>
      <c r="AA13" s="771">
        <f t="shared" si="3"/>
        <v>1</v>
      </c>
      <c r="AB13" s="771">
        <f t="shared" si="4"/>
        <v>1</v>
      </c>
      <c r="AC13" s="771">
        <f t="shared" si="5"/>
        <v>1</v>
      </c>
    </row>
    <row r="14" spans="1:29" ht="15">
      <c r="A14" s="439" t="s">
        <v>2551</v>
      </c>
      <c r="B14" s="68" t="s">
        <v>2701</v>
      </c>
      <c r="C14" s="2687"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09" t="s">
        <v>2552</v>
      </c>
      <c r="Q14" s="1808" t="str">
        <f t="shared" si="6"/>
        <v>交通便捷度</v>
      </c>
      <c r="R14" s="772" t="s">
        <v>17</v>
      </c>
      <c r="S14" s="773">
        <f t="shared" si="0"/>
        <v>100</v>
      </c>
      <c r="T14" s="772" t="s">
        <v>17</v>
      </c>
      <c r="U14" s="773">
        <f t="shared" si="1"/>
        <v>100</v>
      </c>
      <c r="V14" s="772" t="s">
        <v>17</v>
      </c>
      <c r="W14" s="773">
        <f t="shared" si="2"/>
        <v>100</v>
      </c>
      <c r="X14" s="1811"/>
      <c r="Y14" s="3309"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10"/>
      <c r="Q15" s="1808"/>
      <c r="R15" s="772"/>
      <c r="S15" s="773"/>
      <c r="T15" s="772"/>
      <c r="U15" s="773"/>
      <c r="V15" s="772"/>
      <c r="W15" s="773"/>
      <c r="X15" s="1811"/>
      <c r="Y15" s="3310"/>
      <c r="Z15" s="1812"/>
      <c r="AA15" s="1809">
        <v>1</v>
      </c>
      <c r="AB15" s="1809">
        <v>1</v>
      </c>
      <c r="AC15" s="1809">
        <v>1</v>
      </c>
    </row>
    <row r="16" spans="1:29" ht="15">
      <c r="A16" s="427"/>
      <c r="B16" s="450" t="s">
        <v>2680</v>
      </c>
      <c r="C16" s="2603"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10"/>
      <c r="Q16" s="1808" t="str">
        <f>B16</f>
        <v>公共配套设施</v>
      </c>
      <c r="R16" s="772" t="s">
        <v>17</v>
      </c>
      <c r="S16" s="773">
        <f>F16</f>
        <v>100</v>
      </c>
      <c r="T16" s="772" t="s">
        <v>17</v>
      </c>
      <c r="U16" s="773">
        <f>H16</f>
        <v>100</v>
      </c>
      <c r="V16" s="772" t="s">
        <v>17</v>
      </c>
      <c r="W16" s="773">
        <f>J16</f>
        <v>100</v>
      </c>
      <c r="X16" s="1811"/>
      <c r="Y16" s="3310"/>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310"/>
      <c r="Q17" s="1808"/>
      <c r="R17" s="772"/>
      <c r="S17" s="773"/>
      <c r="T17" s="772"/>
      <c r="U17" s="773"/>
      <c r="V17" s="772"/>
      <c r="W17" s="773"/>
      <c r="X17" s="1811"/>
      <c r="Y17" s="3310"/>
      <c r="Z17" s="1812"/>
      <c r="AA17" s="1809">
        <v>1</v>
      </c>
      <c r="AB17" s="1809">
        <v>1</v>
      </c>
      <c r="AC17" s="1809">
        <v>1</v>
      </c>
    </row>
    <row r="18" spans="1:29" ht="15">
      <c r="A18" s="427"/>
      <c r="B18" s="1382" t="s">
        <v>2681</v>
      </c>
      <c r="C18" s="2603"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10"/>
      <c r="Q18" s="1808" t="str">
        <f>B18</f>
        <v>基础设施水平</v>
      </c>
      <c r="R18" s="772" t="s">
        <v>17</v>
      </c>
      <c r="S18" s="773">
        <f>F18</f>
        <v>100</v>
      </c>
      <c r="T18" s="772" t="s">
        <v>17</v>
      </c>
      <c r="U18" s="773">
        <f>H18</f>
        <v>100</v>
      </c>
      <c r="V18" s="772" t="s">
        <v>17</v>
      </c>
      <c r="W18" s="773">
        <f>J18</f>
        <v>100</v>
      </c>
      <c r="X18" s="1811"/>
      <c r="Y18" s="3310"/>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310"/>
      <c r="Q19" s="1808"/>
      <c r="R19" s="772"/>
      <c r="S19" s="773"/>
      <c r="T19" s="772"/>
      <c r="U19" s="773"/>
      <c r="V19" s="772"/>
      <c r="W19" s="773"/>
      <c r="X19" s="1811"/>
      <c r="Y19" s="3310"/>
      <c r="Z19" s="1812"/>
      <c r="AA19" s="1809">
        <v>1</v>
      </c>
      <c r="AB19" s="1809">
        <v>1</v>
      </c>
      <c r="AC19" s="1809">
        <v>1</v>
      </c>
    </row>
    <row r="20" spans="1:29" ht="15">
      <c r="A20" s="427"/>
      <c r="B20" s="450" t="s">
        <v>2702</v>
      </c>
      <c r="C20" s="2603"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10"/>
      <c r="Q20" s="1808" t="str">
        <f>B20</f>
        <v>自然及人文环境</v>
      </c>
      <c r="R20" s="772" t="s">
        <v>17</v>
      </c>
      <c r="S20" s="773">
        <f>F20</f>
        <v>100</v>
      </c>
      <c r="T20" s="772" t="s">
        <v>17</v>
      </c>
      <c r="U20" s="773">
        <f>H20</f>
        <v>100</v>
      </c>
      <c r="V20" s="772" t="s">
        <v>17</v>
      </c>
      <c r="W20" s="773">
        <f>J20</f>
        <v>100</v>
      </c>
      <c r="X20" s="1811"/>
      <c r="Y20" s="331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10"/>
      <c r="Q21" s="1808"/>
      <c r="R21" s="772"/>
      <c r="S21" s="773"/>
      <c r="T21" s="772"/>
      <c r="U21" s="773"/>
      <c r="V21" s="772"/>
      <c r="W21" s="773"/>
      <c r="X21" s="1811"/>
      <c r="Y21" s="3310"/>
      <c r="Z21" s="1812"/>
      <c r="AA21" s="1809">
        <v>1</v>
      </c>
      <c r="AB21" s="1809">
        <v>1</v>
      </c>
      <c r="AC21" s="1809">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10"/>
      <c r="Q22" s="1808" t="str">
        <f>B22</f>
        <v>楼层</v>
      </c>
      <c r="R22" s="772" t="s">
        <v>17</v>
      </c>
      <c r="S22" s="773">
        <f>F22</f>
        <v>100</v>
      </c>
      <c r="T22" s="772" t="s">
        <v>17</v>
      </c>
      <c r="U22" s="773">
        <f>H22</f>
        <v>100</v>
      </c>
      <c r="V22" s="772" t="s">
        <v>17</v>
      </c>
      <c r="W22" s="773">
        <f>J22</f>
        <v>100</v>
      </c>
      <c r="X22" s="1811"/>
      <c r="Y22" s="3310"/>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10"/>
      <c r="Q23" s="1808">
        <f>B23</f>
        <v>111</v>
      </c>
      <c r="R23" s="772" t="s">
        <v>17</v>
      </c>
      <c r="S23" s="773">
        <f>F23</f>
        <v>100</v>
      </c>
      <c r="T23" s="772" t="s">
        <v>17</v>
      </c>
      <c r="U23" s="773">
        <f>H23</f>
        <v>100</v>
      </c>
      <c r="V23" s="772" t="s">
        <v>17</v>
      </c>
      <c r="W23" s="773">
        <f>J23</f>
        <v>100</v>
      </c>
      <c r="X23" s="1811"/>
      <c r="Y23" s="3310"/>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10"/>
      <c r="Q24" s="1808">
        <f t="shared" ref="Q24:Q34" si="11">B24</f>
        <v>111</v>
      </c>
      <c r="R24" s="772" t="s">
        <v>17</v>
      </c>
      <c r="S24" s="773">
        <f>F24</f>
        <v>100</v>
      </c>
      <c r="T24" s="772" t="s">
        <v>17</v>
      </c>
      <c r="U24" s="773">
        <f>H24</f>
        <v>100</v>
      </c>
      <c r="V24" s="772" t="s">
        <v>17</v>
      </c>
      <c r="W24" s="773">
        <f>J24</f>
        <v>100</v>
      </c>
      <c r="X24" s="1811"/>
      <c r="Y24" s="3310"/>
      <c r="Z24" s="1812">
        <f>Q24</f>
        <v>111</v>
      </c>
      <c r="AA24" s="1809">
        <f t="shared" si="3"/>
        <v>1</v>
      </c>
      <c r="AB24" s="1809">
        <f t="shared" si="4"/>
        <v>1</v>
      </c>
      <c r="AC24" s="1809">
        <f t="shared" si="5"/>
        <v>1</v>
      </c>
    </row>
    <row r="25" spans="1:29" s="116" customFormat="1" ht="15.75" thickBot="1">
      <c r="A25" s="430"/>
      <c r="B25" s="2596">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310"/>
      <c r="Q25" s="1793">
        <f t="shared" si="11"/>
        <v>111</v>
      </c>
      <c r="R25" s="768" t="s">
        <v>17</v>
      </c>
      <c r="S25" s="769">
        <f>F25</f>
        <v>100</v>
      </c>
      <c r="T25" s="768" t="s">
        <v>17</v>
      </c>
      <c r="U25" s="769">
        <f>H25</f>
        <v>100</v>
      </c>
      <c r="V25" s="768" t="s">
        <v>17</v>
      </c>
      <c r="W25" s="769">
        <f>J25</f>
        <v>100</v>
      </c>
      <c r="X25" s="770"/>
      <c r="Y25" s="3310"/>
      <c r="Z25" s="54">
        <f>Q25</f>
        <v>111</v>
      </c>
      <c r="AA25" s="1809">
        <f>D25/F25</f>
        <v>1</v>
      </c>
      <c r="AB25" s="1809">
        <f>D25/H25</f>
        <v>1</v>
      </c>
      <c r="AC25" s="1809">
        <f>D25/J25</f>
        <v>1</v>
      </c>
    </row>
    <row r="26" spans="1:29" ht="28.5">
      <c r="A26" s="465" t="s">
        <v>2555</v>
      </c>
      <c r="B26" s="70" t="s">
        <v>2706</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339" t="s">
        <v>2557</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14" t="s">
        <v>2557</v>
      </c>
      <c r="Z26" s="1812" t="str">
        <f t="shared" ref="Z26:Z34" si="15">Q26</f>
        <v>公共部分装修</v>
      </c>
      <c r="AA26" s="1809">
        <f t="shared" si="3"/>
        <v>1</v>
      </c>
      <c r="AB26" s="1809">
        <f t="shared" si="4"/>
        <v>1</v>
      </c>
      <c r="AC26" s="1809">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14"/>
      <c r="Q27" s="774" t="str">
        <f t="shared" si="11"/>
        <v>成新率</v>
      </c>
      <c r="R27" s="775" t="s">
        <v>17</v>
      </c>
      <c r="S27" s="776" t="e">
        <f t="shared" si="12"/>
        <v>#N/A</v>
      </c>
      <c r="T27" s="775" t="s">
        <v>17</v>
      </c>
      <c r="U27" s="776" t="e">
        <f t="shared" si="13"/>
        <v>#N/A</v>
      </c>
      <c r="V27" s="775" t="s">
        <v>17</v>
      </c>
      <c r="W27" s="776" t="e">
        <f t="shared" si="14"/>
        <v>#N/A</v>
      </c>
      <c r="X27" s="777"/>
      <c r="Y27" s="3314"/>
      <c r="Z27" s="778" t="str">
        <f t="shared" si="15"/>
        <v>成新率</v>
      </c>
      <c r="AA27" s="1809" t="e">
        <f t="shared" si="3"/>
        <v>#N/A</v>
      </c>
      <c r="AB27" s="1809" t="e">
        <f t="shared" si="4"/>
        <v>#N/A</v>
      </c>
      <c r="AC27" s="1809"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14"/>
      <c r="Q28" s="1808" t="str">
        <f t="shared" si="11"/>
        <v>物业等级</v>
      </c>
      <c r="R28" s="772" t="s">
        <v>17</v>
      </c>
      <c r="S28" s="773">
        <f t="shared" si="12"/>
        <v>100</v>
      </c>
      <c r="T28" s="772" t="s">
        <v>17</v>
      </c>
      <c r="U28" s="773">
        <f t="shared" si="13"/>
        <v>100</v>
      </c>
      <c r="V28" s="772" t="s">
        <v>17</v>
      </c>
      <c r="W28" s="773">
        <f t="shared" si="14"/>
        <v>100</v>
      </c>
      <c r="X28" s="1811"/>
      <c r="Y28" s="3314"/>
      <c r="Z28" s="1812" t="str">
        <f t="shared" si="15"/>
        <v>物业等级</v>
      </c>
      <c r="AA28" s="1809">
        <f t="shared" si="3"/>
        <v>1</v>
      </c>
      <c r="AB28" s="1809">
        <f t="shared" si="4"/>
        <v>1</v>
      </c>
      <c r="AC28" s="1809">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14"/>
      <c r="Q29" s="1808" t="str">
        <f t="shared" si="11"/>
        <v>有无电梯</v>
      </c>
      <c r="R29" s="772" t="s">
        <v>17</v>
      </c>
      <c r="S29" s="773">
        <f t="shared" si="12"/>
        <v>100</v>
      </c>
      <c r="T29" s="772" t="s">
        <v>17</v>
      </c>
      <c r="U29" s="773">
        <f t="shared" si="13"/>
        <v>100</v>
      </c>
      <c r="V29" s="772" t="s">
        <v>17</v>
      </c>
      <c r="W29" s="773">
        <f t="shared" si="14"/>
        <v>100</v>
      </c>
      <c r="X29" s="1811"/>
      <c r="Y29" s="3314"/>
      <c r="Z29" s="1812" t="str">
        <f t="shared" si="15"/>
        <v>有无电梯</v>
      </c>
      <c r="AA29" s="1809">
        <f t="shared" si="3"/>
        <v>1</v>
      </c>
      <c r="AB29" s="1809">
        <f t="shared" si="4"/>
        <v>1</v>
      </c>
      <c r="AC29" s="1809">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14"/>
      <c r="Q30" s="1808" t="str">
        <f t="shared" si="11"/>
        <v>建筑面积</v>
      </c>
      <c r="R30" s="772" t="s">
        <v>17</v>
      </c>
      <c r="S30" s="773" t="e">
        <f t="shared" si="12"/>
        <v>#N/A</v>
      </c>
      <c r="T30" s="772" t="s">
        <v>17</v>
      </c>
      <c r="U30" s="773" t="e">
        <f t="shared" si="13"/>
        <v>#N/A</v>
      </c>
      <c r="V30" s="772" t="s">
        <v>17</v>
      </c>
      <c r="W30" s="773" t="e">
        <f t="shared" si="14"/>
        <v>#N/A</v>
      </c>
      <c r="X30" s="1811"/>
      <c r="Y30" s="3314"/>
      <c r="Z30" s="1812" t="str">
        <f t="shared" si="15"/>
        <v>建筑面积</v>
      </c>
      <c r="AA30" s="1809" t="e">
        <f t="shared" si="3"/>
        <v>#N/A</v>
      </c>
      <c r="AB30" s="1809" t="e">
        <f t="shared" si="4"/>
        <v>#N/A</v>
      </c>
      <c r="AC30" s="1809"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14"/>
      <c r="Q31" s="1793" t="str">
        <f t="shared" si="11"/>
        <v>是否封闭</v>
      </c>
      <c r="R31" s="768" t="s">
        <v>17</v>
      </c>
      <c r="S31" s="769">
        <f t="shared" si="12"/>
        <v>100</v>
      </c>
      <c r="T31" s="768" t="s">
        <v>17</v>
      </c>
      <c r="U31" s="769">
        <f t="shared" si="13"/>
        <v>100</v>
      </c>
      <c r="V31" s="768" t="s">
        <v>17</v>
      </c>
      <c r="W31" s="769">
        <f t="shared" si="14"/>
        <v>100</v>
      </c>
      <c r="X31" s="770"/>
      <c r="Y31" s="3314"/>
      <c r="Z31" s="54"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14" t="s">
        <v>2557</v>
      </c>
      <c r="Q32" s="1808">
        <f t="shared" si="11"/>
        <v>111</v>
      </c>
      <c r="R32" s="772" t="s">
        <v>17</v>
      </c>
      <c r="S32" s="773">
        <f t="shared" si="12"/>
        <v>100</v>
      </c>
      <c r="T32" s="772" t="s">
        <v>17</v>
      </c>
      <c r="U32" s="773">
        <f t="shared" si="13"/>
        <v>100</v>
      </c>
      <c r="V32" s="772" t="s">
        <v>17</v>
      </c>
      <c r="W32" s="773">
        <f t="shared" si="14"/>
        <v>100</v>
      </c>
      <c r="X32" s="1811"/>
      <c r="Y32" s="3314" t="s">
        <v>2557</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14"/>
      <c r="Q33" s="1808">
        <f t="shared" si="11"/>
        <v>111</v>
      </c>
      <c r="R33" s="772" t="s">
        <v>17</v>
      </c>
      <c r="S33" s="773">
        <f t="shared" si="12"/>
        <v>100</v>
      </c>
      <c r="T33" s="772" t="s">
        <v>17</v>
      </c>
      <c r="U33" s="773">
        <f t="shared" si="13"/>
        <v>100</v>
      </c>
      <c r="V33" s="772" t="s">
        <v>17</v>
      </c>
      <c r="W33" s="773">
        <f t="shared" si="14"/>
        <v>100</v>
      </c>
      <c r="X33" s="1811"/>
      <c r="Y33" s="3314"/>
      <c r="Z33" s="1812">
        <f t="shared" si="15"/>
        <v>111</v>
      </c>
      <c r="AA33" s="1809">
        <f t="shared" si="3"/>
        <v>1</v>
      </c>
      <c r="AB33" s="1809">
        <f t="shared" si="4"/>
        <v>1</v>
      </c>
      <c r="AC33" s="1809">
        <f t="shared" si="5"/>
        <v>1</v>
      </c>
    </row>
    <row r="34" spans="1:29" ht="15.75" thickBot="1">
      <c r="A34" s="477"/>
      <c r="B34" s="2598">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314"/>
      <c r="Q34" s="1808">
        <f t="shared" si="11"/>
        <v>111</v>
      </c>
      <c r="R34" s="772" t="s">
        <v>17</v>
      </c>
      <c r="S34" s="773">
        <f t="shared" si="12"/>
        <v>100</v>
      </c>
      <c r="T34" s="772" t="s">
        <v>17</v>
      </c>
      <c r="U34" s="773">
        <f t="shared" si="13"/>
        <v>100</v>
      </c>
      <c r="V34" s="772" t="s">
        <v>17</v>
      </c>
      <c r="W34" s="773">
        <f t="shared" si="14"/>
        <v>100</v>
      </c>
      <c r="X34" s="1811"/>
      <c r="Y34" s="3314"/>
      <c r="Z34" s="1812">
        <f t="shared" si="15"/>
        <v>111</v>
      </c>
      <c r="AA34" s="1809">
        <f t="shared" si="3"/>
        <v>1</v>
      </c>
      <c r="AB34" s="1809">
        <f t="shared" si="4"/>
        <v>1</v>
      </c>
      <c r="AC34" s="1809">
        <f t="shared" si="5"/>
        <v>1</v>
      </c>
    </row>
    <row r="35" spans="1:29" ht="15">
      <c r="A35" s="478" t="s">
        <v>2569</v>
      </c>
      <c r="B35" s="479"/>
      <c r="C35" s="1405" t="s">
        <v>1</v>
      </c>
      <c r="D35" s="1406"/>
      <c r="E35" s="1407"/>
      <c r="F35" s="1408"/>
      <c r="G35" s="1409"/>
      <c r="H35" s="1410"/>
      <c r="I35" s="1407"/>
      <c r="J35" s="1410"/>
      <c r="K35" s="781"/>
      <c r="L35" s="1141"/>
      <c r="M35" s="1142"/>
      <c r="N35" s="1129"/>
      <c r="O35" s="1142"/>
      <c r="P35" s="3307" t="str">
        <f>A35</f>
        <v>成交单价（元/平方米）</v>
      </c>
      <c r="Q35" s="3307"/>
      <c r="R35" s="3308">
        <f>E35</f>
        <v>0</v>
      </c>
      <c r="S35" s="3308"/>
      <c r="T35" s="3308">
        <f>G35</f>
        <v>0</v>
      </c>
      <c r="U35" s="3308"/>
      <c r="V35" s="3308">
        <f>I35</f>
        <v>0</v>
      </c>
      <c r="W35" s="3308"/>
      <c r="X35" s="757"/>
      <c r="Y35" s="779"/>
      <c r="Z35" s="757"/>
      <c r="AA35" s="757"/>
      <c r="AB35" s="757"/>
      <c r="AC35" s="757"/>
    </row>
    <row r="36" spans="1:29" ht="15.75" thickBot="1">
      <c r="A36" s="485" t="s">
        <v>2661</v>
      </c>
      <c r="B36" s="486"/>
      <c r="C36" s="1411" t="e">
        <f>R37</f>
        <v>#DIV/0!</v>
      </c>
      <c r="D36" s="1412"/>
      <c r="E36" s="1413" t="e">
        <f>R36</f>
        <v>#DIV/0!</v>
      </c>
      <c r="F36" s="1413"/>
      <c r="G36" s="1411" t="e">
        <f>T36</f>
        <v>#DIV/0!</v>
      </c>
      <c r="H36" s="1412"/>
      <c r="I36" s="1413" t="e">
        <f>V36</f>
        <v>#DIV/0!</v>
      </c>
      <c r="J36" s="1412"/>
      <c r="K36" s="782"/>
      <c r="L36" s="1141"/>
      <c r="M36" s="1142"/>
      <c r="N36" s="1129"/>
      <c r="O36" s="1142"/>
      <c r="P36" s="3307" t="str">
        <f>A36</f>
        <v>比较价值（元/平方米）</v>
      </c>
      <c r="Q36" s="3307"/>
      <c r="R36" s="3308" t="e">
        <f>IF(F1="售价",ROUND(PRODUCT(R35,AA7:AA34),0),ROUND(PRODUCT(R35,AA7:AA34),1))</f>
        <v>#DIV/0!</v>
      </c>
      <c r="S36" s="3308"/>
      <c r="T36" s="3308" t="e">
        <f>IF(F1="售价",ROUND(PRODUCT(T35,AB7:AB34),0),ROUND(PRODUCT(T35,AB7:AB34),1))</f>
        <v>#DIV/0!</v>
      </c>
      <c r="U36" s="3308"/>
      <c r="V36" s="3308" t="e">
        <f>IF(F1="售价",ROUND(PRODUCT(V35,AC7:AC34),0),ROUND(PRODUCT(V35,AC7:AC34),1))</f>
        <v>#DIV/0!</v>
      </c>
      <c r="W36" s="3308"/>
      <c r="X36" s="757"/>
      <c r="Y36" s="757"/>
      <c r="Z36" s="757"/>
      <c r="AA36" s="757"/>
      <c r="AB36" s="757"/>
      <c r="AC36" s="757"/>
    </row>
    <row r="37" spans="1:29" ht="15.75" thickBot="1">
      <c r="A37" s="491" t="s">
        <v>2662</v>
      </c>
      <c r="B37" s="492"/>
      <c r="C37" s="1415" t="e">
        <f>R37</f>
        <v>#DIV/0!</v>
      </c>
      <c r="D37" s="1415"/>
      <c r="E37" s="1415"/>
      <c r="F37" s="1415"/>
      <c r="G37" s="1415"/>
      <c r="H37" s="1415"/>
      <c r="I37" s="1415"/>
      <c r="J37" s="1415"/>
      <c r="K37" s="783"/>
      <c r="L37" s="1141"/>
      <c r="M37" s="1142"/>
      <c r="N37" s="1142"/>
      <c r="O37" s="1142"/>
      <c r="P37" s="3304" t="str">
        <f>A37</f>
        <v>估价对象XX用房的比较价值（楼面单价，元/平方米）</v>
      </c>
      <c r="Q37" s="3305"/>
      <c r="R37" s="3306" t="e">
        <f>IF(F1="售价",ROUND(AVERAGE(R36:V36),0),ROUND(AVERAGE(R36:V36),1))</f>
        <v>#DIV/0!</v>
      </c>
      <c r="S37" s="3306"/>
      <c r="T37" s="3306"/>
      <c r="U37" s="3306"/>
      <c r="V37" s="3306"/>
      <c r="W37" s="330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2" t="str">
        <f>YEAR(C7)&amp;"-"&amp;MONTH(C7)</f>
        <v>2020-5</v>
      </c>
      <c r="D46" s="1573">
        <f>EDATE(C46,-1)</f>
        <v>43922</v>
      </c>
      <c r="E46" s="1573">
        <f t="shared" ref="E46:O46" si="16">EDATE(D46,-1)</f>
        <v>43891</v>
      </c>
      <c r="F46" s="1573">
        <f t="shared" si="16"/>
        <v>43862</v>
      </c>
      <c r="G46" s="1573">
        <f t="shared" si="16"/>
        <v>43831</v>
      </c>
      <c r="H46" s="1573">
        <f t="shared" si="16"/>
        <v>43800</v>
      </c>
      <c r="I46" s="1573">
        <f t="shared" si="16"/>
        <v>43770</v>
      </c>
      <c r="J46" s="1573">
        <f t="shared" si="16"/>
        <v>43739</v>
      </c>
      <c r="K46" s="1573">
        <f t="shared" si="16"/>
        <v>43709</v>
      </c>
      <c r="L46" s="1573">
        <f t="shared" si="16"/>
        <v>43678</v>
      </c>
      <c r="M46" s="1573">
        <f t="shared" si="16"/>
        <v>43647</v>
      </c>
      <c r="N46" s="1573">
        <f t="shared" si="16"/>
        <v>43617</v>
      </c>
      <c r="O46" s="1573">
        <f t="shared" si="16"/>
        <v>43586</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2721</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2733</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6" sqref="G6:H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2637</v>
      </c>
      <c r="B4" s="401"/>
      <c r="C4" s="3290" t="s">
        <v>2638</v>
      </c>
      <c r="D4" s="3291"/>
      <c r="E4" s="3292" t="s">
        <v>2639</v>
      </c>
      <c r="F4" s="3293"/>
      <c r="G4" s="3290" t="s">
        <v>2640</v>
      </c>
      <c r="H4" s="3291"/>
      <c r="I4" s="3290" t="s">
        <v>2641</v>
      </c>
      <c r="J4" s="3291"/>
      <c r="K4" s="609" t="s">
        <v>2642</v>
      </c>
      <c r="L4" s="1128"/>
      <c r="M4" s="1129"/>
      <c r="N4" s="1129"/>
      <c r="O4" s="1129"/>
      <c r="P4" s="3294" t="s">
        <v>2643</v>
      </c>
      <c r="Q4" s="3295"/>
      <c r="R4" s="3277" t="s">
        <v>2639</v>
      </c>
      <c r="S4" s="3278"/>
      <c r="T4" s="3277" t="s">
        <v>2640</v>
      </c>
      <c r="U4" s="3278"/>
      <c r="V4" s="3302" t="s">
        <v>2641</v>
      </c>
      <c r="W4" s="3302"/>
      <c r="X4" s="1811"/>
      <c r="Y4" s="3277" t="s">
        <v>2643</v>
      </c>
      <c r="Z4" s="3278"/>
      <c r="AA4" s="3272" t="s">
        <v>2639</v>
      </c>
      <c r="AB4" s="3273" t="s">
        <v>2640</v>
      </c>
      <c r="AC4" s="3272" t="s">
        <v>2641</v>
      </c>
    </row>
    <row r="5" spans="1:30" ht="15">
      <c r="A5" s="403"/>
      <c r="B5" s="404"/>
      <c r="C5" s="3319" t="s">
        <v>2534</v>
      </c>
      <c r="D5" s="3284"/>
      <c r="E5" s="3318" t="s">
        <v>2535</v>
      </c>
      <c r="F5" s="3282"/>
      <c r="G5" s="3319" t="s">
        <v>2536</v>
      </c>
      <c r="H5" s="3284"/>
      <c r="I5" s="3319" t="s">
        <v>2537</v>
      </c>
      <c r="J5" s="3284"/>
      <c r="K5" s="609"/>
      <c r="L5" s="1128"/>
      <c r="M5" s="1129"/>
      <c r="N5" s="1129"/>
      <c r="O5" s="1129"/>
      <c r="P5" s="3296"/>
      <c r="Q5" s="3297"/>
      <c r="R5" s="3279"/>
      <c r="S5" s="3280"/>
      <c r="T5" s="3279"/>
      <c r="U5" s="3280"/>
      <c r="V5" s="3302"/>
      <c r="W5" s="3302"/>
      <c r="X5" s="1811"/>
      <c r="Y5" s="3279"/>
      <c r="Z5" s="3280"/>
      <c r="AA5" s="3273"/>
      <c r="AB5" s="3273"/>
      <c r="AC5" s="3273"/>
    </row>
    <row r="6" spans="1:30" ht="15.75" thickBot="1">
      <c r="A6" s="405"/>
      <c r="B6" s="406"/>
      <c r="C6" s="3285" t="s">
        <v>2538</v>
      </c>
      <c r="D6" s="3286"/>
      <c r="E6" s="3287" t="s">
        <v>2538</v>
      </c>
      <c r="F6" s="3288"/>
      <c r="G6" s="3285" t="s">
        <v>2538</v>
      </c>
      <c r="H6" s="3286"/>
      <c r="I6" s="3285" t="s">
        <v>2538</v>
      </c>
      <c r="J6" s="3286"/>
      <c r="K6" s="609" t="s">
        <v>2539</v>
      </c>
      <c r="L6" s="1128"/>
      <c r="M6" s="1129"/>
      <c r="N6" s="1129"/>
      <c r="O6" s="1129"/>
      <c r="P6" s="3298"/>
      <c r="Q6" s="3299"/>
      <c r="R6" s="3279"/>
      <c r="S6" s="3280"/>
      <c r="T6" s="3300"/>
      <c r="U6" s="3301"/>
      <c r="V6" s="3302"/>
      <c r="W6" s="3302"/>
      <c r="X6" s="1811"/>
      <c r="Y6" s="3300"/>
      <c r="Z6" s="3301"/>
      <c r="AA6" s="3274"/>
      <c r="AB6" s="3274"/>
      <c r="AC6" s="3274"/>
    </row>
    <row r="7" spans="1:30" s="116" customFormat="1" ht="15.75" thickBot="1">
      <c r="A7" s="407" t="s">
        <v>2540</v>
      </c>
      <c r="B7" s="408"/>
      <c r="C7" s="409">
        <f>'数据-取费表'!B2</f>
        <v>43969</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0"/>
      <c r="M7" s="1131"/>
      <c r="N7" s="1131"/>
      <c r="O7" s="1131"/>
      <c r="P7" s="3275" t="s">
        <v>2541</v>
      </c>
      <c r="Q7" s="3303"/>
      <c r="R7" s="768" t="s">
        <v>17</v>
      </c>
      <c r="S7" s="769">
        <f t="shared" ref="S7:S15" si="0">F7</f>
        <v>0</v>
      </c>
      <c r="T7" s="768" t="s">
        <v>17</v>
      </c>
      <c r="U7" s="769">
        <f t="shared" ref="U7:U15" si="1">H7</f>
        <v>0</v>
      </c>
      <c r="V7" s="768" t="s">
        <v>17</v>
      </c>
      <c r="W7" s="769">
        <f t="shared" ref="W7:W15" si="2">J7</f>
        <v>0</v>
      </c>
      <c r="X7" s="770"/>
      <c r="Y7" s="3275" t="s">
        <v>2541</v>
      </c>
      <c r="Z7" s="3276"/>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75" t="s">
        <v>2544</v>
      </c>
      <c r="Q8" s="3276"/>
      <c r="R8" s="768" t="s">
        <v>17</v>
      </c>
      <c r="S8" s="769">
        <f t="shared" si="0"/>
        <v>0</v>
      </c>
      <c r="T8" s="768" t="s">
        <v>17</v>
      </c>
      <c r="U8" s="769">
        <f t="shared" si="1"/>
        <v>0</v>
      </c>
      <c r="V8" s="768" t="s">
        <v>17</v>
      </c>
      <c r="W8" s="769">
        <f t="shared" si="2"/>
        <v>0</v>
      </c>
      <c r="X8" s="770"/>
      <c r="Y8" s="3275" t="s">
        <v>2544</v>
      </c>
      <c r="Z8" s="3276"/>
      <c r="AA8" s="771" t="e">
        <f t="shared" ref="AA8:AA45" si="3">D8/F8</f>
        <v>#DIV/0!</v>
      </c>
      <c r="AB8" s="771" t="e">
        <f t="shared" ref="AB8:AB45" si="4">D8/H8</f>
        <v>#DIV/0!</v>
      </c>
      <c r="AC8" s="771" t="e">
        <f t="shared" ref="AC8:AC45" si="5">D8/J8</f>
        <v>#DIV/0!</v>
      </c>
    </row>
    <row r="9" spans="1:30" s="116" customFormat="1">
      <c r="A9" s="414" t="s">
        <v>2545</v>
      </c>
      <c r="B9" s="70" t="s">
        <v>2546</v>
      </c>
      <c r="C9" s="2693"/>
      <c r="D9" s="134">
        <v>100</v>
      </c>
      <c r="E9" s="2693"/>
      <c r="F9" s="134">
        <f>SUMIF(75:75,E9,76:76)-SUMIF(75:75,C9,76:76)+100</f>
        <v>100</v>
      </c>
      <c r="G9" s="2693"/>
      <c r="H9" s="134">
        <f>SUMIF(75:75,G9,76:76)-SUMIF(75:75,C9,76:76)+100</f>
        <v>100</v>
      </c>
      <c r="I9" s="2693"/>
      <c r="J9" s="134">
        <f>SUMIF(75:75,I9,76:76)-SUMIF(75:75,C9,76:76)+100</f>
        <v>100</v>
      </c>
      <c r="K9" s="610"/>
      <c r="L9" s="1130"/>
      <c r="M9" s="1131"/>
      <c r="N9" s="1131"/>
      <c r="O9" s="1132"/>
      <c r="P9" s="3307" t="s">
        <v>2547</v>
      </c>
      <c r="Q9" s="1793" t="str">
        <f t="shared" ref="Q9:Q15" si="6">B9</f>
        <v>用途</v>
      </c>
      <c r="R9" s="768" t="s">
        <v>17</v>
      </c>
      <c r="S9" s="769">
        <f t="shared" si="0"/>
        <v>100</v>
      </c>
      <c r="T9" s="768" t="s">
        <v>17</v>
      </c>
      <c r="U9" s="769">
        <f t="shared" si="1"/>
        <v>100</v>
      </c>
      <c r="V9" s="768" t="s">
        <v>17</v>
      </c>
      <c r="W9" s="769">
        <f t="shared" si="2"/>
        <v>100</v>
      </c>
      <c r="X9" s="770"/>
      <c r="Y9" s="3099" t="s">
        <v>2548</v>
      </c>
      <c r="Z9" s="54"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109</v>
      </c>
      <c r="G10" s="462"/>
      <c r="H10" s="135">
        <f>ROUND(100/'数据-取费表'!G16,0)</f>
        <v>109</v>
      </c>
      <c r="I10" s="462"/>
      <c r="J10" s="135">
        <f>ROUND(100/'数据-取费表'!G16,0)</f>
        <v>109</v>
      </c>
      <c r="K10" s="671"/>
      <c r="L10" s="1133"/>
      <c r="M10" s="1134"/>
      <c r="N10" s="1134"/>
      <c r="O10" s="1135"/>
      <c r="P10" s="3307"/>
      <c r="Q10" s="1793" t="str">
        <f t="shared" si="6"/>
        <v>土地使用年限（年）</v>
      </c>
      <c r="R10" s="768" t="s">
        <v>17</v>
      </c>
      <c r="S10" s="769">
        <f t="shared" si="0"/>
        <v>109</v>
      </c>
      <c r="T10" s="768" t="s">
        <v>17</v>
      </c>
      <c r="U10" s="769">
        <f t="shared" si="1"/>
        <v>109</v>
      </c>
      <c r="V10" s="768" t="s">
        <v>17</v>
      </c>
      <c r="W10" s="769">
        <f t="shared" si="2"/>
        <v>109</v>
      </c>
      <c r="X10" s="770"/>
      <c r="Y10" s="3099"/>
      <c r="Z10" s="54" t="str">
        <f t="shared" si="7"/>
        <v>土地使用年限（年）</v>
      </c>
      <c r="AA10" s="771">
        <f t="shared" si="3"/>
        <v>0.91743119266055051</v>
      </c>
      <c r="AB10" s="771">
        <f t="shared" si="4"/>
        <v>0.91743119266055051</v>
      </c>
      <c r="AC10" s="771">
        <f t="shared" si="5"/>
        <v>0.91743119266055051</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307"/>
      <c r="Q11" s="1793" t="str">
        <f t="shared" si="6"/>
        <v>容积率</v>
      </c>
      <c r="R11" s="768" t="s">
        <v>17</v>
      </c>
      <c r="S11" s="769" t="e">
        <f t="shared" si="0"/>
        <v>#N/A</v>
      </c>
      <c r="T11" s="768" t="s">
        <v>17</v>
      </c>
      <c r="U11" s="769" t="e">
        <f t="shared" si="1"/>
        <v>#N/A</v>
      </c>
      <c r="V11" s="768" t="s">
        <v>17</v>
      </c>
      <c r="W11" s="769" t="e">
        <f t="shared" si="2"/>
        <v>#N/A</v>
      </c>
      <c r="X11" s="770"/>
      <c r="Y11" s="3099"/>
      <c r="Z11" s="54" t="str">
        <f t="shared" si="7"/>
        <v>容积率</v>
      </c>
      <c r="AA11" s="771" t="e">
        <f t="shared" si="3"/>
        <v>#N/A</v>
      </c>
      <c r="AB11" s="771" t="e">
        <f t="shared" si="4"/>
        <v>#N/A</v>
      </c>
      <c r="AC11" s="771" t="e">
        <f t="shared" si="5"/>
        <v>#N/A</v>
      </c>
    </row>
    <row r="12" spans="1:30" s="116" customFormat="1" ht="15">
      <c r="A12" s="430"/>
      <c r="B12" s="2596" t="s">
        <v>2739</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07"/>
      <c r="Q12" s="1793" t="str">
        <f t="shared" si="6"/>
        <v>配建</v>
      </c>
      <c r="R12" s="768" t="s">
        <v>17</v>
      </c>
      <c r="S12" s="769">
        <f t="shared" si="0"/>
        <v>100</v>
      </c>
      <c r="T12" s="768" t="s">
        <v>17</v>
      </c>
      <c r="U12" s="769">
        <f t="shared" si="1"/>
        <v>100</v>
      </c>
      <c r="V12" s="768" t="s">
        <v>17</v>
      </c>
      <c r="W12" s="769">
        <f t="shared" si="2"/>
        <v>100</v>
      </c>
      <c r="X12" s="770"/>
      <c r="Y12" s="3099"/>
      <c r="Z12" s="54" t="str">
        <f t="shared" si="7"/>
        <v>配建</v>
      </c>
      <c r="AA12" s="771">
        <f>D12/F12</f>
        <v>1</v>
      </c>
      <c r="AB12" s="771">
        <f>D12/H12</f>
        <v>1</v>
      </c>
      <c r="AC12" s="771">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07"/>
      <c r="Q13" s="1793">
        <f t="shared" si="6"/>
        <v>111</v>
      </c>
      <c r="R13" s="768" t="s">
        <v>17</v>
      </c>
      <c r="S13" s="769">
        <f t="shared" si="0"/>
        <v>100</v>
      </c>
      <c r="T13" s="768" t="s">
        <v>17</v>
      </c>
      <c r="U13" s="769">
        <f t="shared" si="1"/>
        <v>100</v>
      </c>
      <c r="V13" s="768" t="s">
        <v>17</v>
      </c>
      <c r="W13" s="769">
        <f t="shared" si="2"/>
        <v>100</v>
      </c>
      <c r="X13" s="770"/>
      <c r="Y13" s="3099"/>
      <c r="Z13" s="54">
        <f t="shared" si="7"/>
        <v>111</v>
      </c>
      <c r="AA13" s="771">
        <f>D13/F13</f>
        <v>1</v>
      </c>
      <c r="AB13" s="771">
        <f>D13/H13</f>
        <v>1</v>
      </c>
      <c r="AC13" s="771">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07"/>
      <c r="Q14" s="1793">
        <f t="shared" si="6"/>
        <v>111</v>
      </c>
      <c r="R14" s="768" t="s">
        <v>17</v>
      </c>
      <c r="S14" s="769">
        <f t="shared" si="0"/>
        <v>100</v>
      </c>
      <c r="T14" s="768" t="s">
        <v>17</v>
      </c>
      <c r="U14" s="769">
        <f t="shared" si="1"/>
        <v>100</v>
      </c>
      <c r="V14" s="768" t="s">
        <v>17</v>
      </c>
      <c r="W14" s="769">
        <f t="shared" si="2"/>
        <v>100</v>
      </c>
      <c r="X14" s="770"/>
      <c r="Y14" s="3099"/>
      <c r="Z14" s="54">
        <f t="shared" si="7"/>
        <v>111</v>
      </c>
      <c r="AA14" s="771">
        <f>D14/F14</f>
        <v>1</v>
      </c>
      <c r="AB14" s="771">
        <f>D14/H14</f>
        <v>1</v>
      </c>
      <c r="AC14" s="771">
        <f>D14/J14</f>
        <v>1</v>
      </c>
    </row>
    <row r="15" spans="1:30" ht="15">
      <c r="A15" s="439" t="s">
        <v>2551</v>
      </c>
      <c r="B15" s="68" t="s">
        <v>2079</v>
      </c>
      <c r="C15" s="2599"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09" t="s">
        <v>2552</v>
      </c>
      <c r="Q15" s="1808" t="str">
        <f t="shared" si="6"/>
        <v>居住社区成熟度</v>
      </c>
      <c r="R15" s="772" t="s">
        <v>17</v>
      </c>
      <c r="S15" s="773">
        <f t="shared" si="0"/>
        <v>100</v>
      </c>
      <c r="T15" s="772" t="s">
        <v>17</v>
      </c>
      <c r="U15" s="773">
        <f t="shared" si="1"/>
        <v>100</v>
      </c>
      <c r="V15" s="772" t="s">
        <v>17</v>
      </c>
      <c r="W15" s="773">
        <f t="shared" si="2"/>
        <v>100</v>
      </c>
      <c r="X15" s="1811"/>
      <c r="Y15" s="3309" t="s">
        <v>2552</v>
      </c>
      <c r="Z15" s="1812" t="str">
        <f t="shared" si="7"/>
        <v>居住社区成熟度</v>
      </c>
      <c r="AA15" s="1809">
        <f t="shared" si="3"/>
        <v>1</v>
      </c>
      <c r="AB15" s="1809">
        <f t="shared" si="4"/>
        <v>1</v>
      </c>
      <c r="AC15" s="1809">
        <f t="shared" si="5"/>
        <v>1</v>
      </c>
    </row>
    <row r="16" spans="1:30" ht="15">
      <c r="A16" s="427"/>
      <c r="B16" s="445"/>
      <c r="C16" s="446"/>
      <c r="D16" s="447"/>
      <c r="E16" s="2601"/>
      <c r="F16" s="447"/>
      <c r="G16" s="2601"/>
      <c r="H16" s="449"/>
      <c r="I16" s="2600"/>
      <c r="J16" s="447"/>
      <c r="K16" s="671"/>
      <c r="L16" s="1138"/>
      <c r="M16" s="1129"/>
      <c r="N16" s="1129"/>
      <c r="O16" s="1137"/>
      <c r="P16" s="3310"/>
      <c r="Q16" s="1808"/>
      <c r="R16" s="772"/>
      <c r="S16" s="773"/>
      <c r="T16" s="772"/>
      <c r="U16" s="773"/>
      <c r="V16" s="772"/>
      <c r="W16" s="773"/>
      <c r="X16" s="1811"/>
      <c r="Y16" s="3310"/>
      <c r="Z16" s="1812"/>
      <c r="AA16" s="1809">
        <v>1</v>
      </c>
      <c r="AB16" s="1809">
        <v>1</v>
      </c>
      <c r="AC16" s="1809">
        <v>1</v>
      </c>
    </row>
    <row r="17" spans="1:29" ht="71.25">
      <c r="A17" s="427"/>
      <c r="B17" s="450" t="s">
        <v>2645</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310"/>
      <c r="Q17" s="1808" t="str">
        <f>B17</f>
        <v>商业繁华度</v>
      </c>
      <c r="R17" s="772" t="s">
        <v>17</v>
      </c>
      <c r="S17" s="773">
        <f>F17</f>
        <v>100</v>
      </c>
      <c r="T17" s="772" t="s">
        <v>17</v>
      </c>
      <c r="U17" s="773">
        <f>H17</f>
        <v>100</v>
      </c>
      <c r="V17" s="772" t="s">
        <v>17</v>
      </c>
      <c r="W17" s="773">
        <f>J17</f>
        <v>100</v>
      </c>
      <c r="X17" s="1811"/>
      <c r="Y17" s="3310"/>
      <c r="Z17" s="1812" t="str">
        <f>Q17</f>
        <v>商业繁华度</v>
      </c>
      <c r="AA17" s="1809">
        <f t="shared" si="3"/>
        <v>1</v>
      </c>
      <c r="AB17" s="1809">
        <f t="shared" si="4"/>
        <v>1</v>
      </c>
      <c r="AC17" s="1809">
        <f t="shared" si="5"/>
        <v>1</v>
      </c>
    </row>
    <row r="18" spans="1:29" ht="15">
      <c r="A18" s="427"/>
      <c r="B18" s="455"/>
      <c r="C18" s="2604"/>
      <c r="D18" s="449"/>
      <c r="E18" s="2606"/>
      <c r="F18" s="449"/>
      <c r="G18" s="2606"/>
      <c r="H18" s="447"/>
      <c r="I18" s="2605"/>
      <c r="J18" s="447"/>
      <c r="K18" s="671"/>
      <c r="L18" s="1138"/>
      <c r="M18" s="1129"/>
      <c r="N18" s="1129"/>
      <c r="O18" s="1137"/>
      <c r="P18" s="3310"/>
      <c r="Q18" s="1808"/>
      <c r="R18" s="772"/>
      <c r="S18" s="773"/>
      <c r="T18" s="772"/>
      <c r="U18" s="773"/>
      <c r="V18" s="772"/>
      <c r="W18" s="773"/>
      <c r="X18" s="1811"/>
      <c r="Y18" s="3310"/>
      <c r="Z18" s="1812"/>
      <c r="AA18" s="1809">
        <v>1</v>
      </c>
      <c r="AB18" s="1809">
        <v>1</v>
      </c>
      <c r="AC18" s="1809">
        <v>1</v>
      </c>
    </row>
    <row r="19" spans="1:29" ht="15">
      <c r="A19" s="427"/>
      <c r="B19" s="450" t="s">
        <v>2679</v>
      </c>
      <c r="C19" s="2658"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10"/>
      <c r="Q19" s="1808" t="str">
        <f>B19</f>
        <v>办公集聚程度</v>
      </c>
      <c r="R19" s="772" t="s">
        <v>17</v>
      </c>
      <c r="S19" s="773">
        <f>F19</f>
        <v>100</v>
      </c>
      <c r="T19" s="772" t="s">
        <v>17</v>
      </c>
      <c r="U19" s="773">
        <f>H19</f>
        <v>100</v>
      </c>
      <c r="V19" s="772" t="s">
        <v>17</v>
      </c>
      <c r="W19" s="773">
        <f>J19</f>
        <v>100</v>
      </c>
      <c r="X19" s="1811"/>
      <c r="Y19" s="3310"/>
      <c r="Z19" s="1812" t="str">
        <f>Q19</f>
        <v>办公集聚程度</v>
      </c>
      <c r="AA19" s="1809">
        <f t="shared" si="3"/>
        <v>1</v>
      </c>
      <c r="AB19" s="1809">
        <f t="shared" si="4"/>
        <v>1</v>
      </c>
      <c r="AC19" s="1809">
        <f t="shared" si="5"/>
        <v>1</v>
      </c>
    </row>
    <row r="20" spans="1:29" ht="15">
      <c r="A20" s="427"/>
      <c r="B20" s="455"/>
      <c r="C20" s="446"/>
      <c r="D20" s="447"/>
      <c r="E20" s="2601"/>
      <c r="F20" s="447"/>
      <c r="G20" s="2601"/>
      <c r="H20" s="447"/>
      <c r="I20" s="2600"/>
      <c r="J20" s="447"/>
      <c r="K20" s="671"/>
      <c r="L20" s="1138"/>
      <c r="M20" s="1129"/>
      <c r="N20" s="1129"/>
      <c r="O20" s="1137"/>
      <c r="P20" s="3310"/>
      <c r="Q20" s="1808"/>
      <c r="R20" s="772"/>
      <c r="S20" s="773"/>
      <c r="T20" s="772"/>
      <c r="U20" s="773"/>
      <c r="V20" s="772"/>
      <c r="W20" s="773"/>
      <c r="X20" s="1811"/>
      <c r="Y20" s="3310"/>
      <c r="Z20" s="1812"/>
      <c r="AA20" s="1809">
        <v>1</v>
      </c>
      <c r="AB20" s="1809">
        <v>1</v>
      </c>
      <c r="AC20" s="1809">
        <v>1</v>
      </c>
    </row>
    <row r="21" spans="1:29" ht="15">
      <c r="A21" s="427"/>
      <c r="B21" s="450" t="s">
        <v>2701</v>
      </c>
      <c r="C21" s="2603"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310"/>
      <c r="Q21" s="1808" t="str">
        <f>B21</f>
        <v>交通便捷度</v>
      </c>
      <c r="R21" s="772" t="s">
        <v>17</v>
      </c>
      <c r="S21" s="773">
        <f>F21</f>
        <v>100</v>
      </c>
      <c r="T21" s="772" t="s">
        <v>17</v>
      </c>
      <c r="U21" s="773">
        <f>H21</f>
        <v>100</v>
      </c>
      <c r="V21" s="772" t="s">
        <v>17</v>
      </c>
      <c r="W21" s="773">
        <f>J21</f>
        <v>100</v>
      </c>
      <c r="X21" s="1811"/>
      <c r="Y21" s="3310"/>
      <c r="Z21" s="1812" t="str">
        <f>Q21</f>
        <v>交通便捷度</v>
      </c>
      <c r="AA21" s="1809">
        <f t="shared" si="3"/>
        <v>1</v>
      </c>
      <c r="AB21" s="1809">
        <f t="shared" si="4"/>
        <v>1</v>
      </c>
      <c r="AC21" s="1809">
        <f t="shared" si="5"/>
        <v>1</v>
      </c>
    </row>
    <row r="22" spans="1:29" ht="15">
      <c r="A22" s="427"/>
      <c r="B22" s="1382"/>
      <c r="C22" s="446"/>
      <c r="D22" s="449"/>
      <c r="E22" s="2601"/>
      <c r="F22" s="447"/>
      <c r="G22" s="2601"/>
      <c r="H22" s="447"/>
      <c r="I22" s="2600"/>
      <c r="J22" s="447"/>
      <c r="K22" s="671"/>
      <c r="L22" s="1138"/>
      <c r="M22" s="1129"/>
      <c r="N22" s="1129"/>
      <c r="O22" s="1137"/>
      <c r="P22" s="3310"/>
      <c r="Q22" s="1808"/>
      <c r="R22" s="772"/>
      <c r="S22" s="773"/>
      <c r="T22" s="772"/>
      <c r="U22" s="773"/>
      <c r="V22" s="772"/>
      <c r="W22" s="773"/>
      <c r="X22" s="1811"/>
      <c r="Y22" s="3310"/>
      <c r="Z22" s="1812"/>
      <c r="AA22" s="1809">
        <v>1</v>
      </c>
      <c r="AB22" s="1809">
        <v>1</v>
      </c>
      <c r="AC22" s="1809">
        <v>1</v>
      </c>
    </row>
    <row r="23" spans="1:29" ht="15">
      <c r="A23" s="403"/>
      <c r="B23" s="450" t="s">
        <v>2740</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310"/>
      <c r="Q23" s="1808" t="str">
        <f t="shared" ref="Q23:Q37" si="8">B23</f>
        <v>区域土地利用方向</v>
      </c>
      <c r="R23" s="772" t="s">
        <v>17</v>
      </c>
      <c r="S23" s="773">
        <f>F23</f>
        <v>100</v>
      </c>
      <c r="T23" s="772" t="s">
        <v>17</v>
      </c>
      <c r="U23" s="773">
        <f>H23</f>
        <v>100</v>
      </c>
      <c r="V23" s="772" t="s">
        <v>17</v>
      </c>
      <c r="W23" s="773">
        <f>J23</f>
        <v>100</v>
      </c>
      <c r="X23" s="1811"/>
      <c r="Y23" s="3310"/>
      <c r="Z23" s="1812" t="str">
        <f>Q23</f>
        <v>区域土地利用方向</v>
      </c>
      <c r="AA23" s="1809">
        <f t="shared" si="3"/>
        <v>1</v>
      </c>
      <c r="AB23" s="1809">
        <f t="shared" si="4"/>
        <v>1</v>
      </c>
      <c r="AC23" s="1809">
        <f t="shared" si="5"/>
        <v>1</v>
      </c>
    </row>
    <row r="24" spans="1:29" ht="15">
      <c r="A24" s="403"/>
      <c r="B24" s="455"/>
      <c r="C24" s="615"/>
      <c r="D24" s="447"/>
      <c r="E24" s="2601"/>
      <c r="F24" s="447"/>
      <c r="G24" s="2600"/>
      <c r="H24" s="447"/>
      <c r="I24" s="2600"/>
      <c r="J24" s="447"/>
      <c r="K24" s="810"/>
      <c r="L24" s="1138"/>
      <c r="M24" s="1129"/>
      <c r="N24" s="1129"/>
      <c r="O24" s="1137"/>
      <c r="P24" s="3310"/>
      <c r="Q24" s="1808"/>
      <c r="R24" s="772"/>
      <c r="S24" s="773"/>
      <c r="T24" s="772"/>
      <c r="U24" s="773"/>
      <c r="V24" s="772"/>
      <c r="W24" s="773"/>
      <c r="X24" s="1811"/>
      <c r="Y24" s="3310"/>
      <c r="Z24" s="1812"/>
      <c r="AA24" s="1809"/>
      <c r="AB24" s="1809"/>
      <c r="AC24" s="1809"/>
    </row>
    <row r="25" spans="1:29" ht="27">
      <c r="A25" s="403"/>
      <c r="B25" s="1382" t="s">
        <v>2741</v>
      </c>
      <c r="C25" s="2658"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310"/>
      <c r="Q25" s="1808" t="str">
        <f t="shared" si="8"/>
        <v>自然及人文环境状况</v>
      </c>
      <c r="R25" s="772" t="s">
        <v>17</v>
      </c>
      <c r="S25" s="773">
        <f>F25</f>
        <v>100</v>
      </c>
      <c r="T25" s="772" t="s">
        <v>17</v>
      </c>
      <c r="U25" s="773">
        <f>H25</f>
        <v>100</v>
      </c>
      <c r="V25" s="772" t="s">
        <v>17</v>
      </c>
      <c r="W25" s="773">
        <f>J25</f>
        <v>100</v>
      </c>
      <c r="X25" s="1811"/>
      <c r="Y25" s="3310"/>
      <c r="Z25" s="1812" t="str">
        <f>Q25</f>
        <v>自然及人文环境状况</v>
      </c>
      <c r="AA25" s="1809">
        <f t="shared" si="3"/>
        <v>1</v>
      </c>
      <c r="AB25" s="1809">
        <f t="shared" si="4"/>
        <v>1</v>
      </c>
      <c r="AC25" s="1809">
        <f t="shared" si="5"/>
        <v>1</v>
      </c>
    </row>
    <row r="26" spans="1:29" ht="15">
      <c r="A26" s="403"/>
      <c r="B26" s="455"/>
      <c r="C26" s="446"/>
      <c r="D26" s="447"/>
      <c r="E26" s="2607"/>
      <c r="F26" s="447"/>
      <c r="G26" s="2607"/>
      <c r="H26" s="447"/>
      <c r="I26" s="446"/>
      <c r="J26" s="447"/>
      <c r="K26" s="671"/>
      <c r="L26" s="1138"/>
      <c r="M26" s="1129"/>
      <c r="N26" s="1129"/>
      <c r="O26" s="1137"/>
      <c r="P26" s="3310"/>
      <c r="Q26" s="1808"/>
      <c r="R26" s="772"/>
      <c r="S26" s="773"/>
      <c r="T26" s="772"/>
      <c r="U26" s="773"/>
      <c r="V26" s="772"/>
      <c r="W26" s="773"/>
      <c r="X26" s="1811"/>
      <c r="Y26" s="3310"/>
      <c r="Z26" s="1812"/>
      <c r="AA26" s="1809">
        <v>1</v>
      </c>
      <c r="AB26" s="1809">
        <v>1</v>
      </c>
      <c r="AC26" s="1809">
        <v>1</v>
      </c>
    </row>
    <row r="27" spans="1:29" s="116" customFormat="1" ht="15">
      <c r="A27" s="648"/>
      <c r="B27" s="1382" t="s">
        <v>2646</v>
      </c>
      <c r="C27" s="2603"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310"/>
      <c r="Q27" s="1793" t="str">
        <f t="shared" si="8"/>
        <v>公共配套设施</v>
      </c>
      <c r="R27" s="768" t="s">
        <v>17</v>
      </c>
      <c r="S27" s="769">
        <f>F27</f>
        <v>100</v>
      </c>
      <c r="T27" s="768" t="s">
        <v>17</v>
      </c>
      <c r="U27" s="769">
        <f>H27</f>
        <v>100</v>
      </c>
      <c r="V27" s="768" t="s">
        <v>17</v>
      </c>
      <c r="W27" s="769">
        <f>J27</f>
        <v>100</v>
      </c>
      <c r="X27" s="770"/>
      <c r="Y27" s="3310"/>
      <c r="Z27" s="54" t="str">
        <f>Q27</f>
        <v>公共配套设施</v>
      </c>
      <c r="AA27" s="1809">
        <f>D27/F27</f>
        <v>1</v>
      </c>
      <c r="AB27" s="1809">
        <f>D27/H27</f>
        <v>1</v>
      </c>
      <c r="AC27" s="1809">
        <f>D27/J27</f>
        <v>1</v>
      </c>
    </row>
    <row r="28" spans="1:29" s="116" customFormat="1" ht="15">
      <c r="A28" s="648"/>
      <c r="B28" s="455"/>
      <c r="C28" s="2694"/>
      <c r="D28" s="447"/>
      <c r="E28" s="2607"/>
      <c r="F28" s="447"/>
      <c r="G28" s="2607"/>
      <c r="H28" s="447"/>
      <c r="I28" s="446"/>
      <c r="J28" s="447"/>
      <c r="K28" s="671"/>
      <c r="L28" s="1130"/>
      <c r="M28" s="1131"/>
      <c r="N28" s="1131"/>
      <c r="O28" s="1132"/>
      <c r="P28" s="3310"/>
      <c r="Q28" s="1793"/>
      <c r="R28" s="768"/>
      <c r="S28" s="769"/>
      <c r="T28" s="768"/>
      <c r="U28" s="769"/>
      <c r="V28" s="768"/>
      <c r="W28" s="769"/>
      <c r="X28" s="770"/>
      <c r="Y28" s="3310"/>
      <c r="Z28" s="54"/>
      <c r="AA28" s="1809">
        <v>1</v>
      </c>
      <c r="AB28" s="1809">
        <v>1</v>
      </c>
      <c r="AC28" s="1809">
        <v>1</v>
      </c>
    </row>
    <row r="29" spans="1:29" s="116" customFormat="1" ht="15">
      <c r="A29" s="648"/>
      <c r="B29" s="1382" t="s">
        <v>2647</v>
      </c>
      <c r="C29" s="2603"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310"/>
      <c r="Q29" s="1793" t="str">
        <f t="shared" ref="Q29" si="9">B29</f>
        <v>基础设施水平</v>
      </c>
      <c r="R29" s="768" t="s">
        <v>17</v>
      </c>
      <c r="S29" s="769">
        <f>F29</f>
        <v>100</v>
      </c>
      <c r="T29" s="768" t="s">
        <v>17</v>
      </c>
      <c r="U29" s="769">
        <f>H29</f>
        <v>100</v>
      </c>
      <c r="V29" s="768" t="s">
        <v>17</v>
      </c>
      <c r="W29" s="769">
        <f>J29</f>
        <v>100</v>
      </c>
      <c r="X29" s="770"/>
      <c r="Y29" s="3310"/>
      <c r="Z29" s="54" t="str">
        <f>Q29</f>
        <v>基础设施水平</v>
      </c>
      <c r="AA29" s="1809">
        <f>D29/F29</f>
        <v>1</v>
      </c>
      <c r="AB29" s="1809">
        <f>D29/H29</f>
        <v>1</v>
      </c>
      <c r="AC29" s="1809">
        <f>D29/J29</f>
        <v>1</v>
      </c>
    </row>
    <row r="30" spans="1:29" s="116" customFormat="1" ht="15">
      <c r="A30" s="648"/>
      <c r="B30" s="455"/>
      <c r="C30" s="2694"/>
      <c r="D30" s="447"/>
      <c r="E30" s="2695"/>
      <c r="F30" s="447"/>
      <c r="G30" s="2695"/>
      <c r="H30" s="447"/>
      <c r="I30" s="2695"/>
      <c r="J30" s="447"/>
      <c r="K30" s="671"/>
      <c r="L30" s="1130"/>
      <c r="M30" s="1131"/>
      <c r="N30" s="1131"/>
      <c r="O30" s="1132"/>
      <c r="P30" s="3310"/>
      <c r="Q30" s="1793"/>
      <c r="R30" s="768"/>
      <c r="S30" s="769"/>
      <c r="T30" s="768"/>
      <c r="U30" s="769"/>
      <c r="V30" s="768"/>
      <c r="W30" s="769"/>
      <c r="X30" s="770"/>
      <c r="Y30" s="3310"/>
      <c r="Z30" s="54"/>
      <c r="AA30" s="1809">
        <v>1</v>
      </c>
      <c r="AB30" s="1809">
        <v>1</v>
      </c>
      <c r="AC30" s="1809">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31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310"/>
      <c r="Z31" s="1812" t="str">
        <f t="shared" ref="Z31:Z45" si="13">Q31</f>
        <v>临街状况</v>
      </c>
      <c r="AA31" s="1809">
        <f t="shared" si="3"/>
        <v>1</v>
      </c>
      <c r="AB31" s="1809">
        <f t="shared" si="4"/>
        <v>1</v>
      </c>
      <c r="AC31" s="1809">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310"/>
      <c r="Q32" s="1808" t="str">
        <f t="shared" si="8"/>
        <v>毗邻道路的类型与等级</v>
      </c>
      <c r="R32" s="772" t="s">
        <v>17</v>
      </c>
      <c r="S32" s="773">
        <f t="shared" si="10"/>
        <v>100</v>
      </c>
      <c r="T32" s="772" t="s">
        <v>17</v>
      </c>
      <c r="U32" s="773">
        <f t="shared" si="11"/>
        <v>100</v>
      </c>
      <c r="V32" s="772" t="s">
        <v>17</v>
      </c>
      <c r="W32" s="773">
        <f t="shared" si="12"/>
        <v>100</v>
      </c>
      <c r="X32" s="1811"/>
      <c r="Y32" s="3310"/>
      <c r="Z32" s="1812" t="str">
        <f t="shared" si="13"/>
        <v>毗邻道路的类型与等级</v>
      </c>
      <c r="AA32" s="1809">
        <f t="shared" si="3"/>
        <v>1</v>
      </c>
      <c r="AB32" s="1809">
        <f t="shared" si="4"/>
        <v>1</v>
      </c>
      <c r="AC32" s="1809">
        <f t="shared" si="5"/>
        <v>1</v>
      </c>
    </row>
    <row r="33" spans="1:29" ht="15">
      <c r="A33" s="427"/>
      <c r="B33" s="455"/>
      <c r="C33" s="446"/>
      <c r="D33" s="447"/>
      <c r="E33" s="2607"/>
      <c r="F33" s="447"/>
      <c r="G33" s="2607"/>
      <c r="H33" s="447"/>
      <c r="I33" s="446"/>
      <c r="J33" s="447"/>
      <c r="K33" s="612"/>
      <c r="L33" s="1138"/>
      <c r="M33" s="1129"/>
      <c r="N33" s="1129"/>
      <c r="O33" s="1137"/>
      <c r="P33" s="3310"/>
      <c r="Q33" s="1808"/>
      <c r="R33" s="772"/>
      <c r="S33" s="773"/>
      <c r="T33" s="772"/>
      <c r="U33" s="773"/>
      <c r="V33" s="772"/>
      <c r="W33" s="773"/>
      <c r="X33" s="1811"/>
      <c r="Y33" s="3310"/>
      <c r="Z33" s="1812"/>
      <c r="AA33" s="1809">
        <v>1</v>
      </c>
      <c r="AB33" s="1809">
        <v>1</v>
      </c>
      <c r="AC33" s="1809">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10"/>
      <c r="Q34" s="1808" t="str">
        <f t="shared" si="8"/>
        <v>土地级别</v>
      </c>
      <c r="R34" s="772" t="s">
        <v>17</v>
      </c>
      <c r="S34" s="773">
        <f t="shared" si="10"/>
        <v>100</v>
      </c>
      <c r="T34" s="772" t="s">
        <v>17</v>
      </c>
      <c r="U34" s="773">
        <f t="shared" si="11"/>
        <v>100</v>
      </c>
      <c r="V34" s="772" t="s">
        <v>17</v>
      </c>
      <c r="W34" s="773">
        <f t="shared" si="12"/>
        <v>100</v>
      </c>
      <c r="X34" s="1811"/>
      <c r="Y34" s="3310"/>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10"/>
      <c r="Q35" s="1808">
        <f t="shared" si="8"/>
        <v>111</v>
      </c>
      <c r="R35" s="772" t="s">
        <v>17</v>
      </c>
      <c r="S35" s="773">
        <f t="shared" si="10"/>
        <v>100</v>
      </c>
      <c r="T35" s="772" t="s">
        <v>17</v>
      </c>
      <c r="U35" s="773">
        <f t="shared" si="11"/>
        <v>100</v>
      </c>
      <c r="V35" s="772" t="s">
        <v>17</v>
      </c>
      <c r="W35" s="773">
        <f t="shared" si="12"/>
        <v>100</v>
      </c>
      <c r="X35" s="1811"/>
      <c r="Y35" s="3310"/>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39" t="s">
        <v>2557</v>
      </c>
      <c r="Q36" s="1808">
        <f t="shared" si="8"/>
        <v>111</v>
      </c>
      <c r="R36" s="772" t="s">
        <v>17</v>
      </c>
      <c r="S36" s="773">
        <f t="shared" si="10"/>
        <v>100</v>
      </c>
      <c r="T36" s="772" t="s">
        <v>17</v>
      </c>
      <c r="U36" s="773">
        <f t="shared" si="11"/>
        <v>100</v>
      </c>
      <c r="V36" s="772" t="s">
        <v>17</v>
      </c>
      <c r="W36" s="773">
        <f t="shared" si="12"/>
        <v>100</v>
      </c>
      <c r="X36" s="1811"/>
      <c r="Y36" s="3314" t="s">
        <v>2557</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14"/>
      <c r="Q37" s="1808">
        <f t="shared" si="8"/>
        <v>111</v>
      </c>
      <c r="R37" s="775" t="s">
        <v>17</v>
      </c>
      <c r="S37" s="776">
        <f t="shared" si="10"/>
        <v>100</v>
      </c>
      <c r="T37" s="775" t="s">
        <v>17</v>
      </c>
      <c r="U37" s="776">
        <f t="shared" si="11"/>
        <v>100</v>
      </c>
      <c r="V37" s="775" t="s">
        <v>17</v>
      </c>
      <c r="W37" s="776">
        <f t="shared" si="12"/>
        <v>100</v>
      </c>
      <c r="X37" s="777"/>
      <c r="Y37" s="3314"/>
      <c r="Z37" s="778">
        <f t="shared" si="13"/>
        <v>111</v>
      </c>
      <c r="AA37" s="1809">
        <f t="shared" si="3"/>
        <v>1</v>
      </c>
      <c r="AB37" s="1809">
        <f t="shared" si="4"/>
        <v>1</v>
      </c>
      <c r="AC37" s="1809">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314"/>
      <c r="Q38" s="1808" t="str">
        <f>B38</f>
        <v>宗地面积</v>
      </c>
      <c r="R38" s="772" t="s">
        <v>17</v>
      </c>
      <c r="S38" s="773" t="e">
        <f t="shared" si="10"/>
        <v>#N/A</v>
      </c>
      <c r="T38" s="772" t="s">
        <v>17</v>
      </c>
      <c r="U38" s="773" t="e">
        <f t="shared" si="11"/>
        <v>#N/A</v>
      </c>
      <c r="V38" s="772" t="s">
        <v>17</v>
      </c>
      <c r="W38" s="773" t="e">
        <f t="shared" si="12"/>
        <v>#N/A</v>
      </c>
      <c r="X38" s="1811"/>
      <c r="Y38" s="3314"/>
      <c r="Z38" s="1812" t="str">
        <f t="shared" si="13"/>
        <v>宗地面积</v>
      </c>
      <c r="AA38" s="1809" t="e">
        <f t="shared" si="3"/>
        <v>#N/A</v>
      </c>
      <c r="AB38" s="1809" t="e">
        <f t="shared" si="4"/>
        <v>#N/A</v>
      </c>
      <c r="AC38" s="1809" t="e">
        <f t="shared" si="5"/>
        <v>#N/A</v>
      </c>
    </row>
    <row r="39" spans="1:29" ht="15">
      <c r="A39" s="471"/>
      <c r="B39" s="421" t="s">
        <v>2744</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8"/>
      <c r="M39" s="1129"/>
      <c r="N39" s="1129"/>
      <c r="O39" s="1137"/>
      <c r="P39" s="3314"/>
      <c r="Q39" s="1808" t="str">
        <f t="shared" ref="Q39:Q45" si="14">B39</f>
        <v>宗地形状</v>
      </c>
      <c r="R39" s="772" t="s">
        <v>17</v>
      </c>
      <c r="S39" s="773">
        <f t="shared" si="10"/>
        <v>100</v>
      </c>
      <c r="T39" s="772" t="s">
        <v>17</v>
      </c>
      <c r="U39" s="773">
        <f t="shared" si="11"/>
        <v>100</v>
      </c>
      <c r="V39" s="772" t="s">
        <v>17</v>
      </c>
      <c r="W39" s="773">
        <f t="shared" si="12"/>
        <v>100</v>
      </c>
      <c r="X39" s="1811"/>
      <c r="Y39" s="3314"/>
      <c r="Z39" s="1812" t="str">
        <f t="shared" si="13"/>
        <v>宗地形状</v>
      </c>
      <c r="AA39" s="1809">
        <f t="shared" si="3"/>
        <v>1</v>
      </c>
      <c r="AB39" s="1809">
        <f t="shared" si="4"/>
        <v>1</v>
      </c>
      <c r="AC39" s="1809">
        <f t="shared" si="5"/>
        <v>1</v>
      </c>
    </row>
    <row r="40" spans="1:29" ht="15">
      <c r="A40" s="471"/>
      <c r="B40" s="421" t="s">
        <v>2745</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314"/>
      <c r="Q40" s="1808" t="str">
        <f t="shared" si="14"/>
        <v>临街宽度及深度</v>
      </c>
      <c r="R40" s="772" t="s">
        <v>17</v>
      </c>
      <c r="S40" s="773">
        <f t="shared" si="10"/>
        <v>100</v>
      </c>
      <c r="T40" s="772" t="s">
        <v>17</v>
      </c>
      <c r="U40" s="773">
        <f t="shared" si="11"/>
        <v>100</v>
      </c>
      <c r="V40" s="772" t="s">
        <v>17</v>
      </c>
      <c r="W40" s="773">
        <f t="shared" si="12"/>
        <v>100</v>
      </c>
      <c r="X40" s="1811"/>
      <c r="Y40" s="3314"/>
      <c r="Z40" s="1812" t="str">
        <f t="shared" si="13"/>
        <v>临街宽度及深度</v>
      </c>
      <c r="AA40" s="1809">
        <f t="shared" si="3"/>
        <v>1</v>
      </c>
      <c r="AB40" s="1809">
        <f t="shared" si="4"/>
        <v>1</v>
      </c>
      <c r="AC40" s="1809">
        <f t="shared" si="5"/>
        <v>1</v>
      </c>
    </row>
    <row r="41" spans="1:29" s="116" customFormat="1" ht="15">
      <c r="A41" s="472"/>
      <c r="B41" s="421" t="s">
        <v>2746</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0"/>
      <c r="M41" s="1131"/>
      <c r="N41" s="1131"/>
      <c r="O41" s="1132"/>
      <c r="P41" s="3314"/>
      <c r="Q41" s="1808" t="str">
        <f t="shared" si="14"/>
        <v>宗地开发程度</v>
      </c>
      <c r="R41" s="768" t="s">
        <v>17</v>
      </c>
      <c r="S41" s="769">
        <f t="shared" si="10"/>
        <v>100</v>
      </c>
      <c r="T41" s="768" t="s">
        <v>17</v>
      </c>
      <c r="U41" s="769">
        <f t="shared" si="11"/>
        <v>100</v>
      </c>
      <c r="V41" s="768" t="s">
        <v>17</v>
      </c>
      <c r="W41" s="769">
        <f t="shared" si="12"/>
        <v>100</v>
      </c>
      <c r="X41" s="770"/>
      <c r="Y41" s="3314"/>
      <c r="Z41" s="54" t="str">
        <f t="shared" si="13"/>
        <v>宗地开发程度</v>
      </c>
      <c r="AA41" s="771">
        <f t="shared" si="3"/>
        <v>1</v>
      </c>
      <c r="AB41" s="771">
        <f t="shared" si="4"/>
        <v>1</v>
      </c>
      <c r="AC41" s="771">
        <f t="shared" si="5"/>
        <v>1</v>
      </c>
    </row>
    <row r="42" spans="1:29" ht="15">
      <c r="A42" s="471"/>
      <c r="B42" s="421" t="s">
        <v>2747</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314" t="s">
        <v>2557</v>
      </c>
      <c r="Q42" s="1808" t="str">
        <f t="shared" si="14"/>
        <v>工程地质条件</v>
      </c>
      <c r="R42" s="772" t="s">
        <v>17</v>
      </c>
      <c r="S42" s="773">
        <f t="shared" si="10"/>
        <v>100</v>
      </c>
      <c r="T42" s="772" t="s">
        <v>17</v>
      </c>
      <c r="U42" s="773">
        <f t="shared" si="11"/>
        <v>100</v>
      </c>
      <c r="V42" s="772" t="s">
        <v>17</v>
      </c>
      <c r="W42" s="773">
        <f t="shared" si="12"/>
        <v>100</v>
      </c>
      <c r="X42" s="1811"/>
      <c r="Y42" s="3314" t="s">
        <v>2557</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14"/>
      <c r="Q43" s="1808">
        <f t="shared" si="14"/>
        <v>111</v>
      </c>
      <c r="R43" s="772" t="s">
        <v>17</v>
      </c>
      <c r="S43" s="773">
        <f t="shared" si="10"/>
        <v>100</v>
      </c>
      <c r="T43" s="772" t="s">
        <v>17</v>
      </c>
      <c r="U43" s="773">
        <f t="shared" si="11"/>
        <v>100</v>
      </c>
      <c r="V43" s="772" t="s">
        <v>17</v>
      </c>
      <c r="W43" s="773">
        <f t="shared" si="12"/>
        <v>100</v>
      </c>
      <c r="X43" s="1811"/>
      <c r="Y43" s="3314"/>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14"/>
      <c r="Q44" s="1808">
        <f t="shared" si="14"/>
        <v>111</v>
      </c>
      <c r="R44" s="772" t="s">
        <v>17</v>
      </c>
      <c r="S44" s="773">
        <f t="shared" si="10"/>
        <v>100</v>
      </c>
      <c r="T44" s="772" t="s">
        <v>17</v>
      </c>
      <c r="U44" s="773">
        <f t="shared" si="11"/>
        <v>100</v>
      </c>
      <c r="V44" s="772" t="s">
        <v>17</v>
      </c>
      <c r="W44" s="773">
        <f t="shared" si="12"/>
        <v>100</v>
      </c>
      <c r="X44" s="1811"/>
      <c r="Y44" s="3314"/>
      <c r="Z44" s="1812">
        <f t="shared" si="13"/>
        <v>111</v>
      </c>
      <c r="AA44" s="1809">
        <f t="shared" si="3"/>
        <v>1</v>
      </c>
      <c r="AB44" s="1809">
        <f t="shared" si="4"/>
        <v>1</v>
      </c>
      <c r="AC44" s="1809">
        <f t="shared" si="5"/>
        <v>1</v>
      </c>
    </row>
    <row r="45" spans="1:29" s="470" customFormat="1" ht="15.75"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14"/>
      <c r="Q45" s="1808">
        <f t="shared" si="14"/>
        <v>111</v>
      </c>
      <c r="R45" s="775" t="s">
        <v>17</v>
      </c>
      <c r="S45" s="776">
        <f t="shared" si="10"/>
        <v>100</v>
      </c>
      <c r="T45" s="775" t="s">
        <v>17</v>
      </c>
      <c r="U45" s="776">
        <f t="shared" si="11"/>
        <v>100</v>
      </c>
      <c r="V45" s="775" t="s">
        <v>17</v>
      </c>
      <c r="W45" s="776">
        <f t="shared" si="12"/>
        <v>100</v>
      </c>
      <c r="X45" s="777"/>
      <c r="Y45" s="3314"/>
      <c r="Z45" s="778">
        <f t="shared" si="13"/>
        <v>111</v>
      </c>
      <c r="AA45" s="1809">
        <f t="shared" si="3"/>
        <v>1</v>
      </c>
      <c r="AB45" s="1809">
        <f t="shared" si="4"/>
        <v>1</v>
      </c>
      <c r="AC45" s="1809">
        <f t="shared" si="5"/>
        <v>1</v>
      </c>
    </row>
    <row r="46" spans="1:29" ht="15">
      <c r="A46" s="478" t="s">
        <v>2712</v>
      </c>
      <c r="B46" s="2698" t="s">
        <v>2748</v>
      </c>
      <c r="C46" s="681" t="s">
        <v>1</v>
      </c>
      <c r="D46" s="480"/>
      <c r="E46" s="481"/>
      <c r="F46" s="482"/>
      <c r="G46" s="483"/>
      <c r="H46" s="484"/>
      <c r="I46" s="481"/>
      <c r="J46" s="484"/>
      <c r="K46" s="781"/>
      <c r="L46" s="1141"/>
      <c r="M46" s="1142"/>
      <c r="N46" s="1129"/>
      <c r="O46" s="1142"/>
      <c r="P46" s="3307" t="str">
        <f>A46</f>
        <v>成交单价</v>
      </c>
      <c r="Q46" s="3307"/>
      <c r="R46" s="3302">
        <f>E46</f>
        <v>0</v>
      </c>
      <c r="S46" s="3302"/>
      <c r="T46" s="3302">
        <f>G46</f>
        <v>0</v>
      </c>
      <c r="U46" s="3302"/>
      <c r="V46" s="3302">
        <f>I46</f>
        <v>0</v>
      </c>
      <c r="W46" s="3302"/>
      <c r="X46" s="757"/>
      <c r="Y46" s="779"/>
      <c r="Z46" s="757"/>
      <c r="AA46" s="757"/>
      <c r="AB46" s="757"/>
      <c r="AC46" s="757"/>
    </row>
    <row r="47" spans="1:29" ht="15.75" thickBot="1">
      <c r="A47" s="485" t="s">
        <v>2661</v>
      </c>
      <c r="B47" s="682"/>
      <c r="C47" s="489" t="e">
        <f>R48</f>
        <v>#DIV/0!</v>
      </c>
      <c r="D47" s="488"/>
      <c r="E47" s="489" t="e">
        <f>R47</f>
        <v>#DIV/0!</v>
      </c>
      <c r="F47" s="490"/>
      <c r="G47" s="487" t="e">
        <f>T47</f>
        <v>#DIV/0!</v>
      </c>
      <c r="H47" s="488"/>
      <c r="I47" s="489" t="e">
        <f>V47</f>
        <v>#DIV/0!</v>
      </c>
      <c r="J47" s="488"/>
      <c r="K47" s="782"/>
      <c r="L47" s="1141"/>
      <c r="M47" s="1142"/>
      <c r="N47" s="1142"/>
      <c r="O47" s="1142"/>
      <c r="P47" s="3307" t="str">
        <f>A47</f>
        <v>比较价值（元/平方米）</v>
      </c>
      <c r="Q47" s="3307"/>
      <c r="R47" s="3340" t="e">
        <f>ROUND(PRODUCT(R46,AA7:AA45),0)</f>
        <v>#DIV/0!</v>
      </c>
      <c r="S47" s="3340"/>
      <c r="T47" s="3340" t="e">
        <f>ROUND(PRODUCT(T46,AB7:AB45),0)</f>
        <v>#DIV/0!</v>
      </c>
      <c r="U47" s="3340"/>
      <c r="V47" s="3340" t="e">
        <f>ROUND(PRODUCT(V46,AC7:AC45),0)</f>
        <v>#DIV/0!</v>
      </c>
      <c r="W47" s="3340"/>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41"/>
      <c r="M48" s="1142"/>
      <c r="N48" s="1142"/>
      <c r="O48" s="1142"/>
      <c r="P48" s="3304" t="str">
        <f>A48</f>
        <v>估价对象XX用房的比较价值（楼面单价，元/平方米）</v>
      </c>
      <c r="Q48" s="3305"/>
      <c r="R48" s="3341" t="e">
        <f>ROUND(AVERAGE(R47:V47),0)</f>
        <v>#DIV/0!</v>
      </c>
      <c r="S48" s="3341"/>
      <c r="T48" s="3341"/>
      <c r="U48" s="3341"/>
      <c r="V48" s="3341"/>
      <c r="W48" s="334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2750</v>
      </c>
      <c r="B55" s="684" t="s">
        <v>2751</v>
      </c>
      <c r="C55" s="2699" t="s">
        <v>2752</v>
      </c>
      <c r="D55" s="2700" t="s">
        <v>2753</v>
      </c>
      <c r="E55" s="685" t="s">
        <v>2754</v>
      </c>
      <c r="F55" s="1105" t="s">
        <v>2755</v>
      </c>
      <c r="G55" s="3290" t="s">
        <v>2756</v>
      </c>
      <c r="H55" s="3342"/>
      <c r="I55" s="143" t="s">
        <v>2757</v>
      </c>
      <c r="J55" s="2701">
        <f>项目基本情况!F35</f>
        <v>0</v>
      </c>
      <c r="K55" s="2702" t="s">
        <v>2758</v>
      </c>
      <c r="L55" s="1104"/>
      <c r="M55" s="1142"/>
      <c r="N55" s="1142"/>
      <c r="O55" s="1142"/>
    </row>
    <row r="56" spans="1:15" s="691" customFormat="1">
      <c r="A56" s="687" t="s">
        <v>2759</v>
      </c>
      <c r="B56" s="688" t="e">
        <f>C48</f>
        <v>#DIV/0!</v>
      </c>
      <c r="C56" s="689">
        <v>1</v>
      </c>
      <c r="D56" s="1161">
        <v>1</v>
      </c>
      <c r="E56" s="689">
        <f>'数据-汇总表'!E8+'数据-汇总表'!E9</f>
        <v>1191.7</v>
      </c>
      <c r="F56" s="1101" t="e">
        <f t="shared" ref="F56:F65" si="15">ROUND(B56*E56/10000,0)</f>
        <v>#DIV/0!</v>
      </c>
      <c r="G56" s="3289"/>
      <c r="H56" s="3307"/>
      <c r="I56" s="1106">
        <v>1</v>
      </c>
      <c r="J56" s="1109">
        <v>1</v>
      </c>
      <c r="K56" s="1143"/>
      <c r="L56" s="939"/>
      <c r="M56" s="939"/>
      <c r="N56" s="939"/>
      <c r="O56" s="939"/>
    </row>
    <row r="57" spans="1:15" s="691" customFormat="1">
      <c r="A57" s="692" t="s">
        <v>2760</v>
      </c>
      <c r="B57" s="261" t="e">
        <f>ROUND($C$48*C57*D57,0)</f>
        <v>#DIV/0!</v>
      </c>
      <c r="C57" s="199">
        <f t="shared" ref="C57:C65" si="16">IF($C$55="北京市系数",I57,J57)</f>
        <v>0</v>
      </c>
      <c r="D57" s="1162">
        <v>0.25</v>
      </c>
      <c r="E57" s="693"/>
      <c r="F57" s="1101" t="e">
        <f t="shared" si="15"/>
        <v>#DIV/0!</v>
      </c>
      <c r="G57" s="3343" t="s">
        <v>2761</v>
      </c>
      <c r="H57" s="1102">
        <f>项目基本情况!B37</f>
        <v>0</v>
      </c>
      <c r="I57" s="1106">
        <f>SUMIF(修正!A45:A56,H57,修正!B45:B56)</f>
        <v>0</v>
      </c>
      <c r="J57" s="1110"/>
      <c r="K57" s="1142"/>
      <c r="L57" s="939"/>
      <c r="M57" s="939"/>
      <c r="N57" s="939"/>
      <c r="O57" s="939"/>
    </row>
    <row r="58" spans="1:15" s="691" customFormat="1">
      <c r="A58" s="692" t="s">
        <v>2762</v>
      </c>
      <c r="B58" s="261" t="e">
        <f t="shared" ref="B58:B65" si="17">ROUND($C$48*C58*D58,0)</f>
        <v>#DIV/0!</v>
      </c>
      <c r="C58" s="199">
        <f t="shared" si="16"/>
        <v>0</v>
      </c>
      <c r="D58" s="1162">
        <v>0.25</v>
      </c>
      <c r="E58" s="693"/>
      <c r="F58" s="1101" t="e">
        <f t="shared" si="15"/>
        <v>#DIV/0!</v>
      </c>
      <c r="G58" s="3343"/>
      <c r="H58" s="1102">
        <f>项目基本情况!B37</f>
        <v>0</v>
      </c>
      <c r="I58" s="1106">
        <f>SUMIF(修正!A45:A56,H58,修正!C45:C56)</f>
        <v>0</v>
      </c>
      <c r="J58" s="1110"/>
      <c r="K58" s="1143"/>
      <c r="L58" s="939"/>
      <c r="M58" s="939"/>
      <c r="N58" s="939"/>
      <c r="O58" s="939"/>
    </row>
    <row r="59" spans="1:15" s="691" customFormat="1">
      <c r="A59" s="692" t="s">
        <v>2763</v>
      </c>
      <c r="B59" s="261" t="e">
        <f t="shared" si="17"/>
        <v>#DIV/0!</v>
      </c>
      <c r="C59" s="199">
        <f t="shared" si="16"/>
        <v>0</v>
      </c>
      <c r="D59" s="1162">
        <v>0.25</v>
      </c>
      <c r="E59" s="693"/>
      <c r="F59" s="1101" t="e">
        <f t="shared" si="15"/>
        <v>#DIV/0!</v>
      </c>
      <c r="G59" s="3343"/>
      <c r="H59" s="1102">
        <f>项目基本情况!B37</f>
        <v>0</v>
      </c>
      <c r="I59" s="1106">
        <f>SUMIF(修正!A45:A56,H59,修正!D45:D56)</f>
        <v>0</v>
      </c>
      <c r="J59" s="1110"/>
      <c r="K59" s="1142"/>
      <c r="L59" s="939"/>
      <c r="M59" s="939"/>
      <c r="N59" s="939"/>
      <c r="O59" s="939"/>
    </row>
    <row r="60" spans="1:15" s="691" customFormat="1">
      <c r="A60" s="692" t="s">
        <v>2764</v>
      </c>
      <c r="B60" s="261" t="e">
        <f t="shared" si="17"/>
        <v>#DIV/0!</v>
      </c>
      <c r="C60" s="199">
        <f t="shared" si="16"/>
        <v>0</v>
      </c>
      <c r="D60" s="1162">
        <v>0.25</v>
      </c>
      <c r="E60" s="693"/>
      <c r="F60" s="1101" t="e">
        <f t="shared" si="15"/>
        <v>#DIV/0!</v>
      </c>
      <c r="G60" s="3343"/>
      <c r="H60" s="1102">
        <f>项目基本情况!B37</f>
        <v>0</v>
      </c>
      <c r="I60" s="1106">
        <f>SUMIF(修正!A45:A56,H60,修正!E45:E56)</f>
        <v>0</v>
      </c>
      <c r="J60" s="1110"/>
      <c r="K60" s="1143"/>
      <c r="L60" s="939"/>
      <c r="M60" s="939"/>
      <c r="N60" s="939"/>
      <c r="O60" s="939"/>
    </row>
    <row r="61" spans="1:15" s="691" customFormat="1">
      <c r="A61" s="692" t="s">
        <v>2765</v>
      </c>
      <c r="B61" s="261" t="e">
        <f t="shared" si="17"/>
        <v>#DIV/0!</v>
      </c>
      <c r="C61" s="199">
        <f t="shared" si="16"/>
        <v>0.25</v>
      </c>
      <c r="D61" s="1162">
        <v>0.25</v>
      </c>
      <c r="E61" s="260">
        <f>'数据-汇总表'!E11</f>
        <v>0</v>
      </c>
      <c r="F61" s="1101" t="e">
        <f t="shared" si="15"/>
        <v>#DIV/0!</v>
      </c>
      <c r="G61" s="2703" t="s">
        <v>2766</v>
      </c>
      <c r="H61" s="1102" t="str">
        <f>项目基本情况!C37</f>
        <v>三级</v>
      </c>
      <c r="I61" s="1106">
        <f>SUMIF(修正!A45:A56,H61,修正!F45:F56)</f>
        <v>0.25</v>
      </c>
      <c r="J61" s="1110"/>
      <c r="K61" s="1142"/>
      <c r="L61" s="939"/>
      <c r="M61" s="939"/>
      <c r="N61" s="939"/>
      <c r="O61" s="939"/>
    </row>
    <row r="62" spans="1:15" s="691" customFormat="1">
      <c r="A62" s="692" t="s">
        <v>2767</v>
      </c>
      <c r="B62" s="261" t="e">
        <f t="shared" si="17"/>
        <v>#DIV/0!</v>
      </c>
      <c r="C62" s="199">
        <f t="shared" si="16"/>
        <v>0.25</v>
      </c>
      <c r="D62" s="1162">
        <v>0.25</v>
      </c>
      <c r="E62" s="260">
        <f>'数据-汇总表'!E12</f>
        <v>0</v>
      </c>
      <c r="F62" s="1101" t="e">
        <f t="shared" si="15"/>
        <v>#DIV/0!</v>
      </c>
      <c r="G62" s="1107" t="s">
        <v>2768</v>
      </c>
      <c r="H62" s="1102" t="str">
        <f>IF(G62="商业",项目基本情况!B37,IF(G62="办公",项目基本情况!C37,IF(G62="住宅",项目基本情况!D37,项目基本情况!E37)))</f>
        <v>三级</v>
      </c>
      <c r="I62" s="1106">
        <f>SUMIF(修正!A45:A56,H62,修正!G45:G56)</f>
        <v>0.25</v>
      </c>
      <c r="J62" s="1110"/>
      <c r="K62" s="1143"/>
      <c r="L62" s="939"/>
      <c r="M62" s="939"/>
      <c r="N62" s="939"/>
      <c r="O62" s="939"/>
    </row>
    <row r="63" spans="1:15" s="691" customFormat="1">
      <c r="A63" s="692" t="s">
        <v>2769</v>
      </c>
      <c r="B63" s="261" t="e">
        <f t="shared" si="17"/>
        <v>#DIV/0!</v>
      </c>
      <c r="C63" s="199">
        <f t="shared" si="16"/>
        <v>0.2</v>
      </c>
      <c r="D63" s="1162">
        <v>0.25</v>
      </c>
      <c r="E63" s="260">
        <f>'数据-汇总表'!E13</f>
        <v>0</v>
      </c>
      <c r="F63" s="1101" t="e">
        <f t="shared" si="15"/>
        <v>#DIV/0!</v>
      </c>
      <c r="G63" s="1107" t="s">
        <v>2770</v>
      </c>
      <c r="H63" s="1102" t="str">
        <f>IF(G63="商业",项目基本情况!B37,IF(G63="办公",项目基本情况!C37,IF(G63="住宅",项目基本情况!D37,项目基本情况!E37)))</f>
        <v>三级</v>
      </c>
      <c r="I63" s="1106">
        <f>SUMIF(修正!A45:A56,H63,修正!H45:H56)</f>
        <v>0.2</v>
      </c>
      <c r="J63" s="1110"/>
      <c r="K63" s="1142"/>
      <c r="L63" s="939"/>
      <c r="M63" s="939"/>
      <c r="N63" s="939"/>
      <c r="O63" s="939"/>
    </row>
    <row r="64" spans="1:15" s="691" customFormat="1">
      <c r="A64" s="692" t="s">
        <v>2771</v>
      </c>
      <c r="B64" s="261" t="e">
        <f t="shared" si="17"/>
        <v>#DIV/0!</v>
      </c>
      <c r="C64" s="199">
        <f t="shared" si="16"/>
        <v>0</v>
      </c>
      <c r="D64" s="1162">
        <v>0.25</v>
      </c>
      <c r="E64" s="260">
        <f>'数据-汇总表'!E14</f>
        <v>0</v>
      </c>
      <c r="F64" s="1101" t="e">
        <f t="shared" si="15"/>
        <v>#DIV/0!</v>
      </c>
      <c r="G64" s="2703" t="s">
        <v>2761</v>
      </c>
      <c r="H64" s="1102">
        <f>项目基本情况!B37</f>
        <v>0</v>
      </c>
      <c r="I64" s="1106">
        <f>SUMIF(修正!A45:A56,H64,修正!H45:H56)</f>
        <v>0</v>
      </c>
      <c r="J64" s="1110"/>
      <c r="K64" s="1143"/>
      <c r="L64" s="939"/>
      <c r="M64" s="939"/>
      <c r="N64" s="939"/>
      <c r="O64" s="939"/>
    </row>
    <row r="65" spans="1:17" s="691" customFormat="1" ht="15" thickBot="1">
      <c r="A65" s="692" t="s">
        <v>2772</v>
      </c>
      <c r="B65" s="261" t="e">
        <f t="shared" si="17"/>
        <v>#DIV/0!</v>
      </c>
      <c r="C65" s="199">
        <f t="shared" si="16"/>
        <v>0.2</v>
      </c>
      <c r="D65" s="1162">
        <v>0.25</v>
      </c>
      <c r="E65" s="260">
        <f>'数据-汇总表'!E15</f>
        <v>0</v>
      </c>
      <c r="F65" s="1101" t="e">
        <f t="shared" si="15"/>
        <v>#DIV/0!</v>
      </c>
      <c r="G65" s="2704" t="s">
        <v>2766</v>
      </c>
      <c r="H65" s="1112" t="str">
        <f>项目基本情况!C37</f>
        <v>三级</v>
      </c>
      <c r="I65" s="1108">
        <f>SUMIF(修正!A45:A56,H65,修正!H45:H56)</f>
        <v>0.2</v>
      </c>
      <c r="J65" s="1111"/>
      <c r="K65" s="1142"/>
      <c r="L65" s="939"/>
      <c r="M65" s="939"/>
      <c r="N65" s="939"/>
      <c r="O65" s="939"/>
    </row>
    <row r="66" spans="1:17" s="691" customFormat="1" ht="13.5" thickBot="1">
      <c r="A66" s="694" t="s">
        <v>2773</v>
      </c>
      <c r="B66" s="695" t="s">
        <v>28</v>
      </c>
      <c r="C66" s="695" t="s">
        <v>29</v>
      </c>
      <c r="D66" s="695" t="s">
        <v>1025</v>
      </c>
      <c r="E66" s="695">
        <f>IF(B46="楼面地价",SUM(E56:E65),'数据-汇总表'!D3)</f>
        <v>1191.7</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2020-5-1</v>
      </c>
      <c r="D68" s="759">
        <f>EDATE(C68,-3)</f>
        <v>43862</v>
      </c>
      <c r="E68" s="759">
        <f>EDATE(D68,-3)</f>
        <v>43770</v>
      </c>
      <c r="F68" s="759">
        <f t="shared" ref="F68:O68" si="18">EDATE(E68,-3)</f>
        <v>43678</v>
      </c>
      <c r="G68" s="759">
        <f t="shared" si="18"/>
        <v>43586</v>
      </c>
      <c r="H68" s="759">
        <f t="shared" si="18"/>
        <v>43497</v>
      </c>
      <c r="I68" s="759">
        <f t="shared" si="18"/>
        <v>43405</v>
      </c>
      <c r="J68" s="759">
        <f t="shared" si="18"/>
        <v>43313</v>
      </c>
      <c r="K68" s="759">
        <f t="shared" si="18"/>
        <v>43221</v>
      </c>
      <c r="L68" s="759">
        <f t="shared" si="18"/>
        <v>43132</v>
      </c>
      <c r="M68" s="759">
        <f t="shared" si="18"/>
        <v>43040</v>
      </c>
      <c r="N68" s="759">
        <f t="shared" si="18"/>
        <v>42948</v>
      </c>
      <c r="O68" s="759">
        <f t="shared" si="18"/>
        <v>42856</v>
      </c>
    </row>
    <row r="69" spans="1:17" ht="21.75" thickBot="1">
      <c r="A69" s="761" t="s">
        <v>2666</v>
      </c>
      <c r="B69" s="757"/>
      <c r="C69" s="762"/>
      <c r="D69" s="762"/>
      <c r="E69" s="762"/>
      <c r="F69" s="763"/>
      <c r="G69" s="763"/>
      <c r="H69" s="762"/>
      <c r="I69" s="762"/>
      <c r="J69" s="1157"/>
      <c r="K69" s="1158"/>
      <c r="L69" s="1159"/>
      <c r="M69" s="1157"/>
      <c r="N69" s="1157"/>
      <c r="O69" s="1157"/>
      <c r="P69" s="502"/>
      <c r="Q69" s="503"/>
    </row>
    <row r="70" spans="1:17" s="507" customFormat="1" ht="15">
      <c r="A70" s="2705" t="s">
        <v>2774</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6"/>
    </row>
    <row r="71" spans="1:17" s="116" customFormat="1" ht="30" customHeight="1">
      <c r="A71" s="2706" t="s">
        <v>2775</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5"/>
      <c r="N71" s="594"/>
      <c r="O71" s="1566"/>
      <c r="P71" s="503"/>
    </row>
    <row r="72" spans="1:17" s="116" customFormat="1" ht="15.75" thickBot="1">
      <c r="A72" s="514" t="s">
        <v>2577</v>
      </c>
      <c r="B72" s="515"/>
      <c r="C72" s="516"/>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2549</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2683</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2742</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2784</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2785</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2786</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2787</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6" sqref="G6:H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90" t="s">
        <v>2638</v>
      </c>
      <c r="D4" s="3291"/>
      <c r="E4" s="3292" t="s">
        <v>2639</v>
      </c>
      <c r="F4" s="3293"/>
      <c r="G4" s="3290" t="s">
        <v>2640</v>
      </c>
      <c r="H4" s="3291"/>
      <c r="I4" s="3290" t="s">
        <v>2641</v>
      </c>
      <c r="J4" s="3291"/>
      <c r="K4" s="609" t="s">
        <v>2642</v>
      </c>
      <c r="L4" s="1128"/>
      <c r="M4" s="1129"/>
      <c r="N4" s="1129"/>
      <c r="O4" s="1129"/>
      <c r="P4" s="3294" t="s">
        <v>2643</v>
      </c>
      <c r="Q4" s="3295"/>
      <c r="R4" s="3277" t="s">
        <v>2639</v>
      </c>
      <c r="S4" s="3278"/>
      <c r="T4" s="3277" t="s">
        <v>2640</v>
      </c>
      <c r="U4" s="3278"/>
      <c r="V4" s="3302" t="s">
        <v>2641</v>
      </c>
      <c r="W4" s="3302"/>
      <c r="X4" s="1811"/>
      <c r="Y4" s="3277" t="s">
        <v>2643</v>
      </c>
      <c r="Z4" s="3278"/>
      <c r="AA4" s="3272" t="s">
        <v>2639</v>
      </c>
      <c r="AB4" s="3273" t="s">
        <v>2640</v>
      </c>
      <c r="AC4" s="3272" t="s">
        <v>2641</v>
      </c>
    </row>
    <row r="5" spans="1:29" ht="15">
      <c r="A5" s="403"/>
      <c r="B5" s="404"/>
      <c r="C5" s="3319" t="s">
        <v>2534</v>
      </c>
      <c r="D5" s="3284"/>
      <c r="E5" s="3318" t="s">
        <v>2535</v>
      </c>
      <c r="F5" s="3282"/>
      <c r="G5" s="3319" t="s">
        <v>2536</v>
      </c>
      <c r="H5" s="3284"/>
      <c r="I5" s="3319" t="s">
        <v>2537</v>
      </c>
      <c r="J5" s="3284"/>
      <c r="K5" s="609"/>
      <c r="L5" s="1128"/>
      <c r="M5" s="1129"/>
      <c r="N5" s="1129"/>
      <c r="O5" s="1129"/>
      <c r="P5" s="3296"/>
      <c r="Q5" s="3297"/>
      <c r="R5" s="3279"/>
      <c r="S5" s="3280"/>
      <c r="T5" s="3279"/>
      <c r="U5" s="3280"/>
      <c r="V5" s="3302"/>
      <c r="W5" s="3302"/>
      <c r="X5" s="1811"/>
      <c r="Y5" s="3279"/>
      <c r="Z5" s="3280"/>
      <c r="AA5" s="3273"/>
      <c r="AB5" s="3273"/>
      <c r="AC5" s="3273"/>
    </row>
    <row r="6" spans="1:29" ht="15.75" thickBot="1">
      <c r="A6" s="405"/>
      <c r="B6" s="406"/>
      <c r="C6" s="3344" t="s">
        <v>2789</v>
      </c>
      <c r="D6" s="3345"/>
      <c r="E6" s="3346" t="s">
        <v>2789</v>
      </c>
      <c r="F6" s="3347"/>
      <c r="G6" s="3344" t="s">
        <v>2789</v>
      </c>
      <c r="H6" s="3345"/>
      <c r="I6" s="3344" t="s">
        <v>2789</v>
      </c>
      <c r="J6" s="3345"/>
      <c r="K6" s="609" t="s">
        <v>2539</v>
      </c>
      <c r="L6" s="1128"/>
      <c r="M6" s="1129"/>
      <c r="N6" s="1129"/>
      <c r="O6" s="1129"/>
      <c r="P6" s="3298"/>
      <c r="Q6" s="3299"/>
      <c r="R6" s="3279"/>
      <c r="S6" s="3280"/>
      <c r="T6" s="3300"/>
      <c r="U6" s="3301"/>
      <c r="V6" s="3302"/>
      <c r="W6" s="3302"/>
      <c r="X6" s="1811"/>
      <c r="Y6" s="3300"/>
      <c r="Z6" s="3301"/>
      <c r="AA6" s="3274"/>
      <c r="AB6" s="3274"/>
      <c r="AC6" s="3274"/>
    </row>
    <row r="7" spans="1:29" s="116" customFormat="1" ht="15.75" thickBot="1">
      <c r="A7" s="407" t="s">
        <v>2540</v>
      </c>
      <c r="B7" s="408"/>
      <c r="C7" s="409">
        <f>'数据-取费表'!B2</f>
        <v>43969</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275" t="s">
        <v>2541</v>
      </c>
      <c r="Q7" s="3303"/>
      <c r="R7" s="768" t="s">
        <v>17</v>
      </c>
      <c r="S7" s="769">
        <f t="shared" ref="S7:S15" si="0">F7</f>
        <v>0</v>
      </c>
      <c r="T7" s="768" t="s">
        <v>17</v>
      </c>
      <c r="U7" s="769">
        <f t="shared" ref="U7:U15" si="1">H7</f>
        <v>0</v>
      </c>
      <c r="V7" s="768" t="s">
        <v>17</v>
      </c>
      <c r="W7" s="769">
        <f t="shared" ref="W7:W15" si="2">J7</f>
        <v>0</v>
      </c>
      <c r="X7" s="770"/>
      <c r="Y7" s="3275" t="s">
        <v>2541</v>
      </c>
      <c r="Z7" s="3276"/>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75" t="s">
        <v>2544</v>
      </c>
      <c r="Q8" s="3276"/>
      <c r="R8" s="768" t="s">
        <v>17</v>
      </c>
      <c r="S8" s="769">
        <f t="shared" si="0"/>
        <v>0</v>
      </c>
      <c r="T8" s="768" t="s">
        <v>17</v>
      </c>
      <c r="U8" s="769">
        <f t="shared" si="1"/>
        <v>0</v>
      </c>
      <c r="V8" s="768" t="s">
        <v>17</v>
      </c>
      <c r="W8" s="769">
        <f t="shared" si="2"/>
        <v>0</v>
      </c>
      <c r="X8" s="770"/>
      <c r="Y8" s="3275" t="s">
        <v>2544</v>
      </c>
      <c r="Z8" s="3276"/>
      <c r="AA8" s="771" t="e">
        <f t="shared" ref="AA8:AA40" si="3">D8/F8</f>
        <v>#DIV/0!</v>
      </c>
      <c r="AB8" s="771" t="e">
        <f t="shared" ref="AB8:AB40" si="4">D8/H8</f>
        <v>#DIV/0!</v>
      </c>
      <c r="AC8" s="771" t="e">
        <f t="shared" ref="AC8:AC40" si="5">D8/J8</f>
        <v>#DIV/0!</v>
      </c>
    </row>
    <row r="9" spans="1:29" s="116" customFormat="1">
      <c r="A9" s="414" t="s">
        <v>2545</v>
      </c>
      <c r="B9" s="70" t="s">
        <v>2546</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307" t="s">
        <v>2547</v>
      </c>
      <c r="Q9" s="1793" t="str">
        <f t="shared" ref="Q9:Q15" si="6">B9</f>
        <v>用途</v>
      </c>
      <c r="R9" s="768" t="s">
        <v>17</v>
      </c>
      <c r="S9" s="769">
        <f t="shared" si="0"/>
        <v>100</v>
      </c>
      <c r="T9" s="768" t="s">
        <v>17</v>
      </c>
      <c r="U9" s="769">
        <f t="shared" si="1"/>
        <v>100</v>
      </c>
      <c r="V9" s="768" t="s">
        <v>17</v>
      </c>
      <c r="W9" s="769">
        <f t="shared" si="2"/>
        <v>100</v>
      </c>
      <c r="X9" s="770"/>
      <c r="Y9" s="3099" t="s">
        <v>2548</v>
      </c>
      <c r="Z9" s="54"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109</v>
      </c>
      <c r="G10" s="431"/>
      <c r="H10" s="135">
        <f>ROUND(100/'数据-取费表'!G16,0)</f>
        <v>109</v>
      </c>
      <c r="I10" s="431"/>
      <c r="J10" s="135">
        <f>ROUND(100/'数据-取费表'!G16,0)</f>
        <v>109</v>
      </c>
      <c r="K10" s="671"/>
      <c r="L10" s="1133"/>
      <c r="M10" s="1134"/>
      <c r="N10" s="1134"/>
      <c r="O10" s="1135"/>
      <c r="P10" s="3307"/>
      <c r="Q10" s="1793" t="str">
        <f t="shared" si="6"/>
        <v>土地使用年限（年）</v>
      </c>
      <c r="R10" s="768" t="s">
        <v>17</v>
      </c>
      <c r="S10" s="769">
        <f t="shared" si="0"/>
        <v>109</v>
      </c>
      <c r="T10" s="768" t="s">
        <v>17</v>
      </c>
      <c r="U10" s="769">
        <f t="shared" si="1"/>
        <v>109</v>
      </c>
      <c r="V10" s="768" t="s">
        <v>17</v>
      </c>
      <c r="W10" s="769">
        <f t="shared" si="2"/>
        <v>109</v>
      </c>
      <c r="X10" s="770"/>
      <c r="Y10" s="3099"/>
      <c r="Z10" s="54" t="str">
        <f t="shared" si="7"/>
        <v>土地使用年限（年）</v>
      </c>
      <c r="AA10" s="771">
        <f t="shared" si="3"/>
        <v>0.91743119266055051</v>
      </c>
      <c r="AB10" s="771">
        <f t="shared" si="4"/>
        <v>0.91743119266055051</v>
      </c>
      <c r="AC10" s="771">
        <f t="shared" si="5"/>
        <v>0.91743119266055051</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07"/>
      <c r="Q11" s="1793" t="str">
        <f t="shared" si="6"/>
        <v>容积率</v>
      </c>
      <c r="R11" s="768" t="s">
        <v>17</v>
      </c>
      <c r="S11" s="769" t="e">
        <f t="shared" si="0"/>
        <v>#N/A</v>
      </c>
      <c r="T11" s="768" t="s">
        <v>17</v>
      </c>
      <c r="U11" s="769" t="e">
        <f t="shared" si="1"/>
        <v>#N/A</v>
      </c>
      <c r="V11" s="768" t="s">
        <v>17</v>
      </c>
      <c r="W11" s="769" t="e">
        <f t="shared" si="2"/>
        <v>#N/A</v>
      </c>
      <c r="X11" s="770"/>
      <c r="Y11" s="3099"/>
      <c r="Z11" s="54" t="str">
        <f t="shared" si="7"/>
        <v>容积率</v>
      </c>
      <c r="AA11" s="771" t="e">
        <f t="shared" si="3"/>
        <v>#N/A</v>
      </c>
      <c r="AB11" s="771" t="e">
        <f t="shared" si="4"/>
        <v>#N/A</v>
      </c>
      <c r="AC11" s="771"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07"/>
      <c r="Q12" s="1793">
        <f t="shared" si="6"/>
        <v>111</v>
      </c>
      <c r="R12" s="768" t="s">
        <v>17</v>
      </c>
      <c r="S12" s="769">
        <f t="shared" si="0"/>
        <v>100</v>
      </c>
      <c r="T12" s="768" t="s">
        <v>17</v>
      </c>
      <c r="U12" s="769">
        <f t="shared" si="1"/>
        <v>100</v>
      </c>
      <c r="V12" s="768" t="s">
        <v>17</v>
      </c>
      <c r="W12" s="769">
        <f t="shared" si="2"/>
        <v>100</v>
      </c>
      <c r="X12" s="770"/>
      <c r="Y12" s="3099"/>
      <c r="Z12" s="54">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07"/>
      <c r="Q13" s="1793">
        <f t="shared" si="6"/>
        <v>111</v>
      </c>
      <c r="R13" s="768" t="s">
        <v>17</v>
      </c>
      <c r="S13" s="769">
        <f t="shared" si="0"/>
        <v>100</v>
      </c>
      <c r="T13" s="768" t="s">
        <v>17</v>
      </c>
      <c r="U13" s="769">
        <f t="shared" si="1"/>
        <v>100</v>
      </c>
      <c r="V13" s="768" t="s">
        <v>17</v>
      </c>
      <c r="W13" s="769">
        <f t="shared" si="2"/>
        <v>100</v>
      </c>
      <c r="X13" s="770"/>
      <c r="Y13" s="3099"/>
      <c r="Z13" s="54">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07"/>
      <c r="Q14" s="1793">
        <f t="shared" si="6"/>
        <v>111</v>
      </c>
      <c r="R14" s="768" t="s">
        <v>17</v>
      </c>
      <c r="S14" s="769">
        <f t="shared" si="0"/>
        <v>100</v>
      </c>
      <c r="T14" s="768" t="s">
        <v>17</v>
      </c>
      <c r="U14" s="769">
        <f t="shared" si="1"/>
        <v>100</v>
      </c>
      <c r="V14" s="768" t="s">
        <v>17</v>
      </c>
      <c r="W14" s="769">
        <f t="shared" si="2"/>
        <v>100</v>
      </c>
      <c r="X14" s="770"/>
      <c r="Y14" s="3099"/>
      <c r="Z14" s="54">
        <f t="shared" si="7"/>
        <v>111</v>
      </c>
      <c r="AA14" s="771">
        <f t="shared" si="3"/>
        <v>1</v>
      </c>
      <c r="AB14" s="771">
        <f t="shared" si="4"/>
        <v>1</v>
      </c>
      <c r="AC14" s="771">
        <f t="shared" si="5"/>
        <v>1</v>
      </c>
    </row>
    <row r="15" spans="1:29" ht="57">
      <c r="A15" s="439" t="s">
        <v>2551</v>
      </c>
      <c r="B15" s="628" t="s">
        <v>2790</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09" t="s">
        <v>2552</v>
      </c>
      <c r="Q15" s="1808" t="str">
        <f t="shared" si="6"/>
        <v>产业集聚程度</v>
      </c>
      <c r="R15" s="772" t="s">
        <v>17</v>
      </c>
      <c r="S15" s="773">
        <f t="shared" si="0"/>
        <v>100</v>
      </c>
      <c r="T15" s="772" t="s">
        <v>17</v>
      </c>
      <c r="U15" s="773">
        <f t="shared" si="1"/>
        <v>100</v>
      </c>
      <c r="V15" s="772" t="s">
        <v>17</v>
      </c>
      <c r="W15" s="773">
        <f t="shared" si="2"/>
        <v>100</v>
      </c>
      <c r="X15" s="1811"/>
      <c r="Y15" s="3309" t="s">
        <v>2552</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310"/>
      <c r="Q16" s="1808"/>
      <c r="R16" s="772"/>
      <c r="S16" s="773"/>
      <c r="T16" s="772"/>
      <c r="U16" s="773"/>
      <c r="V16" s="772"/>
      <c r="W16" s="773"/>
      <c r="X16" s="1811"/>
      <c r="Y16" s="3310"/>
      <c r="Z16" s="1812"/>
      <c r="AA16" s="1809">
        <v>1</v>
      </c>
      <c r="AB16" s="1809">
        <v>1</v>
      </c>
      <c r="AC16" s="1809">
        <v>1</v>
      </c>
    </row>
    <row r="17" spans="1:29" ht="85.5">
      <c r="A17" s="427"/>
      <c r="B17" s="630" t="s">
        <v>2701</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10"/>
      <c r="Q17" s="1808" t="str">
        <f>B17</f>
        <v>交通便捷度</v>
      </c>
      <c r="R17" s="772" t="s">
        <v>17</v>
      </c>
      <c r="S17" s="773">
        <f>F17</f>
        <v>100</v>
      </c>
      <c r="T17" s="772" t="s">
        <v>17</v>
      </c>
      <c r="U17" s="773">
        <f>H17</f>
        <v>100</v>
      </c>
      <c r="V17" s="772" t="s">
        <v>17</v>
      </c>
      <c r="W17" s="773">
        <f>J17</f>
        <v>100</v>
      </c>
      <c r="X17" s="1811"/>
      <c r="Y17" s="3310"/>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310"/>
      <c r="Q18" s="1808"/>
      <c r="R18" s="772"/>
      <c r="S18" s="773"/>
      <c r="T18" s="772"/>
      <c r="U18" s="773"/>
      <c r="V18" s="772"/>
      <c r="W18" s="773"/>
      <c r="X18" s="1811"/>
      <c r="Y18" s="3310"/>
      <c r="Z18" s="1812"/>
      <c r="AA18" s="1809">
        <v>1</v>
      </c>
      <c r="AB18" s="1809">
        <v>1</v>
      </c>
      <c r="AC18" s="1809">
        <v>1</v>
      </c>
    </row>
    <row r="19" spans="1:29" ht="15">
      <c r="A19" s="427"/>
      <c r="B19" s="630" t="s">
        <v>2740</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10"/>
      <c r="Q19" s="1808" t="str">
        <f t="shared" ref="Q19:Q33" si="8">B19</f>
        <v>区域土地利用方向</v>
      </c>
      <c r="R19" s="772" t="s">
        <v>17</v>
      </c>
      <c r="S19" s="773">
        <f>F19</f>
        <v>100</v>
      </c>
      <c r="T19" s="772" t="s">
        <v>17</v>
      </c>
      <c r="U19" s="773">
        <f>H19</f>
        <v>100</v>
      </c>
      <c r="V19" s="772" t="s">
        <v>17</v>
      </c>
      <c r="W19" s="773">
        <f>J19</f>
        <v>100</v>
      </c>
      <c r="X19" s="1811"/>
      <c r="Y19" s="3310"/>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310"/>
      <c r="Q20" s="1808"/>
      <c r="R20" s="772"/>
      <c r="S20" s="773"/>
      <c r="T20" s="772"/>
      <c r="U20" s="773"/>
      <c r="V20" s="772"/>
      <c r="W20" s="773"/>
      <c r="X20" s="1811"/>
      <c r="Y20" s="3310"/>
      <c r="Z20" s="1812"/>
      <c r="AA20" s="1809"/>
      <c r="AB20" s="1809"/>
      <c r="AC20" s="1809"/>
    </row>
    <row r="21" spans="1:29" ht="71.25">
      <c r="A21" s="403"/>
      <c r="B21" s="630" t="s">
        <v>2791</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10"/>
      <c r="Q21" s="1808" t="str">
        <f t="shared" si="8"/>
        <v>环境状况</v>
      </c>
      <c r="R21" s="772" t="s">
        <v>17</v>
      </c>
      <c r="S21" s="773">
        <f>F21</f>
        <v>100</v>
      </c>
      <c r="T21" s="772" t="s">
        <v>17</v>
      </c>
      <c r="U21" s="773">
        <f>H21</f>
        <v>100</v>
      </c>
      <c r="V21" s="772" t="s">
        <v>17</v>
      </c>
      <c r="W21" s="773">
        <f>J21</f>
        <v>100</v>
      </c>
      <c r="X21" s="1811"/>
      <c r="Y21" s="3310"/>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310"/>
      <c r="Q22" s="1808"/>
      <c r="R22" s="772"/>
      <c r="S22" s="773"/>
      <c r="T22" s="772"/>
      <c r="U22" s="773"/>
      <c r="V22" s="772"/>
      <c r="W22" s="773"/>
      <c r="X22" s="1811"/>
      <c r="Y22" s="3310"/>
      <c r="Z22" s="1812"/>
      <c r="AA22" s="1809">
        <v>1</v>
      </c>
      <c r="AB22" s="1809">
        <v>1</v>
      </c>
      <c r="AC22" s="1809">
        <v>1</v>
      </c>
    </row>
    <row r="23" spans="1:29" s="116" customFormat="1" ht="42.75">
      <c r="A23" s="648"/>
      <c r="B23" s="632" t="s">
        <v>2646</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10"/>
      <c r="Q23" s="1793" t="str">
        <f t="shared" si="8"/>
        <v>公共配套设施</v>
      </c>
      <c r="R23" s="768" t="s">
        <v>17</v>
      </c>
      <c r="S23" s="769">
        <f>F23</f>
        <v>100</v>
      </c>
      <c r="T23" s="768" t="s">
        <v>17</v>
      </c>
      <c r="U23" s="769">
        <f>H23</f>
        <v>100</v>
      </c>
      <c r="V23" s="768" t="s">
        <v>17</v>
      </c>
      <c r="W23" s="769">
        <f>J23</f>
        <v>100</v>
      </c>
      <c r="X23" s="770"/>
      <c r="Y23" s="3310"/>
      <c r="Z23" s="54" t="str">
        <f>Q23</f>
        <v>公共配套设施</v>
      </c>
      <c r="AA23" s="1809">
        <f>D23/F23</f>
        <v>1</v>
      </c>
      <c r="AB23" s="1809">
        <f>D23/H23</f>
        <v>1</v>
      </c>
      <c r="AC23" s="1809">
        <f>D23/J23</f>
        <v>1</v>
      </c>
    </row>
    <row r="24" spans="1:29" s="116" customFormat="1" ht="15">
      <c r="A24" s="648"/>
      <c r="B24" s="631"/>
      <c r="C24" s="2694"/>
      <c r="D24" s="447"/>
      <c r="E24" s="2607"/>
      <c r="F24" s="447"/>
      <c r="G24" s="2607"/>
      <c r="H24" s="447"/>
      <c r="I24" s="446"/>
      <c r="J24" s="447"/>
      <c r="K24" s="671"/>
      <c r="L24" s="1130"/>
      <c r="M24" s="1131"/>
      <c r="N24" s="1131"/>
      <c r="O24" s="1132"/>
      <c r="P24" s="3310"/>
      <c r="Q24" s="1793"/>
      <c r="R24" s="768"/>
      <c r="S24" s="769"/>
      <c r="T24" s="768"/>
      <c r="U24" s="769"/>
      <c r="V24" s="768"/>
      <c r="W24" s="769"/>
      <c r="X24" s="770"/>
      <c r="Y24" s="3310"/>
      <c r="Z24" s="54"/>
      <c r="AA24" s="771">
        <v>1</v>
      </c>
      <c r="AB24" s="771">
        <v>1</v>
      </c>
      <c r="AC24" s="771">
        <v>1</v>
      </c>
    </row>
    <row r="25" spans="1:29" s="116" customFormat="1" ht="28.5">
      <c r="A25" s="648"/>
      <c r="B25" s="632" t="s">
        <v>2647</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10"/>
      <c r="Q25" s="1793" t="str">
        <f t="shared" ref="Q25" si="9">B25</f>
        <v>基础设施水平</v>
      </c>
      <c r="R25" s="768" t="s">
        <v>17</v>
      </c>
      <c r="S25" s="769">
        <f>F25</f>
        <v>100</v>
      </c>
      <c r="T25" s="768" t="s">
        <v>17</v>
      </c>
      <c r="U25" s="769">
        <f>H25</f>
        <v>100</v>
      </c>
      <c r="V25" s="768" t="s">
        <v>17</v>
      </c>
      <c r="W25" s="769">
        <f>J25</f>
        <v>100</v>
      </c>
      <c r="X25" s="770"/>
      <c r="Y25" s="3310"/>
      <c r="Z25" s="54" t="str">
        <f>Q25</f>
        <v>基础设施水平</v>
      </c>
      <c r="AA25" s="1809">
        <f>D25/F25</f>
        <v>1</v>
      </c>
      <c r="AB25" s="1809">
        <f>D25/H25</f>
        <v>1</v>
      </c>
      <c r="AC25" s="1809">
        <f>D25/J25</f>
        <v>1</v>
      </c>
    </row>
    <row r="26" spans="1:29" s="116" customFormat="1" ht="15">
      <c r="A26" s="648"/>
      <c r="B26" s="631"/>
      <c r="C26" s="2694"/>
      <c r="D26" s="447"/>
      <c r="E26" s="2695"/>
      <c r="F26" s="447"/>
      <c r="G26" s="2695"/>
      <c r="H26" s="447"/>
      <c r="I26" s="2695"/>
      <c r="J26" s="447"/>
      <c r="K26" s="671"/>
      <c r="L26" s="1130"/>
      <c r="M26" s="1131"/>
      <c r="N26" s="1131"/>
      <c r="O26" s="1132"/>
      <c r="P26" s="3310"/>
      <c r="Q26" s="1793"/>
      <c r="R26" s="768"/>
      <c r="S26" s="769"/>
      <c r="T26" s="768"/>
      <c r="U26" s="769"/>
      <c r="V26" s="768"/>
      <c r="W26" s="769"/>
      <c r="X26" s="770"/>
      <c r="Y26" s="3310"/>
      <c r="Z26" s="54"/>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1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10"/>
      <c r="Z27" s="1812" t="str">
        <f t="shared" ref="Z27:Z40" si="13">Q27</f>
        <v>临街状况</v>
      </c>
      <c r="AA27" s="1809">
        <f t="shared" si="3"/>
        <v>1</v>
      </c>
      <c r="AB27" s="1809">
        <f t="shared" si="4"/>
        <v>1</v>
      </c>
      <c r="AC27" s="1809">
        <f t="shared" si="5"/>
        <v>1</v>
      </c>
    </row>
    <row r="28" spans="1:29" ht="27">
      <c r="A28" s="427"/>
      <c r="B28" s="632" t="s">
        <v>2683</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10"/>
      <c r="Q28" s="1808" t="str">
        <f t="shared" si="8"/>
        <v>毗邻道路的类型与等级</v>
      </c>
      <c r="R28" s="772" t="s">
        <v>17</v>
      </c>
      <c r="S28" s="773">
        <f t="shared" si="10"/>
        <v>100</v>
      </c>
      <c r="T28" s="772" t="s">
        <v>17</v>
      </c>
      <c r="U28" s="773">
        <f t="shared" si="11"/>
        <v>100</v>
      </c>
      <c r="V28" s="772" t="s">
        <v>17</v>
      </c>
      <c r="W28" s="773">
        <f t="shared" si="12"/>
        <v>100</v>
      </c>
      <c r="X28" s="1811"/>
      <c r="Y28" s="3310"/>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310"/>
      <c r="Q29" s="1808"/>
      <c r="R29" s="772"/>
      <c r="S29" s="773"/>
      <c r="T29" s="772"/>
      <c r="U29" s="773"/>
      <c r="V29" s="772"/>
      <c r="W29" s="773"/>
      <c r="X29" s="1811"/>
      <c r="Y29" s="3310"/>
      <c r="Z29" s="1812"/>
      <c r="AA29" s="1809">
        <v>1</v>
      </c>
      <c r="AB29" s="1809">
        <v>1</v>
      </c>
      <c r="AC29" s="1809">
        <v>1</v>
      </c>
    </row>
    <row r="30" spans="1:29" ht="15">
      <c r="A30" s="427"/>
      <c r="B30" s="653" t="s">
        <v>2742</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10"/>
      <c r="Q30" s="1808" t="str">
        <f t="shared" si="8"/>
        <v>土地级别</v>
      </c>
      <c r="R30" s="772" t="s">
        <v>17</v>
      </c>
      <c r="S30" s="773">
        <f t="shared" si="10"/>
        <v>100</v>
      </c>
      <c r="T30" s="772" t="s">
        <v>17</v>
      </c>
      <c r="U30" s="773">
        <f t="shared" si="11"/>
        <v>100</v>
      </c>
      <c r="V30" s="772" t="s">
        <v>17</v>
      </c>
      <c r="W30" s="773">
        <f t="shared" si="12"/>
        <v>100</v>
      </c>
      <c r="X30" s="1811"/>
      <c r="Y30" s="3310"/>
      <c r="Z30" s="1812" t="str">
        <f t="shared" si="13"/>
        <v>土地级别</v>
      </c>
      <c r="AA30" s="1809">
        <f t="shared" si="3"/>
        <v>1</v>
      </c>
      <c r="AB30" s="1809">
        <f t="shared" si="4"/>
        <v>1</v>
      </c>
      <c r="AC30" s="1809">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10"/>
      <c r="Q31" s="1808">
        <f t="shared" si="8"/>
        <v>111</v>
      </c>
      <c r="R31" s="772" t="s">
        <v>17</v>
      </c>
      <c r="S31" s="773">
        <f t="shared" si="10"/>
        <v>100</v>
      </c>
      <c r="T31" s="772" t="s">
        <v>17</v>
      </c>
      <c r="U31" s="773">
        <f t="shared" si="11"/>
        <v>100</v>
      </c>
      <c r="V31" s="772" t="s">
        <v>17</v>
      </c>
      <c r="W31" s="773">
        <f t="shared" si="12"/>
        <v>100</v>
      </c>
      <c r="X31" s="1811"/>
      <c r="Y31" s="3310"/>
      <c r="Z31" s="1812">
        <f t="shared" si="13"/>
        <v>111</v>
      </c>
      <c r="AA31" s="1809">
        <f t="shared" si="3"/>
        <v>1</v>
      </c>
      <c r="AB31" s="1809">
        <f t="shared" si="4"/>
        <v>1</v>
      </c>
      <c r="AC31" s="1809">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39" t="s">
        <v>2557</v>
      </c>
      <c r="Q32" s="1808">
        <f t="shared" si="8"/>
        <v>111</v>
      </c>
      <c r="R32" s="772" t="s">
        <v>17</v>
      </c>
      <c r="S32" s="773">
        <f t="shared" si="10"/>
        <v>100</v>
      </c>
      <c r="T32" s="772" t="s">
        <v>17</v>
      </c>
      <c r="U32" s="773">
        <f t="shared" si="11"/>
        <v>100</v>
      </c>
      <c r="V32" s="772" t="s">
        <v>17</v>
      </c>
      <c r="W32" s="773">
        <f t="shared" si="12"/>
        <v>100</v>
      </c>
      <c r="X32" s="1811"/>
      <c r="Y32" s="3314" t="s">
        <v>2557</v>
      </c>
      <c r="Z32" s="1812">
        <f t="shared" si="13"/>
        <v>111</v>
      </c>
      <c r="AA32" s="1809">
        <f t="shared" si="3"/>
        <v>1</v>
      </c>
      <c r="AB32" s="1809">
        <f t="shared" si="4"/>
        <v>1</v>
      </c>
      <c r="AC32" s="1809">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14"/>
      <c r="Q33" s="1808">
        <f t="shared" si="8"/>
        <v>111</v>
      </c>
      <c r="R33" s="775" t="s">
        <v>17</v>
      </c>
      <c r="S33" s="776">
        <f t="shared" si="10"/>
        <v>100</v>
      </c>
      <c r="T33" s="775" t="s">
        <v>17</v>
      </c>
      <c r="U33" s="776">
        <f t="shared" si="11"/>
        <v>100</v>
      </c>
      <c r="V33" s="775" t="s">
        <v>17</v>
      </c>
      <c r="W33" s="776">
        <f t="shared" si="12"/>
        <v>100</v>
      </c>
      <c r="X33" s="777"/>
      <c r="Y33" s="3314"/>
      <c r="Z33" s="778">
        <f t="shared" si="13"/>
        <v>111</v>
      </c>
      <c r="AA33" s="1809">
        <f t="shared" si="3"/>
        <v>1</v>
      </c>
      <c r="AB33" s="1809">
        <f t="shared" si="4"/>
        <v>1</v>
      </c>
      <c r="AC33" s="1809">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14"/>
      <c r="Q34" s="1808" t="str">
        <f>B34</f>
        <v>宗地面积</v>
      </c>
      <c r="R34" s="772" t="s">
        <v>17</v>
      </c>
      <c r="S34" s="773" t="e">
        <f t="shared" si="10"/>
        <v>#N/A</v>
      </c>
      <c r="T34" s="772" t="s">
        <v>17</v>
      </c>
      <c r="U34" s="773" t="e">
        <f t="shared" si="11"/>
        <v>#N/A</v>
      </c>
      <c r="V34" s="772" t="s">
        <v>17</v>
      </c>
      <c r="W34" s="773" t="e">
        <f t="shared" si="12"/>
        <v>#N/A</v>
      </c>
      <c r="X34" s="1811"/>
      <c r="Y34" s="3314"/>
      <c r="Z34" s="1812" t="str">
        <f t="shared" si="13"/>
        <v>宗地面积</v>
      </c>
      <c r="AA34" s="1809" t="e">
        <f t="shared" si="3"/>
        <v>#N/A</v>
      </c>
      <c r="AB34" s="1809" t="e">
        <f t="shared" si="4"/>
        <v>#N/A</v>
      </c>
      <c r="AC34" s="1809" t="e">
        <f t="shared" si="5"/>
        <v>#N/A</v>
      </c>
    </row>
    <row r="35" spans="1:29" ht="15">
      <c r="A35" s="471"/>
      <c r="B35" s="421" t="s">
        <v>2744</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314"/>
      <c r="Q35" s="1808" t="str">
        <f t="shared" ref="Q35:Q40" si="14">B35</f>
        <v>宗地形状</v>
      </c>
      <c r="R35" s="772" t="s">
        <v>17</v>
      </c>
      <c r="S35" s="773">
        <f t="shared" si="10"/>
        <v>100</v>
      </c>
      <c r="T35" s="772" t="s">
        <v>17</v>
      </c>
      <c r="U35" s="773">
        <f t="shared" si="11"/>
        <v>100</v>
      </c>
      <c r="V35" s="772" t="s">
        <v>17</v>
      </c>
      <c r="W35" s="773">
        <f t="shared" si="12"/>
        <v>100</v>
      </c>
      <c r="X35" s="1811"/>
      <c r="Y35" s="3314"/>
      <c r="Z35" s="1812" t="str">
        <f t="shared" si="13"/>
        <v>宗地形状</v>
      </c>
      <c r="AA35" s="1809">
        <f t="shared" si="3"/>
        <v>1</v>
      </c>
      <c r="AB35" s="1809">
        <f t="shared" si="4"/>
        <v>1</v>
      </c>
      <c r="AC35" s="1809">
        <f t="shared" si="5"/>
        <v>1</v>
      </c>
    </row>
    <row r="36" spans="1:29" s="116" customFormat="1" ht="15">
      <c r="A36" s="472"/>
      <c r="B36" s="421" t="s">
        <v>2746</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314"/>
      <c r="Q36" s="1808" t="str">
        <f t="shared" si="14"/>
        <v>宗地开发程度</v>
      </c>
      <c r="R36" s="768" t="s">
        <v>17</v>
      </c>
      <c r="S36" s="769">
        <f t="shared" si="10"/>
        <v>100</v>
      </c>
      <c r="T36" s="768" t="s">
        <v>17</v>
      </c>
      <c r="U36" s="769">
        <f t="shared" si="11"/>
        <v>100</v>
      </c>
      <c r="V36" s="768" t="s">
        <v>17</v>
      </c>
      <c r="W36" s="769">
        <f t="shared" si="12"/>
        <v>100</v>
      </c>
      <c r="X36" s="770"/>
      <c r="Y36" s="3314"/>
      <c r="Z36" s="54" t="str">
        <f t="shared" si="13"/>
        <v>宗地开发程度</v>
      </c>
      <c r="AA36" s="771">
        <f t="shared" si="3"/>
        <v>1</v>
      </c>
      <c r="AB36" s="771">
        <f t="shared" si="4"/>
        <v>1</v>
      </c>
      <c r="AC36" s="771">
        <f t="shared" si="5"/>
        <v>1</v>
      </c>
    </row>
    <row r="37" spans="1:29" ht="15">
      <c r="A37" s="471"/>
      <c r="B37" s="421" t="s">
        <v>2747</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314" t="s">
        <v>2557</v>
      </c>
      <c r="Q37" s="1808" t="str">
        <f t="shared" si="14"/>
        <v>工程地质条件</v>
      </c>
      <c r="R37" s="772" t="s">
        <v>17</v>
      </c>
      <c r="S37" s="773">
        <f t="shared" si="10"/>
        <v>100</v>
      </c>
      <c r="T37" s="772" t="s">
        <v>17</v>
      </c>
      <c r="U37" s="773">
        <f t="shared" si="11"/>
        <v>100</v>
      </c>
      <c r="V37" s="772" t="s">
        <v>17</v>
      </c>
      <c r="W37" s="773">
        <f t="shared" si="12"/>
        <v>100</v>
      </c>
      <c r="X37" s="1811"/>
      <c r="Y37" s="3314" t="s">
        <v>2557</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14"/>
      <c r="Q38" s="1808">
        <f t="shared" si="14"/>
        <v>111</v>
      </c>
      <c r="R38" s="772" t="s">
        <v>17</v>
      </c>
      <c r="S38" s="773">
        <f t="shared" si="10"/>
        <v>100</v>
      </c>
      <c r="T38" s="772" t="s">
        <v>17</v>
      </c>
      <c r="U38" s="773">
        <f t="shared" si="11"/>
        <v>100</v>
      </c>
      <c r="V38" s="772" t="s">
        <v>17</v>
      </c>
      <c r="W38" s="773">
        <f t="shared" si="12"/>
        <v>100</v>
      </c>
      <c r="X38" s="1811"/>
      <c r="Y38" s="3314"/>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14"/>
      <c r="Q39" s="1808">
        <f t="shared" si="14"/>
        <v>111</v>
      </c>
      <c r="R39" s="772" t="s">
        <v>17</v>
      </c>
      <c r="S39" s="773">
        <f t="shared" si="10"/>
        <v>100</v>
      </c>
      <c r="T39" s="772" t="s">
        <v>17</v>
      </c>
      <c r="U39" s="773">
        <f t="shared" si="11"/>
        <v>100</v>
      </c>
      <c r="V39" s="772" t="s">
        <v>17</v>
      </c>
      <c r="W39" s="773">
        <f t="shared" si="12"/>
        <v>100</v>
      </c>
      <c r="X39" s="1811"/>
      <c r="Y39" s="3314"/>
      <c r="Z39" s="1812">
        <f t="shared" si="13"/>
        <v>111</v>
      </c>
      <c r="AA39" s="1809">
        <f t="shared" si="3"/>
        <v>1</v>
      </c>
      <c r="AB39" s="1809">
        <f t="shared" si="4"/>
        <v>1</v>
      </c>
      <c r="AC39" s="1809">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14"/>
      <c r="Q40" s="1808">
        <f t="shared" si="14"/>
        <v>111</v>
      </c>
      <c r="R40" s="775" t="s">
        <v>17</v>
      </c>
      <c r="S40" s="776">
        <f t="shared" si="10"/>
        <v>100</v>
      </c>
      <c r="T40" s="775" t="s">
        <v>17</v>
      </c>
      <c r="U40" s="776">
        <f t="shared" si="11"/>
        <v>100</v>
      </c>
      <c r="V40" s="775" t="s">
        <v>17</v>
      </c>
      <c r="W40" s="776">
        <f t="shared" si="12"/>
        <v>100</v>
      </c>
      <c r="X40" s="777"/>
      <c r="Y40" s="3314"/>
      <c r="Z40" s="778">
        <f t="shared" si="13"/>
        <v>111</v>
      </c>
      <c r="AA40" s="1809">
        <f t="shared" si="3"/>
        <v>1</v>
      </c>
      <c r="AB40" s="1809">
        <f t="shared" si="4"/>
        <v>1</v>
      </c>
      <c r="AC40" s="1809">
        <f t="shared" si="5"/>
        <v>1</v>
      </c>
    </row>
    <row r="41" spans="1:29" ht="15">
      <c r="A41" s="478" t="s">
        <v>2712</v>
      </c>
      <c r="B41" s="2698" t="s">
        <v>2792</v>
      </c>
      <c r="C41" s="681" t="s">
        <v>1</v>
      </c>
      <c r="D41" s="480"/>
      <c r="E41" s="481"/>
      <c r="F41" s="482"/>
      <c r="G41" s="483"/>
      <c r="H41" s="484"/>
      <c r="I41" s="481"/>
      <c r="J41" s="484"/>
      <c r="K41" s="781"/>
      <c r="L41" s="1141"/>
      <c r="M41" s="1129"/>
      <c r="N41" s="1129"/>
      <c r="O41" s="1142"/>
      <c r="P41" s="3307" t="str">
        <f>A41</f>
        <v>成交单价</v>
      </c>
      <c r="Q41" s="3307"/>
      <c r="R41" s="3302">
        <f>E41</f>
        <v>0</v>
      </c>
      <c r="S41" s="3302"/>
      <c r="T41" s="3302">
        <f>G41</f>
        <v>0</v>
      </c>
      <c r="U41" s="3302"/>
      <c r="V41" s="3302">
        <f>I41</f>
        <v>0</v>
      </c>
      <c r="W41" s="3302"/>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41"/>
      <c r="M42" s="1129"/>
      <c r="N42" s="1129"/>
      <c r="O42" s="1142"/>
      <c r="P42" s="3307" t="str">
        <f>A42</f>
        <v>比较价值（元/平方米）</v>
      </c>
      <c r="Q42" s="3307"/>
      <c r="R42" s="3340" t="e">
        <f>ROUND(PRODUCT(R41,AA7:AA40),0)</f>
        <v>#DIV/0!</v>
      </c>
      <c r="S42" s="3340"/>
      <c r="T42" s="3340" t="e">
        <f>ROUND(PRODUCT(T41,AB7:AB40),0)</f>
        <v>#DIV/0!</v>
      </c>
      <c r="U42" s="3340"/>
      <c r="V42" s="3340" t="e">
        <f>ROUND(PRODUCT(V41,AC7:AC40),0)</f>
        <v>#DIV/0!</v>
      </c>
      <c r="W42" s="3340"/>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41"/>
      <c r="M43" s="1129"/>
      <c r="N43" s="1129"/>
      <c r="O43" s="1142"/>
      <c r="P43" s="3304" t="str">
        <f>A43</f>
        <v>估价对象XX用房的比较价值（楼面单价，元/平方米）</v>
      </c>
      <c r="Q43" s="3305"/>
      <c r="R43" s="3341" t="e">
        <f>ROUND(AVERAGE(R42:V42),0)</f>
        <v>#DIV/0!</v>
      </c>
      <c r="S43" s="3341"/>
      <c r="T43" s="3341"/>
      <c r="U43" s="3341"/>
      <c r="V43" s="3341"/>
      <c r="W43" s="334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2750</v>
      </c>
      <c r="B50" s="684" t="s">
        <v>2751</v>
      </c>
      <c r="C50" s="2699" t="s">
        <v>2752</v>
      </c>
      <c r="D50" s="2700" t="s">
        <v>2753</v>
      </c>
      <c r="E50" s="685" t="s">
        <v>2754</v>
      </c>
      <c r="F50" s="686" t="s">
        <v>2755</v>
      </c>
      <c r="G50" s="3290" t="s">
        <v>2756</v>
      </c>
      <c r="H50" s="3342"/>
      <c r="I50" s="1812" t="s">
        <v>2793</v>
      </c>
      <c r="J50" s="1812">
        <f>项目基本情况!F35</f>
        <v>0</v>
      </c>
      <c r="K50" s="2702" t="s">
        <v>2758</v>
      </c>
      <c r="L50" s="1104"/>
      <c r="M50" s="1142"/>
      <c r="N50" s="1142"/>
      <c r="O50" s="1142"/>
    </row>
    <row r="51" spans="1:17" s="691" customFormat="1">
      <c r="A51" s="687" t="s">
        <v>2759</v>
      </c>
      <c r="B51" s="688" t="e">
        <f>C43</f>
        <v>#DIV/0!</v>
      </c>
      <c r="C51" s="689">
        <v>1</v>
      </c>
      <c r="D51" s="1161">
        <v>1</v>
      </c>
      <c r="E51" s="689">
        <f>'数据-汇总表'!E8+'数据-汇总表'!E9</f>
        <v>1191.7</v>
      </c>
      <c r="F51" s="690" t="e">
        <f t="shared" ref="F51:F60" si="15">ROUND(B51*E51/10000,0)</f>
        <v>#DIV/0!</v>
      </c>
      <c r="G51" s="3289"/>
      <c r="H51" s="3307"/>
      <c r="I51" s="940">
        <v>1</v>
      </c>
      <c r="J51" s="940">
        <v>1</v>
      </c>
      <c r="K51" s="1143"/>
      <c r="L51" s="939"/>
      <c r="M51" s="939"/>
      <c r="N51" s="939"/>
      <c r="O51" s="939"/>
    </row>
    <row r="52" spans="1:17" s="691" customFormat="1">
      <c r="A52" s="692" t="s">
        <v>2760</v>
      </c>
      <c r="B52" s="261" t="e">
        <f>ROUND($C$43*C52*D52,0)</f>
        <v>#DIV/0!</v>
      </c>
      <c r="C52" s="199">
        <f t="shared" ref="C52:C60" si="16">IF($C$50="北京市系数",I52,J52)</f>
        <v>0</v>
      </c>
      <c r="D52" s="1162">
        <v>0.25</v>
      </c>
      <c r="E52" s="693"/>
      <c r="F52" s="690" t="e">
        <f t="shared" si="15"/>
        <v>#DIV/0!</v>
      </c>
      <c r="G52" s="3343" t="s">
        <v>2761</v>
      </c>
      <c r="H52" s="1102">
        <f>项目基本情况!B37</f>
        <v>0</v>
      </c>
      <c r="I52" s="940">
        <f>SUMIF(修正!A45:A56,H52,修正!B45:B56)</f>
        <v>0</v>
      </c>
      <c r="J52" s="941"/>
      <c r="K52" s="1142"/>
      <c r="L52" s="939"/>
      <c r="M52" s="939"/>
      <c r="N52" s="939"/>
      <c r="O52" s="939"/>
    </row>
    <row r="53" spans="1:17" s="691" customFormat="1">
      <c r="A53" s="692" t="s">
        <v>2762</v>
      </c>
      <c r="B53" s="261" t="e">
        <f t="shared" ref="B53:B60" si="17">ROUND($C$43*C53*D53,0)</f>
        <v>#DIV/0!</v>
      </c>
      <c r="C53" s="199">
        <f t="shared" si="16"/>
        <v>0</v>
      </c>
      <c r="D53" s="1162">
        <v>0.25</v>
      </c>
      <c r="E53" s="693"/>
      <c r="F53" s="690" t="e">
        <f t="shared" si="15"/>
        <v>#DIV/0!</v>
      </c>
      <c r="G53" s="3343"/>
      <c r="H53" s="1102">
        <f>项目基本情况!B37</f>
        <v>0</v>
      </c>
      <c r="I53" s="940">
        <f>SUMIF(修正!A45:A56,H53,修正!C45:C56)</f>
        <v>0</v>
      </c>
      <c r="J53" s="941"/>
      <c r="K53" s="1143"/>
      <c r="L53" s="939"/>
      <c r="M53" s="939"/>
      <c r="N53" s="939"/>
      <c r="O53" s="939"/>
    </row>
    <row r="54" spans="1:17" s="691" customFormat="1">
      <c r="A54" s="692" t="s">
        <v>2763</v>
      </c>
      <c r="B54" s="261" t="e">
        <f t="shared" si="17"/>
        <v>#DIV/0!</v>
      </c>
      <c r="C54" s="199">
        <f t="shared" si="16"/>
        <v>0</v>
      </c>
      <c r="D54" s="1162">
        <v>0.25</v>
      </c>
      <c r="E54" s="693"/>
      <c r="F54" s="690" t="e">
        <f t="shared" si="15"/>
        <v>#DIV/0!</v>
      </c>
      <c r="G54" s="3343"/>
      <c r="H54" s="1102">
        <f>项目基本情况!B37</f>
        <v>0</v>
      </c>
      <c r="I54" s="940">
        <f>SUMIF(修正!A45:A56,H54,修正!D45:D56)</f>
        <v>0</v>
      </c>
      <c r="J54" s="941"/>
      <c r="K54" s="1142"/>
      <c r="L54" s="939"/>
      <c r="M54" s="939"/>
      <c r="N54" s="939"/>
      <c r="O54" s="939"/>
    </row>
    <row r="55" spans="1:17" s="691" customFormat="1">
      <c r="A55" s="692" t="s">
        <v>2764</v>
      </c>
      <c r="B55" s="261" t="e">
        <f t="shared" si="17"/>
        <v>#DIV/0!</v>
      </c>
      <c r="C55" s="199">
        <f t="shared" si="16"/>
        <v>0</v>
      </c>
      <c r="D55" s="1162">
        <v>0.25</v>
      </c>
      <c r="E55" s="693"/>
      <c r="F55" s="690" t="e">
        <f t="shared" si="15"/>
        <v>#DIV/0!</v>
      </c>
      <c r="G55" s="3343"/>
      <c r="H55" s="1102">
        <f>项目基本情况!B37</f>
        <v>0</v>
      </c>
      <c r="I55" s="940">
        <f>SUMIF(修正!A45:A56,H55,修正!E45:E56)</f>
        <v>0</v>
      </c>
      <c r="J55" s="941"/>
      <c r="K55" s="1143"/>
      <c r="L55" s="939"/>
      <c r="M55" s="939"/>
      <c r="N55" s="939"/>
      <c r="O55" s="939"/>
    </row>
    <row r="56" spans="1:17" s="691" customFormat="1">
      <c r="A56" s="692" t="s">
        <v>2765</v>
      </c>
      <c r="B56" s="261" t="e">
        <f t="shared" si="17"/>
        <v>#DIV/0!</v>
      </c>
      <c r="C56" s="199">
        <f t="shared" si="16"/>
        <v>0.25</v>
      </c>
      <c r="D56" s="1162">
        <v>0.25</v>
      </c>
      <c r="E56" s="260">
        <f>'数据-汇总表'!E11</f>
        <v>0</v>
      </c>
      <c r="F56" s="690" t="e">
        <f t="shared" si="15"/>
        <v>#DIV/0!</v>
      </c>
      <c r="G56" s="2703" t="s">
        <v>2766</v>
      </c>
      <c r="H56" s="1102" t="str">
        <f>项目基本情况!C37</f>
        <v>三级</v>
      </c>
      <c r="I56" s="940">
        <f>SUMIF(修正!A45:A56,H56,修正!F45:F56)</f>
        <v>0.25</v>
      </c>
      <c r="J56" s="941"/>
      <c r="K56" s="1142"/>
      <c r="L56" s="939"/>
      <c r="M56" s="939"/>
      <c r="N56" s="939"/>
      <c r="O56" s="939"/>
    </row>
    <row r="57" spans="1:17" s="691" customFormat="1">
      <c r="A57" s="692" t="s">
        <v>2767</v>
      </c>
      <c r="B57" s="261" t="e">
        <f t="shared" si="17"/>
        <v>#DIV/0!</v>
      </c>
      <c r="C57" s="199">
        <f t="shared" si="16"/>
        <v>0.25</v>
      </c>
      <c r="D57" s="1162">
        <v>0.25</v>
      </c>
      <c r="E57" s="260">
        <f>'数据-汇总表'!E12</f>
        <v>0</v>
      </c>
      <c r="F57" s="690" t="e">
        <f t="shared" si="15"/>
        <v>#DIV/0!</v>
      </c>
      <c r="G57" s="1107" t="s">
        <v>2768</v>
      </c>
      <c r="H57" s="1102" t="str">
        <f>IF(G57="商业",项目基本情况!B37,IF(G57="办公",项目基本情况!C37,IF(G57="住宅",项目基本情况!D37,项目基本情况!E37)))</f>
        <v>三级</v>
      </c>
      <c r="I57" s="940">
        <f>SUMIF(修正!A45:A56,H57,修正!G45:G56)</f>
        <v>0.25</v>
      </c>
      <c r="J57" s="941"/>
      <c r="K57" s="1143"/>
      <c r="L57" s="939"/>
      <c r="M57" s="939"/>
      <c r="N57" s="939"/>
      <c r="O57" s="939"/>
    </row>
    <row r="58" spans="1:17" s="691" customFormat="1">
      <c r="A58" s="692" t="s">
        <v>2769</v>
      </c>
      <c r="B58" s="261" t="e">
        <f t="shared" si="17"/>
        <v>#DIV/0!</v>
      </c>
      <c r="C58" s="199">
        <f t="shared" si="16"/>
        <v>0.2</v>
      </c>
      <c r="D58" s="1162">
        <v>0.25</v>
      </c>
      <c r="E58" s="260">
        <f>'数据-汇总表'!E13</f>
        <v>0</v>
      </c>
      <c r="F58" s="690" t="e">
        <f t="shared" si="15"/>
        <v>#DIV/0!</v>
      </c>
      <c r="G58" s="1107" t="s">
        <v>2770</v>
      </c>
      <c r="H58" s="1102" t="str">
        <f>IF(G58="商业",项目基本情况!B37,IF(G58="办公",项目基本情况!C37,IF(G58="住宅",项目基本情况!D37,项目基本情况!E37)))</f>
        <v>三级</v>
      </c>
      <c r="I58" s="940">
        <f>SUMIF(修正!A45:A56,H58,修正!H45:H56)</f>
        <v>0.2</v>
      </c>
      <c r="J58" s="941"/>
      <c r="K58" s="1142"/>
      <c r="L58" s="939"/>
      <c r="M58" s="939"/>
      <c r="N58" s="939"/>
      <c r="O58" s="939"/>
    </row>
    <row r="59" spans="1:17" s="691" customFormat="1">
      <c r="A59" s="692" t="s">
        <v>2771</v>
      </c>
      <c r="B59" s="261" t="e">
        <f t="shared" si="17"/>
        <v>#DIV/0!</v>
      </c>
      <c r="C59" s="199">
        <f t="shared" si="16"/>
        <v>0</v>
      </c>
      <c r="D59" s="1162">
        <v>0.25</v>
      </c>
      <c r="E59" s="260">
        <f>'数据-汇总表'!E14</f>
        <v>0</v>
      </c>
      <c r="F59" s="690" t="e">
        <f t="shared" si="15"/>
        <v>#DIV/0!</v>
      </c>
      <c r="G59" s="2703" t="s">
        <v>2761</v>
      </c>
      <c r="H59" s="1102">
        <f>项目基本情况!B37</f>
        <v>0</v>
      </c>
      <c r="I59" s="940">
        <f>SUMIF(修正!A45:A56,H59,修正!H45:H56)</f>
        <v>0</v>
      </c>
      <c r="J59" s="941"/>
      <c r="K59" s="1143"/>
      <c r="L59" s="939"/>
      <c r="M59" s="939"/>
      <c r="N59" s="939"/>
      <c r="O59" s="939"/>
    </row>
    <row r="60" spans="1:17" s="691" customFormat="1" ht="15" thickBot="1">
      <c r="A60" s="692" t="s">
        <v>2772</v>
      </c>
      <c r="B60" s="261" t="e">
        <f t="shared" si="17"/>
        <v>#DIV/0!</v>
      </c>
      <c r="C60" s="199">
        <f t="shared" si="16"/>
        <v>0.2</v>
      </c>
      <c r="D60" s="1162">
        <v>0.25</v>
      </c>
      <c r="E60" s="260">
        <f>'数据-汇总表'!E15</f>
        <v>0</v>
      </c>
      <c r="F60" s="690" t="e">
        <f t="shared" si="15"/>
        <v>#DIV/0!</v>
      </c>
      <c r="G60" s="2704" t="s">
        <v>2766</v>
      </c>
      <c r="H60" s="1112" t="str">
        <f>项目基本情况!C37</f>
        <v>三级</v>
      </c>
      <c r="I60" s="940">
        <f>SUMIF(修正!A45:A56,H60,修正!H45:H56)</f>
        <v>0.2</v>
      </c>
      <c r="J60" s="941"/>
      <c r="K60" s="1142"/>
      <c r="L60" s="939"/>
      <c r="M60" s="939"/>
      <c r="N60" s="939"/>
      <c r="O60" s="939"/>
    </row>
    <row r="61" spans="1:17" s="691" customFormat="1" ht="15" thickBot="1">
      <c r="A61" s="694" t="s">
        <v>2773</v>
      </c>
      <c r="B61" s="695" t="s">
        <v>28</v>
      </c>
      <c r="C61" s="695" t="s">
        <v>29</v>
      </c>
      <c r="D61" s="695" t="s">
        <v>1025</v>
      </c>
      <c r="E61" s="695">
        <f>IF(B41="楼面地价",SUM(E51:E60),'数据-汇总表'!D3)</f>
        <v>1048.1400000000001</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2020-5-1</v>
      </c>
      <c r="D63" s="759">
        <f>EDATE(C63,-3)</f>
        <v>43862</v>
      </c>
      <c r="E63" s="759">
        <f>EDATE(D63,-3)</f>
        <v>43770</v>
      </c>
      <c r="F63" s="759">
        <f t="shared" ref="F63:O63" si="18">EDATE(E63,-3)</f>
        <v>43678</v>
      </c>
      <c r="G63" s="759">
        <f t="shared" si="18"/>
        <v>43586</v>
      </c>
      <c r="H63" s="759">
        <f t="shared" si="18"/>
        <v>43497</v>
      </c>
      <c r="I63" s="759">
        <f t="shared" si="18"/>
        <v>43405</v>
      </c>
      <c r="J63" s="759">
        <f t="shared" si="18"/>
        <v>43313</v>
      </c>
      <c r="K63" s="759">
        <f t="shared" si="18"/>
        <v>43221</v>
      </c>
      <c r="L63" s="759">
        <f t="shared" si="18"/>
        <v>43132</v>
      </c>
      <c r="M63" s="759">
        <f t="shared" si="18"/>
        <v>43040</v>
      </c>
      <c r="N63" s="759">
        <f t="shared" si="18"/>
        <v>42948</v>
      </c>
      <c r="O63" s="759">
        <f t="shared" si="18"/>
        <v>42856</v>
      </c>
    </row>
    <row r="64" spans="1:17" ht="21.75" thickBot="1">
      <c r="A64" s="761" t="s">
        <v>2666</v>
      </c>
      <c r="B64" s="757"/>
      <c r="C64" s="762"/>
      <c r="D64" s="762"/>
      <c r="E64" s="762"/>
      <c r="F64" s="763"/>
      <c r="G64" s="763"/>
      <c r="H64" s="762"/>
      <c r="I64" s="762"/>
      <c r="J64" s="762"/>
      <c r="K64" s="764"/>
      <c r="L64" s="765"/>
      <c r="M64" s="762"/>
      <c r="N64" s="762"/>
      <c r="O64" s="1157"/>
      <c r="P64" s="502"/>
      <c r="Q64" s="503"/>
    </row>
    <row r="65" spans="1:17" s="507" customFormat="1" ht="15">
      <c r="A65" s="2705" t="s">
        <v>2774</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6"/>
    </row>
    <row r="66" spans="1:17" s="116" customFormat="1" ht="30.75" customHeight="1">
      <c r="A66" s="2710" t="s">
        <v>2794</v>
      </c>
      <c r="B66" s="331" t="str">
        <f>"北京市平均增长率"&amp;TEXT(基准地价修正!P24,"0.00%")</f>
        <v>北京市平均增长率0.00%</v>
      </c>
      <c r="C66" s="602">
        <v>100</v>
      </c>
      <c r="D66" s="594"/>
      <c r="E66" s="594"/>
      <c r="F66" s="594"/>
      <c r="G66" s="594"/>
      <c r="H66" s="594"/>
      <c r="I66" s="594"/>
      <c r="J66" s="594"/>
      <c r="K66" s="594"/>
      <c r="L66" s="594"/>
      <c r="M66" s="1565"/>
      <c r="N66" s="1565"/>
      <c r="O66" s="1567"/>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2549</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2683</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2742</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2784</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3037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48" t="s">
        <v>183</v>
      </c>
      <c r="B18" s="880" t="s">
        <v>560</v>
      </c>
      <c r="C18" s="881" t="s">
        <v>561</v>
      </c>
      <c r="D18" s="882"/>
      <c r="E18" s="880">
        <v>1</v>
      </c>
      <c r="F18" s="883" t="s">
        <v>562</v>
      </c>
      <c r="G18" s="884"/>
      <c r="H18" s="876"/>
      <c r="I18" s="876"/>
    </row>
    <row r="19" spans="1:9" s="885" customFormat="1" ht="19.5" customHeight="1">
      <c r="A19" s="3348"/>
      <c r="B19" s="3348" t="s">
        <v>563</v>
      </c>
      <c r="C19" s="881" t="s">
        <v>564</v>
      </c>
      <c r="D19" s="882"/>
      <c r="E19" s="880">
        <v>0.9</v>
      </c>
      <c r="F19" s="883" t="s">
        <v>565</v>
      </c>
      <c r="G19" s="884"/>
      <c r="H19" s="876"/>
      <c r="I19" s="876"/>
    </row>
    <row r="20" spans="1:9" s="885" customFormat="1" ht="19.5" customHeight="1">
      <c r="A20" s="3348"/>
      <c r="B20" s="3348"/>
      <c r="C20" s="881" t="s">
        <v>566</v>
      </c>
      <c r="D20" s="882"/>
      <c r="E20" s="880">
        <v>1.1000000000000001</v>
      </c>
      <c r="F20" s="883" t="s">
        <v>567</v>
      </c>
      <c r="G20" s="884"/>
      <c r="H20" s="876"/>
      <c r="I20" s="876"/>
    </row>
    <row r="21" spans="1:9" s="885" customFormat="1" ht="19.5" customHeight="1">
      <c r="A21" s="3348"/>
      <c r="B21" s="3348"/>
      <c r="C21" s="881" t="s">
        <v>568</v>
      </c>
      <c r="D21" s="882"/>
      <c r="E21" s="880">
        <v>0.8</v>
      </c>
      <c r="F21" s="883" t="s">
        <v>569</v>
      </c>
      <c r="G21" s="884"/>
      <c r="H21" s="876"/>
      <c r="I21" s="876"/>
    </row>
    <row r="22" spans="1:9" s="885" customFormat="1" ht="19.5" customHeight="1">
      <c r="A22" s="3348"/>
      <c r="B22" s="3348"/>
      <c r="C22" s="881" t="s">
        <v>570</v>
      </c>
      <c r="D22" s="882"/>
      <c r="E22" s="880">
        <v>0.5</v>
      </c>
      <c r="F22" s="883"/>
      <c r="G22" s="884"/>
      <c r="H22" s="876"/>
      <c r="I22" s="876"/>
    </row>
    <row r="23" spans="1:9" s="885" customFormat="1" ht="19.5" customHeight="1">
      <c r="A23" s="3348" t="s">
        <v>184</v>
      </c>
      <c r="B23" s="880" t="s">
        <v>560</v>
      </c>
      <c r="C23" s="881" t="s">
        <v>571</v>
      </c>
      <c r="D23" s="882"/>
      <c r="E23" s="880">
        <v>1</v>
      </c>
      <c r="F23" s="883" t="s">
        <v>572</v>
      </c>
      <c r="G23" s="884"/>
      <c r="H23" s="876"/>
      <c r="I23" s="876"/>
    </row>
    <row r="24" spans="1:9" s="885" customFormat="1" ht="19.5" customHeight="1">
      <c r="A24" s="3348"/>
      <c r="B24" s="3348" t="s">
        <v>563</v>
      </c>
      <c r="C24" s="881" t="s">
        <v>573</v>
      </c>
      <c r="D24" s="882"/>
      <c r="E24" s="880">
        <v>0.5</v>
      </c>
      <c r="F24" s="883"/>
      <c r="G24" s="884"/>
      <c r="H24" s="876"/>
      <c r="I24" s="876"/>
    </row>
    <row r="25" spans="1:9" s="885" customFormat="1" ht="19.5" customHeight="1">
      <c r="A25" s="3348"/>
      <c r="B25" s="3348"/>
      <c r="C25" s="881" t="s">
        <v>574</v>
      </c>
      <c r="D25" s="882"/>
      <c r="E25" s="880">
        <v>1.1000000000000001</v>
      </c>
      <c r="F25" s="883"/>
      <c r="G25" s="884"/>
      <c r="H25" s="876"/>
      <c r="I25" s="876"/>
    </row>
    <row r="26" spans="1:9" s="885" customFormat="1" ht="19.5" customHeight="1">
      <c r="A26" s="3348"/>
      <c r="B26" s="3348"/>
      <c r="C26" s="881" t="s">
        <v>575</v>
      </c>
      <c r="D26" s="882"/>
      <c r="E26" s="880">
        <v>1.1000000000000001</v>
      </c>
      <c r="F26" s="883"/>
      <c r="G26" s="884"/>
      <c r="H26" s="876"/>
      <c r="I26" s="876"/>
    </row>
    <row r="27" spans="1:9" s="885" customFormat="1" ht="19.5" customHeight="1">
      <c r="A27" s="3348"/>
      <c r="B27" s="3348"/>
      <c r="C27" s="881" t="s">
        <v>576</v>
      </c>
      <c r="D27" s="882"/>
      <c r="E27" s="880">
        <v>0.9</v>
      </c>
      <c r="F27" s="883" t="s">
        <v>577</v>
      </c>
      <c r="G27" s="884"/>
      <c r="H27" s="876"/>
      <c r="I27" s="876"/>
    </row>
    <row r="28" spans="1:9" s="885" customFormat="1" ht="19.5" customHeight="1">
      <c r="A28" s="3348"/>
      <c r="B28" s="3348"/>
      <c r="C28" s="881" t="s">
        <v>578</v>
      </c>
      <c r="D28" s="882"/>
      <c r="E28" s="880">
        <v>0.9</v>
      </c>
      <c r="F28" s="883" t="s">
        <v>579</v>
      </c>
      <c r="G28" s="884"/>
      <c r="H28" s="876"/>
      <c r="I28" s="876"/>
    </row>
    <row r="29" spans="1:9" s="885" customFormat="1" ht="19.5" customHeight="1">
      <c r="A29" s="3348"/>
      <c r="B29" s="3348"/>
      <c r="C29" s="881" t="s">
        <v>580</v>
      </c>
      <c r="D29" s="882"/>
      <c r="E29" s="880">
        <v>0.9</v>
      </c>
      <c r="F29" s="883" t="s">
        <v>581</v>
      </c>
      <c r="G29" s="884"/>
      <c r="H29" s="876"/>
      <c r="I29" s="876"/>
    </row>
    <row r="30" spans="1:9" s="885" customFormat="1" ht="19.5" customHeight="1">
      <c r="A30" s="3348"/>
      <c r="B30" s="3348"/>
      <c r="C30" s="881" t="s">
        <v>582</v>
      </c>
      <c r="D30" s="882"/>
      <c r="E30" s="880">
        <v>0.9</v>
      </c>
      <c r="F30" s="883" t="s">
        <v>583</v>
      </c>
      <c r="G30" s="884"/>
      <c r="H30" s="876"/>
      <c r="I30" s="876"/>
    </row>
    <row r="31" spans="1:9" s="885" customFormat="1" ht="19.5" customHeight="1">
      <c r="A31" s="3348"/>
      <c r="B31" s="3348"/>
      <c r="C31" s="881" t="s">
        <v>584</v>
      </c>
      <c r="D31" s="882"/>
      <c r="E31" s="880">
        <v>0.8</v>
      </c>
      <c r="F31" s="883" t="s">
        <v>585</v>
      </c>
      <c r="G31" s="884"/>
      <c r="H31" s="876"/>
      <c r="I31" s="876"/>
    </row>
    <row r="32" spans="1:9" s="885" customFormat="1" ht="19.5" customHeight="1">
      <c r="A32" s="3348"/>
      <c r="B32" s="3348"/>
      <c r="C32" s="881" t="s">
        <v>586</v>
      </c>
      <c r="D32" s="882"/>
      <c r="E32" s="880">
        <v>0.8</v>
      </c>
      <c r="F32" s="883" t="s">
        <v>587</v>
      </c>
      <c r="G32" s="884"/>
      <c r="H32" s="876"/>
      <c r="I32" s="876"/>
    </row>
    <row r="33" spans="1:9" s="885" customFormat="1" ht="19.5" customHeight="1">
      <c r="A33" s="3348" t="s">
        <v>185</v>
      </c>
      <c r="B33" s="880" t="s">
        <v>560</v>
      </c>
      <c r="C33" s="881" t="s">
        <v>588</v>
      </c>
      <c r="D33" s="882"/>
      <c r="E33" s="880">
        <v>1</v>
      </c>
      <c r="F33" s="883" t="s">
        <v>589</v>
      </c>
      <c r="G33" s="884"/>
      <c r="H33" s="876"/>
      <c r="I33" s="876"/>
    </row>
    <row r="34" spans="1:9" s="885" customFormat="1" ht="19.5" customHeight="1">
      <c r="A34" s="3348"/>
      <c r="B34" s="880" t="s">
        <v>563</v>
      </c>
      <c r="C34" s="881" t="s">
        <v>590</v>
      </c>
      <c r="D34" s="882"/>
      <c r="E34" s="880">
        <v>1.5</v>
      </c>
      <c r="F34" s="883" t="s">
        <v>591</v>
      </c>
      <c r="G34" s="884"/>
      <c r="H34" s="876"/>
      <c r="I34" s="876"/>
    </row>
    <row r="35" spans="1:9" s="885" customFormat="1" ht="19.5" customHeight="1">
      <c r="A35" s="3348" t="s">
        <v>186</v>
      </c>
      <c r="B35" s="880" t="s">
        <v>560</v>
      </c>
      <c r="C35" s="881" t="s">
        <v>592</v>
      </c>
      <c r="D35" s="882"/>
      <c r="E35" s="880">
        <v>1</v>
      </c>
      <c r="F35" s="883" t="s">
        <v>593</v>
      </c>
      <c r="G35" s="884"/>
      <c r="H35" s="876"/>
      <c r="I35" s="876"/>
    </row>
    <row r="36" spans="1:9" s="885" customFormat="1" ht="19.5" customHeight="1">
      <c r="A36" s="3348"/>
      <c r="B36" s="3348" t="s">
        <v>563</v>
      </c>
      <c r="C36" s="881" t="s">
        <v>594</v>
      </c>
      <c r="D36" s="882"/>
      <c r="E36" s="880">
        <v>1</v>
      </c>
      <c r="F36" s="883" t="s">
        <v>595</v>
      </c>
      <c r="G36" s="884"/>
      <c r="H36" s="876"/>
      <c r="I36" s="876"/>
    </row>
    <row r="37" spans="1:9" s="885" customFormat="1" ht="19.5" customHeight="1">
      <c r="A37" s="3348"/>
      <c r="B37" s="3348"/>
      <c r="C37" s="881" t="s">
        <v>596</v>
      </c>
      <c r="D37" s="882"/>
      <c r="E37" s="880">
        <v>1.5</v>
      </c>
      <c r="F37" s="883" t="s">
        <v>597</v>
      </c>
      <c r="G37" s="884"/>
      <c r="H37" s="876"/>
      <c r="I37" s="876"/>
    </row>
    <row r="38" spans="1:9" s="885" customFormat="1" ht="19.5" customHeight="1">
      <c r="A38" s="3348"/>
      <c r="B38" s="3348"/>
      <c r="C38" s="881" t="s">
        <v>598</v>
      </c>
      <c r="D38" s="882"/>
      <c r="E38" s="880">
        <v>1</v>
      </c>
      <c r="F38" s="883" t="s">
        <v>599</v>
      </c>
      <c r="G38" s="884"/>
      <c r="H38" s="876"/>
      <c r="I38" s="876"/>
    </row>
    <row r="39" spans="1:9" s="885" customFormat="1" ht="19.5" customHeight="1">
      <c r="A39" s="3348"/>
      <c r="B39" s="334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48" t="s">
        <v>614</v>
      </c>
      <c r="C61" s="816" t="s">
        <v>615</v>
      </c>
      <c r="D61" s="816" t="s">
        <v>616</v>
      </c>
      <c r="E61" s="893">
        <v>0.5</v>
      </c>
      <c r="F61" s="880">
        <v>80</v>
      </c>
    </row>
    <row r="62" spans="1:8" s="876" customFormat="1" ht="24">
      <c r="A62" s="880">
        <v>2</v>
      </c>
      <c r="B62" s="3348"/>
      <c r="C62" s="816" t="s">
        <v>617</v>
      </c>
      <c r="D62" s="816" t="s">
        <v>618</v>
      </c>
      <c r="E62" s="893">
        <v>0.5</v>
      </c>
      <c r="F62" s="880">
        <v>80</v>
      </c>
    </row>
    <row r="63" spans="1:8" s="876" customFormat="1" ht="36">
      <c r="A63" s="880">
        <v>3</v>
      </c>
      <c r="B63" s="3348"/>
      <c r="C63" s="816" t="s">
        <v>619</v>
      </c>
      <c r="D63" s="816" t="s">
        <v>620</v>
      </c>
      <c r="E63" s="893">
        <v>0.5</v>
      </c>
      <c r="F63" s="880">
        <v>80</v>
      </c>
    </row>
    <row r="64" spans="1:8" s="876" customFormat="1" ht="36">
      <c r="A64" s="880">
        <v>4</v>
      </c>
      <c r="B64" s="3348"/>
      <c r="C64" s="816" t="s">
        <v>621</v>
      </c>
      <c r="D64" s="816" t="s">
        <v>622</v>
      </c>
      <c r="E64" s="893">
        <v>0.4</v>
      </c>
      <c r="F64" s="880">
        <v>60</v>
      </c>
    </row>
    <row r="65" spans="1:6" s="876" customFormat="1" ht="36">
      <c r="A65" s="880">
        <v>5</v>
      </c>
      <c r="B65" s="3348"/>
      <c r="C65" s="816" t="s">
        <v>623</v>
      </c>
      <c r="D65" s="816" t="s">
        <v>624</v>
      </c>
      <c r="E65" s="893">
        <v>0.2</v>
      </c>
      <c r="F65" s="880">
        <v>30</v>
      </c>
    </row>
    <row r="66" spans="1:6" s="876" customFormat="1" ht="36">
      <c r="A66" s="880">
        <v>6</v>
      </c>
      <c r="B66" s="3348"/>
      <c r="C66" s="816" t="s">
        <v>625</v>
      </c>
      <c r="D66" s="816" t="s">
        <v>626</v>
      </c>
      <c r="E66" s="893">
        <v>0.3</v>
      </c>
      <c r="F66" s="880">
        <v>50</v>
      </c>
    </row>
    <row r="67" spans="1:6" s="876" customFormat="1" ht="36">
      <c r="A67" s="880">
        <v>7</v>
      </c>
      <c r="B67" s="3348"/>
      <c r="C67" s="816" t="s">
        <v>627</v>
      </c>
      <c r="D67" s="816" t="s">
        <v>628</v>
      </c>
      <c r="E67" s="893">
        <v>0.2</v>
      </c>
      <c r="F67" s="880">
        <v>30</v>
      </c>
    </row>
    <row r="68" spans="1:6" s="876" customFormat="1" ht="36">
      <c r="A68" s="880">
        <v>8</v>
      </c>
      <c r="B68" s="3348"/>
      <c r="C68" s="816" t="s">
        <v>629</v>
      </c>
      <c r="D68" s="816" t="s">
        <v>630</v>
      </c>
      <c r="E68" s="893">
        <v>0.2</v>
      </c>
      <c r="F68" s="880">
        <v>30</v>
      </c>
    </row>
    <row r="69" spans="1:6" s="876" customFormat="1" ht="36">
      <c r="A69" s="880">
        <v>9</v>
      </c>
      <c r="B69" s="3348"/>
      <c r="C69" s="816" t="s">
        <v>631</v>
      </c>
      <c r="D69" s="816" t="s">
        <v>632</v>
      </c>
      <c r="E69" s="893">
        <v>0.2</v>
      </c>
      <c r="F69" s="880">
        <v>30</v>
      </c>
    </row>
    <row r="70" spans="1:6" s="876" customFormat="1" ht="48">
      <c r="A70" s="880">
        <v>10</v>
      </c>
      <c r="B70" s="3348"/>
      <c r="C70" s="816" t="s">
        <v>633</v>
      </c>
      <c r="D70" s="816" t="s">
        <v>634</v>
      </c>
      <c r="E70" s="893">
        <v>0.2</v>
      </c>
      <c r="F70" s="880">
        <v>30</v>
      </c>
    </row>
    <row r="71" spans="1:6" s="876" customFormat="1" ht="48">
      <c r="A71" s="880">
        <v>11</v>
      </c>
      <c r="B71" s="3348"/>
      <c r="C71" s="816" t="s">
        <v>635</v>
      </c>
      <c r="D71" s="816" t="s">
        <v>636</v>
      </c>
      <c r="E71" s="893">
        <v>0.2</v>
      </c>
      <c r="F71" s="880">
        <v>30</v>
      </c>
    </row>
    <row r="72" spans="1:6" s="876" customFormat="1" ht="36">
      <c r="A72" s="880">
        <v>12</v>
      </c>
      <c r="B72" s="3348"/>
      <c r="C72" s="816" t="s">
        <v>637</v>
      </c>
      <c r="D72" s="816" t="s">
        <v>638</v>
      </c>
      <c r="E72" s="893">
        <v>0.5</v>
      </c>
      <c r="F72" s="880">
        <v>80</v>
      </c>
    </row>
    <row r="73" spans="1:6" s="876" customFormat="1" ht="24">
      <c r="A73" s="880">
        <v>13</v>
      </c>
      <c r="B73" s="3348"/>
      <c r="C73" s="816" t="s">
        <v>639</v>
      </c>
      <c r="D73" s="816" t="s">
        <v>640</v>
      </c>
      <c r="E73" s="893">
        <v>0.4</v>
      </c>
      <c r="F73" s="880">
        <v>60</v>
      </c>
    </row>
    <row r="74" spans="1:6" s="876" customFormat="1" ht="24">
      <c r="A74" s="880">
        <v>14</v>
      </c>
      <c r="B74" s="3348"/>
      <c r="C74" s="816" t="s">
        <v>641</v>
      </c>
      <c r="D74" s="816" t="s">
        <v>642</v>
      </c>
      <c r="E74" s="893">
        <v>0.2</v>
      </c>
      <c r="F74" s="880">
        <v>30</v>
      </c>
    </row>
    <row r="75" spans="1:6" s="876" customFormat="1" ht="24">
      <c r="A75" s="880">
        <v>15</v>
      </c>
      <c r="B75" s="3348"/>
      <c r="C75" s="816" t="s">
        <v>643</v>
      </c>
      <c r="D75" s="816" t="s">
        <v>644</v>
      </c>
      <c r="E75" s="893">
        <v>0.2</v>
      </c>
      <c r="F75" s="880">
        <v>30</v>
      </c>
    </row>
    <row r="76" spans="1:6" s="876" customFormat="1" ht="24">
      <c r="A76" s="880">
        <v>16</v>
      </c>
      <c r="B76" s="3348" t="s">
        <v>645</v>
      </c>
      <c r="C76" s="816" t="s">
        <v>646</v>
      </c>
      <c r="D76" s="816" t="s">
        <v>647</v>
      </c>
      <c r="E76" s="893">
        <v>0.5</v>
      </c>
      <c r="F76" s="880">
        <v>80</v>
      </c>
    </row>
    <row r="77" spans="1:6" s="876" customFormat="1" ht="24">
      <c r="A77" s="880">
        <v>17</v>
      </c>
      <c r="B77" s="3348"/>
      <c r="C77" s="816" t="s">
        <v>648</v>
      </c>
      <c r="D77" s="816" t="s">
        <v>649</v>
      </c>
      <c r="E77" s="893">
        <v>0.5</v>
      </c>
      <c r="F77" s="880">
        <v>80</v>
      </c>
    </row>
    <row r="78" spans="1:6" s="876" customFormat="1" ht="24">
      <c r="A78" s="880">
        <v>18</v>
      </c>
      <c r="B78" s="3348"/>
      <c r="C78" s="816" t="s">
        <v>650</v>
      </c>
      <c r="D78" s="816" t="s">
        <v>651</v>
      </c>
      <c r="E78" s="893">
        <v>0.2</v>
      </c>
      <c r="F78" s="880">
        <v>30</v>
      </c>
    </row>
    <row r="79" spans="1:6" s="876" customFormat="1" ht="24">
      <c r="A79" s="880">
        <v>19</v>
      </c>
      <c r="B79" s="3348"/>
      <c r="C79" s="816" t="s">
        <v>652</v>
      </c>
      <c r="D79" s="816" t="s">
        <v>653</v>
      </c>
      <c r="E79" s="893">
        <v>0.5</v>
      </c>
      <c r="F79" s="880">
        <v>80</v>
      </c>
    </row>
    <row r="80" spans="1:6" s="876" customFormat="1" ht="36">
      <c r="A80" s="880">
        <v>20</v>
      </c>
      <c r="B80" s="3348"/>
      <c r="C80" s="816" t="s">
        <v>654</v>
      </c>
      <c r="D80" s="816" t="s">
        <v>655</v>
      </c>
      <c r="E80" s="893">
        <v>0.2</v>
      </c>
      <c r="F80" s="880">
        <v>30</v>
      </c>
    </row>
    <row r="81" spans="1:6" s="876" customFormat="1" ht="36">
      <c r="A81" s="880">
        <v>21</v>
      </c>
      <c r="B81" s="3348"/>
      <c r="C81" s="816" t="s">
        <v>656</v>
      </c>
      <c r="D81" s="816" t="s">
        <v>657</v>
      </c>
      <c r="E81" s="893">
        <v>0.2</v>
      </c>
      <c r="F81" s="880">
        <v>30</v>
      </c>
    </row>
    <row r="82" spans="1:6" s="876" customFormat="1" ht="48">
      <c r="A82" s="880">
        <v>22</v>
      </c>
      <c r="B82" s="3348"/>
      <c r="C82" s="816" t="s">
        <v>658</v>
      </c>
      <c r="D82" s="816" t="s">
        <v>659</v>
      </c>
      <c r="E82" s="893">
        <v>0.2</v>
      </c>
      <c r="F82" s="880">
        <v>30</v>
      </c>
    </row>
    <row r="83" spans="1:6" s="876" customFormat="1" ht="48">
      <c r="A83" s="880">
        <v>23</v>
      </c>
      <c r="B83" s="3348"/>
      <c r="C83" s="816" t="s">
        <v>660</v>
      </c>
      <c r="D83" s="816" t="s">
        <v>661</v>
      </c>
      <c r="E83" s="893">
        <v>0.2</v>
      </c>
      <c r="F83" s="880">
        <v>30</v>
      </c>
    </row>
    <row r="84" spans="1:6" s="876" customFormat="1" ht="36">
      <c r="A84" s="880">
        <v>24</v>
      </c>
      <c r="B84" s="3348"/>
      <c r="C84" s="816" t="s">
        <v>662</v>
      </c>
      <c r="D84" s="816" t="s">
        <v>663</v>
      </c>
      <c r="E84" s="893">
        <v>0.2</v>
      </c>
      <c r="F84" s="880">
        <v>30</v>
      </c>
    </row>
    <row r="85" spans="1:6" s="876" customFormat="1" ht="36">
      <c r="A85" s="880">
        <v>25</v>
      </c>
      <c r="B85" s="3348"/>
      <c r="C85" s="816" t="s">
        <v>664</v>
      </c>
      <c r="D85" s="816" t="s">
        <v>665</v>
      </c>
      <c r="E85" s="893">
        <v>0.5</v>
      </c>
      <c r="F85" s="880">
        <v>80</v>
      </c>
    </row>
    <row r="86" spans="1:6" s="876" customFormat="1" ht="36">
      <c r="A86" s="880">
        <v>26</v>
      </c>
      <c r="B86" s="3348"/>
      <c r="C86" s="816" t="s">
        <v>666</v>
      </c>
      <c r="D86" s="816" t="s">
        <v>667</v>
      </c>
      <c r="E86" s="893">
        <v>0.2</v>
      </c>
      <c r="F86" s="880">
        <v>30</v>
      </c>
    </row>
    <row r="87" spans="1:6" s="876" customFormat="1" ht="36">
      <c r="A87" s="880">
        <v>27</v>
      </c>
      <c r="B87" s="3348"/>
      <c r="C87" s="816" t="s">
        <v>668</v>
      </c>
      <c r="D87" s="816" t="s">
        <v>669</v>
      </c>
      <c r="E87" s="893">
        <v>0.2</v>
      </c>
      <c r="F87" s="880">
        <v>30</v>
      </c>
    </row>
    <row r="88" spans="1:6" s="876" customFormat="1" ht="36">
      <c r="A88" s="880">
        <v>28</v>
      </c>
      <c r="B88" s="3348"/>
      <c r="C88" s="816" t="s">
        <v>670</v>
      </c>
      <c r="D88" s="816" t="s">
        <v>671</v>
      </c>
      <c r="E88" s="893">
        <v>0.2</v>
      </c>
      <c r="F88" s="880">
        <v>30</v>
      </c>
    </row>
    <row r="89" spans="1:6" s="876" customFormat="1" ht="24">
      <c r="A89" s="880">
        <v>29</v>
      </c>
      <c r="B89" s="3348"/>
      <c r="C89" s="816" t="s">
        <v>672</v>
      </c>
      <c r="D89" s="816" t="s">
        <v>673</v>
      </c>
      <c r="E89" s="893">
        <v>0.2</v>
      </c>
      <c r="F89" s="880">
        <v>30</v>
      </c>
    </row>
    <row r="90" spans="1:6" s="876" customFormat="1" ht="24">
      <c r="A90" s="880">
        <v>30</v>
      </c>
      <c r="B90" s="3348"/>
      <c r="C90" s="816" t="s">
        <v>674</v>
      </c>
      <c r="D90" s="816" t="s">
        <v>675</v>
      </c>
      <c r="E90" s="893">
        <v>0.2</v>
      </c>
      <c r="F90" s="880">
        <v>30</v>
      </c>
    </row>
    <row r="91" spans="1:6" s="876" customFormat="1" ht="36">
      <c r="A91" s="880">
        <v>31</v>
      </c>
      <c r="B91" s="3348"/>
      <c r="C91" s="816" t="s">
        <v>676</v>
      </c>
      <c r="D91" s="816" t="s">
        <v>677</v>
      </c>
      <c r="E91" s="893">
        <v>0.2</v>
      </c>
      <c r="F91" s="880">
        <v>30</v>
      </c>
    </row>
    <row r="92" spans="1:6" s="876" customFormat="1" ht="24">
      <c r="A92" s="880">
        <v>32</v>
      </c>
      <c r="B92" s="3348" t="s">
        <v>678</v>
      </c>
      <c r="C92" s="880" t="s">
        <v>679</v>
      </c>
      <c r="D92" s="816" t="s">
        <v>680</v>
      </c>
      <c r="E92" s="893">
        <v>0.2</v>
      </c>
      <c r="F92" s="880">
        <v>30</v>
      </c>
    </row>
    <row r="93" spans="1:6" s="876" customFormat="1" ht="36">
      <c r="A93" s="880">
        <v>33</v>
      </c>
      <c r="B93" s="3348"/>
      <c r="C93" s="880" t="s">
        <v>681</v>
      </c>
      <c r="D93" s="816" t="s">
        <v>682</v>
      </c>
      <c r="E93" s="893">
        <v>0.2</v>
      </c>
      <c r="F93" s="880">
        <v>30</v>
      </c>
    </row>
    <row r="94" spans="1:6" s="876" customFormat="1" ht="48">
      <c r="A94" s="880">
        <v>34</v>
      </c>
      <c r="B94" s="3348"/>
      <c r="C94" s="880" t="s">
        <v>683</v>
      </c>
      <c r="D94" s="816" t="s">
        <v>684</v>
      </c>
      <c r="E94" s="893">
        <v>0.2</v>
      </c>
      <c r="F94" s="880">
        <v>30</v>
      </c>
    </row>
    <row r="95" spans="1:6" s="876" customFormat="1" ht="36">
      <c r="A95" s="880">
        <v>35</v>
      </c>
      <c r="B95" s="3348"/>
      <c r="C95" s="880" t="s">
        <v>685</v>
      </c>
      <c r="D95" s="816" t="s">
        <v>686</v>
      </c>
      <c r="E95" s="893">
        <v>0.2</v>
      </c>
      <c r="F95" s="880">
        <v>30</v>
      </c>
    </row>
    <row r="96" spans="1:6" s="876" customFormat="1" ht="48">
      <c r="A96" s="880">
        <v>36</v>
      </c>
      <c r="B96" s="3348"/>
      <c r="C96" s="816" t="s">
        <v>687</v>
      </c>
      <c r="D96" s="816" t="s">
        <v>688</v>
      </c>
      <c r="E96" s="893">
        <v>0.2</v>
      </c>
      <c r="F96" s="880">
        <v>30</v>
      </c>
    </row>
    <row r="97" spans="1:6" s="876" customFormat="1" ht="36">
      <c r="A97" s="880">
        <v>37</v>
      </c>
      <c r="B97" s="3348"/>
      <c r="C97" s="880" t="s">
        <v>689</v>
      </c>
      <c r="D97" s="816" t="s">
        <v>690</v>
      </c>
      <c r="E97" s="893">
        <v>0.2</v>
      </c>
      <c r="F97" s="880">
        <v>30</v>
      </c>
    </row>
    <row r="98" spans="1:6" s="876" customFormat="1" ht="36">
      <c r="A98" s="880">
        <v>38</v>
      </c>
      <c r="B98" s="3348"/>
      <c r="C98" s="880" t="s">
        <v>691</v>
      </c>
      <c r="D98" s="816" t="s">
        <v>692</v>
      </c>
      <c r="E98" s="893">
        <v>0.2</v>
      </c>
      <c r="F98" s="880">
        <v>30</v>
      </c>
    </row>
    <row r="99" spans="1:6" s="876" customFormat="1" ht="36">
      <c r="A99" s="880">
        <v>39</v>
      </c>
      <c r="B99" s="3348" t="s">
        <v>693</v>
      </c>
      <c r="C99" s="880" t="s">
        <v>694</v>
      </c>
      <c r="D99" s="816" t="s">
        <v>695</v>
      </c>
      <c r="E99" s="893">
        <v>0.3</v>
      </c>
      <c r="F99" s="880">
        <v>50</v>
      </c>
    </row>
    <row r="100" spans="1:6" s="876" customFormat="1" ht="24">
      <c r="A100" s="880">
        <v>40</v>
      </c>
      <c r="B100" s="3348"/>
      <c r="C100" s="880" t="s">
        <v>696</v>
      </c>
      <c r="D100" s="816" t="s">
        <v>697</v>
      </c>
      <c r="E100" s="893">
        <v>0.2</v>
      </c>
      <c r="F100" s="880">
        <v>30</v>
      </c>
    </row>
    <row r="101" spans="1:6" s="876" customFormat="1" ht="36">
      <c r="A101" s="880">
        <v>41</v>
      </c>
      <c r="B101" s="334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8" t="s">
        <v>708</v>
      </c>
      <c r="C105" s="880" t="s">
        <v>709</v>
      </c>
      <c r="D105" s="816" t="s">
        <v>710</v>
      </c>
      <c r="E105" s="893">
        <v>0.2</v>
      </c>
      <c r="F105" s="880">
        <v>30</v>
      </c>
    </row>
    <row r="106" spans="1:6" s="876" customFormat="1" ht="36">
      <c r="A106" s="880">
        <v>46</v>
      </c>
      <c r="B106" s="3348"/>
      <c r="C106" s="880" t="s">
        <v>711</v>
      </c>
      <c r="D106" s="816" t="s">
        <v>712</v>
      </c>
      <c r="E106" s="893">
        <v>0.2</v>
      </c>
      <c r="F106" s="880">
        <v>30</v>
      </c>
    </row>
    <row r="107" spans="1:6" s="876" customFormat="1" ht="36">
      <c r="A107" s="880">
        <v>47</v>
      </c>
      <c r="B107" s="3348" t="s">
        <v>713</v>
      </c>
      <c r="C107" s="880" t="s">
        <v>714</v>
      </c>
      <c r="D107" s="816" t="s">
        <v>715</v>
      </c>
      <c r="E107" s="893">
        <v>0.3</v>
      </c>
      <c r="F107" s="880">
        <v>50</v>
      </c>
    </row>
    <row r="108" spans="1:6" s="876" customFormat="1" ht="36">
      <c r="A108" s="880">
        <v>48</v>
      </c>
      <c r="B108" s="334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8" t="s">
        <v>724</v>
      </c>
      <c r="C111" s="880" t="s">
        <v>725</v>
      </c>
      <c r="D111" s="816" t="s">
        <v>726</v>
      </c>
      <c r="E111" s="893">
        <v>0.2</v>
      </c>
      <c r="F111" s="880">
        <v>30</v>
      </c>
    </row>
    <row r="112" spans="1:6" s="876" customFormat="1" ht="24">
      <c r="A112" s="880">
        <v>52</v>
      </c>
      <c r="B112" s="3348"/>
      <c r="C112" s="880" t="s">
        <v>727</v>
      </c>
      <c r="D112" s="816" t="s">
        <v>728</v>
      </c>
      <c r="E112" s="893">
        <v>0.2</v>
      </c>
      <c r="F112" s="880">
        <v>30</v>
      </c>
    </row>
    <row r="113" spans="1:6" s="876" customFormat="1" ht="24">
      <c r="A113" s="880">
        <v>53</v>
      </c>
      <c r="B113" s="334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8" t="s">
        <v>737</v>
      </c>
      <c r="C116" s="880" t="s">
        <v>738</v>
      </c>
      <c r="D116" s="816" t="s">
        <v>739</v>
      </c>
      <c r="E116" s="893">
        <v>0.2</v>
      </c>
      <c r="F116" s="880">
        <v>30</v>
      </c>
    </row>
    <row r="117" spans="1:6" ht="36">
      <c r="A117" s="880">
        <v>57</v>
      </c>
      <c r="B117" s="334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1.0419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58"/>
      <c r="B4" s="3037" t="s">
        <v>1624</v>
      </c>
      <c r="C4" s="3037"/>
      <c r="D4" s="3037"/>
      <c r="E4" s="1958"/>
    </row>
    <row r="5" spans="1:5" ht="16.5" thickTop="1">
      <c r="A5" s="1956"/>
      <c r="B5" s="3035" t="s">
        <v>1616</v>
      </c>
      <c r="C5" s="1959" t="s">
        <v>1617</v>
      </c>
      <c r="D5" s="1038">
        <f ca="1">结果表!H101</f>
        <v>909</v>
      </c>
      <c r="E5" s="1956"/>
    </row>
    <row r="6" spans="1:5" ht="15.75">
      <c r="A6" s="1956"/>
      <c r="B6" s="3035"/>
      <c r="C6" s="1959" t="s">
        <v>1618</v>
      </c>
      <c r="D6" s="1038" t="str">
        <f ca="1">NUMBERSTRING(INT(D5*10000),2)&amp;"元整"</f>
        <v>玖佰零玖万元整</v>
      </c>
      <c r="E6" s="1956"/>
    </row>
    <row r="7" spans="1:5" ht="15.75">
      <c r="A7" s="1956"/>
      <c r="B7" s="3040"/>
      <c r="C7" s="1960" t="s">
        <v>1619</v>
      </c>
      <c r="D7" s="1039">
        <f ca="1">结果表!H102</f>
        <v>61183</v>
      </c>
      <c r="E7" s="1956"/>
    </row>
    <row r="8" spans="1:5" ht="15.75">
      <c r="A8" s="1956"/>
      <c r="B8" s="3041" t="str">
        <f>结果表!E103</f>
        <v>2.估价师知悉的法定优先受偿款</v>
      </c>
      <c r="C8" s="1961" t="s">
        <v>1620</v>
      </c>
      <c r="D8" s="1039">
        <f>结果表!H103</f>
        <v>0</v>
      </c>
      <c r="E8" s="1956"/>
    </row>
    <row r="9" spans="1:5" ht="15.75">
      <c r="A9" s="1956"/>
      <c r="B9" s="3043"/>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3034" t="str">
        <f>结果表!E107</f>
        <v>3.房地产抵押价值</v>
      </c>
      <c r="C13" s="1964" t="s">
        <v>1617</v>
      </c>
      <c r="D13" s="1041">
        <f ca="1">结果表!H107</f>
        <v>909</v>
      </c>
      <c r="E13" s="1956"/>
    </row>
    <row r="14" spans="1:5" ht="15.75">
      <c r="A14" s="1956"/>
      <c r="B14" s="3035"/>
      <c r="C14" s="1959" t="s">
        <v>1618</v>
      </c>
      <c r="D14" s="1038" t="str">
        <f ca="1">NUMBERSTRING(INT(D13*10000),2)&amp;"元整"</f>
        <v>玖佰零玖万元整</v>
      </c>
      <c r="E14" s="1956"/>
    </row>
    <row r="15" spans="1:5" ht="15">
      <c r="A15" s="1956"/>
      <c r="B15" s="3040"/>
      <c r="C15" s="1960" t="s">
        <v>1628</v>
      </c>
      <c r="D15" s="1050">
        <f ca="1">结果表!H108</f>
        <v>7628</v>
      </c>
      <c r="E15" s="1956"/>
    </row>
    <row r="16" spans="1:5" ht="15">
      <c r="A16" s="1956"/>
      <c r="B16" s="3041" t="str">
        <f>结果表!E109</f>
        <v>——</v>
      </c>
      <c r="C16" s="1964" t="s">
        <v>1629</v>
      </c>
      <c r="D16" s="1965" t="str">
        <f>结果表!H109</f>
        <v>——</v>
      </c>
      <c r="E16" s="1956"/>
    </row>
    <row r="17" spans="1:5" ht="15.75">
      <c r="A17" s="1956"/>
      <c r="B17" s="3042"/>
      <c r="C17" s="1959" t="s">
        <v>1630</v>
      </c>
      <c r="D17" s="1038" t="e">
        <f>NUMBERSTRING(INT(D16*10000),2)&amp;"元整"</f>
        <v>#VALUE!</v>
      </c>
      <c r="E17" s="1956"/>
    </row>
    <row r="18" spans="1:5" ht="15">
      <c r="A18" s="1956"/>
      <c r="B18" s="3043"/>
      <c r="C18" s="1960" t="s">
        <v>1619</v>
      </c>
      <c r="D18" s="1050" t="str">
        <f>结果表!H110</f>
        <v>——</v>
      </c>
      <c r="E18" s="1956"/>
    </row>
    <row r="19" spans="1:5" ht="15.75">
      <c r="A19" s="1956"/>
      <c r="B19" s="3034" t="str">
        <f>结果表!E111</f>
        <v>——</v>
      </c>
      <c r="C19" s="1964" t="s">
        <v>1617</v>
      </c>
      <c r="D19" s="1039" t="str">
        <f>结果表!H111</f>
        <v>——</v>
      </c>
      <c r="E19" s="1956"/>
    </row>
    <row r="20" spans="1:5" ht="15.75">
      <c r="A20" s="1956"/>
      <c r="B20" s="3035"/>
      <c r="C20" s="1959" t="s">
        <v>1630</v>
      </c>
      <c r="D20" s="1038" t="e">
        <f>NUMBERSTRING(INT(D19*10000),2)&amp;"元整"</f>
        <v>#VALUE!</v>
      </c>
      <c r="E20" s="1956"/>
    </row>
    <row r="21" spans="1:5" ht="15.75" thickBot="1">
      <c r="A21" s="1956"/>
      <c r="B21" s="3036"/>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6" sqref="G6:H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2993</v>
      </c>
    </row>
    <row r="2" spans="1:5" ht="15.75">
      <c r="A2" s="2896" t="s">
        <v>2985</v>
      </c>
      <c r="B2" s="2897">
        <f ca="1">SUMIF(B6:B13,"&lt;&gt;#ref!",B6:B13)</f>
        <v>319</v>
      </c>
      <c r="C2" s="2896" t="s">
        <v>2986</v>
      </c>
      <c r="D2" s="2896" t="s">
        <v>2987</v>
      </c>
      <c r="E2" s="2897">
        <f ca="1">SUMIF(E6:E13,"&lt;&gt;#ref!",E6:E13)</f>
        <v>148.57</v>
      </c>
    </row>
    <row r="3" spans="1:5" ht="15.75">
      <c r="A3" s="2896" t="s">
        <v>2988</v>
      </c>
      <c r="B3" s="2897">
        <f ca="1">ROUND(B2*10000/E2,0)</f>
        <v>21471</v>
      </c>
      <c r="C3" s="2896" t="s">
        <v>2994</v>
      </c>
      <c r="D3" s="2898"/>
      <c r="E3" s="2898"/>
    </row>
    <row r="4" spans="1:5" ht="15.75">
      <c r="A4" s="2899"/>
      <c r="B4" s="2898"/>
      <c r="C4" s="2898"/>
      <c r="D4" s="2898"/>
      <c r="E4" s="2898"/>
    </row>
    <row r="5" spans="1:5" ht="28.5">
      <c r="A5" s="2900" t="s">
        <v>2989</v>
      </c>
      <c r="B5" s="2896" t="s">
        <v>2990</v>
      </c>
      <c r="C5" s="2897"/>
      <c r="D5" s="2898"/>
      <c r="E5" s="2896" t="s">
        <v>2991</v>
      </c>
    </row>
    <row r="6" spans="1:5" ht="15.75">
      <c r="A6" s="2901" t="s">
        <v>2992</v>
      </c>
      <c r="B6" s="2897">
        <f ca="1">SUMIF(INDIRECT("'"&amp;A6&amp;"'"&amp;"!A:A"),"总价",INDIRECT("'"&amp;A6&amp;"'"&amp;"!B:B"))</f>
        <v>319</v>
      </c>
      <c r="C6" s="2896" t="s">
        <v>2986</v>
      </c>
      <c r="D6" s="2898"/>
      <c r="E6" s="2571">
        <f ca="1">SUMIF(INDIRECT("'"&amp;A6&amp;"'"&amp;"!C:C"),"建筑面积",INDIRECT("'"&amp;A6&amp;"'"&amp;"!D:D"))</f>
        <v>148.57</v>
      </c>
    </row>
    <row r="7" spans="1:5" ht="15.75">
      <c r="A7" s="2901"/>
      <c r="B7" s="2897" t="e">
        <f ca="1">SUMIF(INDIRECT("'"&amp;A7&amp;"'"&amp;"!A:A"),"总价",INDIRECT("'"&amp;A7&amp;"'"&amp;"!B:B"))</f>
        <v>#REF!</v>
      </c>
      <c r="C7" s="2896" t="s">
        <v>2986</v>
      </c>
      <c r="D7" s="2898"/>
      <c r="E7" s="2571" t="e">
        <f t="shared" ref="E7:E13" ca="1" si="0">SUMIF(INDIRECT("'"&amp;A7&amp;"'"&amp;"!C:C"),"建筑面积",INDIRECT("'"&amp;A7&amp;"'"&amp;"!D:D"))</f>
        <v>#REF!</v>
      </c>
    </row>
    <row r="8" spans="1:5" ht="15.75">
      <c r="A8" s="2901"/>
      <c r="B8" s="2897" t="e">
        <f t="shared" ref="B8:B13" ca="1" si="1">SUMIF(INDIRECT("'"&amp;A8&amp;"'"&amp;"!A:A"),"总价",INDIRECT("'"&amp;A8&amp;"'"&amp;"!B:B"))</f>
        <v>#REF!</v>
      </c>
      <c r="C8" s="2896" t="s">
        <v>2986</v>
      </c>
      <c r="D8" s="2898"/>
      <c r="E8" s="2571" t="e">
        <f t="shared" ca="1" si="0"/>
        <v>#REF!</v>
      </c>
    </row>
    <row r="9" spans="1:5" ht="15.75">
      <c r="A9" s="2901"/>
      <c r="B9" s="2897" t="e">
        <f t="shared" ca="1" si="1"/>
        <v>#REF!</v>
      </c>
      <c r="C9" s="2896" t="s">
        <v>2986</v>
      </c>
      <c r="D9" s="2898"/>
      <c r="E9" s="2571" t="e">
        <f t="shared" ca="1" si="0"/>
        <v>#REF!</v>
      </c>
    </row>
    <row r="10" spans="1:5" ht="15.75">
      <c r="A10" s="2901"/>
      <c r="B10" s="2897" t="e">
        <f t="shared" ca="1" si="1"/>
        <v>#REF!</v>
      </c>
      <c r="C10" s="2896" t="s">
        <v>2986</v>
      </c>
      <c r="D10" s="2898"/>
      <c r="E10" s="2571" t="e">
        <f t="shared" ca="1" si="0"/>
        <v>#REF!</v>
      </c>
    </row>
    <row r="11" spans="1:5" ht="15.75">
      <c r="A11" s="2901"/>
      <c r="B11" s="2897" t="e">
        <f t="shared" ca="1" si="1"/>
        <v>#REF!</v>
      </c>
      <c r="C11" s="2896" t="s">
        <v>2986</v>
      </c>
      <c r="D11" s="2898"/>
      <c r="E11" s="2571" t="e">
        <f t="shared" ca="1" si="0"/>
        <v>#REF!</v>
      </c>
    </row>
    <row r="12" spans="1:5" ht="15.75">
      <c r="A12" s="2901"/>
      <c r="B12" s="2897" t="e">
        <f t="shared" ca="1" si="1"/>
        <v>#REF!</v>
      </c>
      <c r="C12" s="2896" t="s">
        <v>2986</v>
      </c>
      <c r="D12" s="2898"/>
      <c r="E12" s="2571" t="e">
        <f t="shared" ca="1" si="0"/>
        <v>#REF!</v>
      </c>
    </row>
    <row r="13" spans="1:5" ht="15.75">
      <c r="A13" s="2901"/>
      <c r="B13" s="2897" t="e">
        <f t="shared" ca="1" si="1"/>
        <v>#REF!</v>
      </c>
      <c r="C13" s="2896" t="s">
        <v>2986</v>
      </c>
      <c r="D13" s="289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G6" sqref="G6:H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54" t="s">
        <v>1145</v>
      </c>
      <c r="C1" s="3354"/>
      <c r="D1" s="3354"/>
      <c r="E1" s="3354"/>
      <c r="F1" s="3354"/>
      <c r="G1" s="3350" t="s">
        <v>1146</v>
      </c>
      <c r="H1" s="3350"/>
      <c r="I1" s="3350"/>
      <c r="J1" s="3350"/>
      <c r="K1" s="3350"/>
      <c r="L1" s="3350"/>
      <c r="N1" s="3350" t="s">
        <v>1147</v>
      </c>
      <c r="O1" s="3350"/>
      <c r="P1" s="3350"/>
      <c r="Q1" s="3350"/>
      <c r="R1" s="1444"/>
      <c r="S1" s="3350" t="s">
        <v>1148</v>
      </c>
      <c r="T1" s="3350"/>
      <c r="U1" s="3350"/>
      <c r="V1" s="3350"/>
      <c r="X1" s="3349" t="s">
        <v>1149</v>
      </c>
      <c r="Y1" s="3350"/>
      <c r="Z1" s="3350"/>
      <c r="AA1" s="3350"/>
      <c r="AB1" s="3350"/>
      <c r="AD1" s="3349" t="s">
        <v>1150</v>
      </c>
      <c r="AE1" s="3350"/>
      <c r="AF1" s="3350"/>
      <c r="AG1" s="3350"/>
      <c r="AH1" s="3350"/>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2" customFormat="1" ht="14.25">
      <c r="A3" s="2921" t="s">
        <v>3026</v>
      </c>
      <c r="B3" s="2913"/>
      <c r="C3" s="2913"/>
      <c r="D3" s="2914"/>
      <c r="E3" s="2914"/>
      <c r="F3" s="2913"/>
      <c r="G3" s="2915"/>
      <c r="H3" s="2916"/>
      <c r="I3" s="2917">
        <f>ROUND(AVERAGE($I4:$I29),2)</f>
        <v>1.9</v>
      </c>
      <c r="J3" s="2917">
        <f>ROUND(AVERAGE($J4:$J29),2)</f>
        <v>1.35</v>
      </c>
      <c r="K3" s="2917">
        <f>ROUND(AVERAGE($K4:$K29),2)</f>
        <v>2.08</v>
      </c>
      <c r="L3" s="2917">
        <f>ROUND(AVERAGE($L4:$L29),2)</f>
        <v>1.33</v>
      </c>
      <c r="N3" s="2915"/>
      <c r="O3" s="2918"/>
      <c r="P3" s="2918"/>
      <c r="Q3" s="2918"/>
      <c r="R3" s="2918"/>
      <c r="S3" s="2915"/>
      <c r="T3" s="2918"/>
      <c r="U3" s="2918"/>
      <c r="V3" s="2918"/>
      <c r="W3" s="2910"/>
      <c r="X3" s="2919">
        <f>ROUND(SUMPRODUCT(PRODUCT(1+N3:N$28)),4)</f>
        <v>1.5516000000000001</v>
      </c>
      <c r="Y3" s="2919">
        <f>ROUND(SUMPRODUCT(PRODUCT(1+O3:O$28)),4)</f>
        <v>1.3649</v>
      </c>
      <c r="Z3" s="2919">
        <f t="shared" ref="Z3:Z26" si="0">Y3</f>
        <v>1.3649</v>
      </c>
      <c r="AA3" s="2919">
        <f>ROUND(SUMPRODUCT(PRODUCT(1+P3:P$28)),4)</f>
        <v>1.6133999999999999</v>
      </c>
      <c r="AB3" s="2919">
        <f>ROUND(SUMPRODUCT(PRODUCT(1+Q3:Q$28)),4)</f>
        <v>1.3713</v>
      </c>
      <c r="AD3" s="2920">
        <f>ROUND(AVERAGE(I3:I$29)/100,4)</f>
        <v>1.9E-2</v>
      </c>
      <c r="AE3" s="2920">
        <f>ROUND(AVERAGE(J3:J$29)/100,4)</f>
        <v>1.35E-2</v>
      </c>
      <c r="AF3" s="2920">
        <f t="shared" ref="AF3:AF27" si="1">AE3</f>
        <v>1.35E-2</v>
      </c>
      <c r="AG3" s="2920">
        <f>ROUND(AVERAGE(K3:K$29)/100,4)</f>
        <v>2.0799999999999999E-2</v>
      </c>
      <c r="AH3" s="2920">
        <f>ROUND(AVERAGE(L3:L$29)/100,4)</f>
        <v>1.3299999999999999E-2</v>
      </c>
    </row>
    <row r="4" spans="1:34" s="1451" customFormat="1" ht="14.25">
      <c r="B4" s="1452"/>
      <c r="C4" s="1452"/>
      <c r="D4" s="1453"/>
      <c r="E4" s="1453"/>
      <c r="F4" s="1452"/>
      <c r="G4" s="1454"/>
      <c r="H4" s="1455"/>
      <c r="I4" s="2907"/>
      <c r="J4" s="2907"/>
      <c r="K4" s="2907"/>
      <c r="L4" s="290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3045</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6">
        <v>2020</v>
      </c>
      <c r="H5" s="1728">
        <v>1</v>
      </c>
      <c r="I5" s="2908">
        <v>0</v>
      </c>
      <c r="J5" s="2908">
        <v>0</v>
      </c>
      <c r="K5" s="2908">
        <v>0</v>
      </c>
      <c r="L5" s="2908">
        <v>0</v>
      </c>
      <c r="N5" s="1465">
        <f t="shared" ref="N5" si="7">I5/100</f>
        <v>0</v>
      </c>
      <c r="O5" s="1465">
        <f t="shared" ref="O5" si="8">J5/100</f>
        <v>0</v>
      </c>
      <c r="P5" s="1465">
        <f t="shared" ref="P5" si="9">K5/100</f>
        <v>0</v>
      </c>
      <c r="Q5" s="1465">
        <f t="shared" ref="Q5" si="10">L5/100</f>
        <v>0</v>
      </c>
      <c r="R5" s="1730"/>
      <c r="S5" s="1731"/>
      <c r="T5" s="1730"/>
      <c r="U5" s="1730"/>
      <c r="V5" s="1730"/>
      <c r="W5" s="2911" t="s">
        <v>3027</v>
      </c>
      <c r="X5" s="1724">
        <f>ROUND(IF(项目基本情况!B8="出让",SUMPRODUCT(PRODUCT(1+N5:N$29)),SUMPRODUCT(PRODUCT(1+N5:N$28))),4)</f>
        <v>1.5516000000000001</v>
      </c>
      <c r="Y5" s="1724">
        <f>ROUND(IF(项目基本情况!B8="出让",SUMPRODUCT(PRODUCT(1+O5:O$29)),SUMPRODUCT(PRODUCT(1+O5:O$28))),4)</f>
        <v>1.3649</v>
      </c>
      <c r="Z5" s="1724">
        <f t="shared" ref="Z5" si="11">Y5</f>
        <v>1.3649</v>
      </c>
      <c r="AA5" s="1724">
        <f>ROUND(IF(项目基本情况!B8="出让",SUMPRODUCT(PRODUCT(1+P5:P$29)),SUMPRODUCT(PRODUCT(1+P5:P$28))),4)</f>
        <v>1.6133999999999999</v>
      </c>
      <c r="AB5" s="1724">
        <f>ROUND(IF(项目基本情况!B8="出让",SUMPRODUCT(PRODUCT(1+Q5:Q$29)),SUMPRODUCT(PRODUCT(1+Q5:Q$28))),4)</f>
        <v>1.3713</v>
      </c>
      <c r="AD5" s="1466">
        <f>ROUND(AVERAGE(I5:I$29)/100,4)</f>
        <v>1.9E-2</v>
      </c>
      <c r="AE5" s="1466">
        <f>ROUND(AVERAGE(J5:J$29)/100,4)</f>
        <v>1.35E-2</v>
      </c>
      <c r="AF5" s="1466">
        <f t="shared" ref="AF5" si="12">AE5</f>
        <v>1.35E-2</v>
      </c>
      <c r="AG5" s="1466">
        <f>ROUND(AVERAGE(K5:K$29)/100,4)</f>
        <v>2.0799999999999999E-2</v>
      </c>
      <c r="AH5" s="1466">
        <f>ROUND(AVERAGE(L5:L$29)/100,4)</f>
        <v>1.3299999999999999E-2</v>
      </c>
    </row>
    <row r="6" spans="1:34" s="1464" customFormat="1">
      <c r="A6" s="1459" t="s">
        <v>3044</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6">
        <v>2019</v>
      </c>
      <c r="H6" s="1462">
        <v>4</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c r="T6" s="1471"/>
      <c r="U6" s="1471"/>
      <c r="V6" s="1471"/>
      <c r="W6" s="1788"/>
      <c r="X6" s="1786">
        <f>ROUND(IF(项目基本情况!B8="出让",SUMPRODUCT(PRODUCT(1+N6:N$29)),SUMPRODUCT(PRODUCT(1+N6:N$28))),4)</f>
        <v>1.5516000000000001</v>
      </c>
      <c r="Y6" s="1786">
        <f>ROUND(IF(项目基本情况!B8="出让",SUMPRODUCT(PRODUCT(1+O6:O$29)),SUMPRODUCT(PRODUCT(1+O6:O$28))),4)</f>
        <v>1.3649</v>
      </c>
      <c r="Z6" s="1786">
        <f t="shared" ref="Z6" si="22">Y6</f>
        <v>1.3649</v>
      </c>
      <c r="AA6" s="1786">
        <f>ROUND(IF(项目基本情况!B8="出让",SUMPRODUCT(PRODUCT(1+P6:P$29)),SUMPRODUCT(PRODUCT(1+P6:P$28))),4)</f>
        <v>1.6133999999999999</v>
      </c>
      <c r="AB6" s="1786">
        <f>ROUND(IF(项目基本情况!B8="出让",SUMPRODUCT(PRODUCT(1+Q6:Q$29)),SUMPRODUCT(PRODUCT(1+Q6:Q$28))),4)</f>
        <v>1.3713</v>
      </c>
      <c r="AC6" s="1788"/>
      <c r="AD6" s="1787">
        <f>ROUND(AVERAGE(I6:I$29)/100,4)</f>
        <v>1.9800000000000002E-2</v>
      </c>
      <c r="AE6" s="1787">
        <f>ROUND(AVERAGE(J6:J$29)/100,4)</f>
        <v>1.41E-2</v>
      </c>
      <c r="AF6" s="1787">
        <f t="shared" ref="AF6" si="23">AE6</f>
        <v>1.41E-2</v>
      </c>
      <c r="AG6" s="1787">
        <f>ROUND(AVERAGE(K6:K$29)/100,4)</f>
        <v>2.1600000000000001E-2</v>
      </c>
      <c r="AH6" s="1787">
        <f>ROUND(AVERAGE(L6:L$29)/100,4)</f>
        <v>1.38E-2</v>
      </c>
    </row>
    <row r="7" spans="1:34" s="1464" customFormat="1" ht="13.5" thickBot="1">
      <c r="A7" s="1459" t="s">
        <v>3040</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45">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4" customFormat="1">
      <c r="A8" s="1459" t="s">
        <v>3038</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1">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4" customFormat="1" ht="13.5" thickBot="1">
      <c r="A9" s="1459" t="s">
        <v>3036</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25">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4" customFormat="1">
      <c r="A10" s="1459" t="s">
        <v>3039</v>
      </c>
      <c r="B10" s="2942">
        <f t="shared" ref="B10" si="57">B11*(1+N10)</f>
        <v>464.37293017158942</v>
      </c>
      <c r="C10" s="2942">
        <f t="shared" ref="C10" si="58">C11*(1+O10)</f>
        <v>344.73679941385956</v>
      </c>
      <c r="D10" s="2942">
        <f t="shared" ref="D10" si="59">C10</f>
        <v>344.73679941385956</v>
      </c>
      <c r="E10" s="2942">
        <f t="shared" ref="E10" si="60">E11*(1+P10)</f>
        <v>663.2377795103107</v>
      </c>
      <c r="F10" s="2943">
        <f t="shared" ref="F10" si="61">F11*(1+Q10)</f>
        <v>304.75936311478398</v>
      </c>
      <c r="G10" s="3352">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4" customFormat="1" ht="14.45" customHeight="1">
      <c r="A11" s="1459" t="s">
        <v>3033</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352"/>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4" customFormat="1" ht="14.45" customHeight="1">
      <c r="A12" s="1459" t="s">
        <v>3032</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352"/>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4" customFormat="1" ht="15" customHeight="1" thickBot="1">
      <c r="A13" s="1459" t="s">
        <v>3025</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359"/>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59" t="s">
        <v>3022</v>
      </c>
      <c r="B14" s="1467">
        <v>439</v>
      </c>
      <c r="C14" s="1467">
        <v>327</v>
      </c>
      <c r="D14" s="1467">
        <f>C14</f>
        <v>327</v>
      </c>
      <c r="E14" s="1467">
        <v>627</v>
      </c>
      <c r="F14" s="1468">
        <v>283</v>
      </c>
      <c r="G14" s="3355">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45" customHeight="1">
      <c r="A15" s="1459" t="s">
        <v>3023</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352"/>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5" customHeight="1">
      <c r="A16" s="1459" t="s">
        <v>1380</v>
      </c>
      <c r="B16" s="1475">
        <f t="shared" si="105"/>
        <v>419.31181600000002</v>
      </c>
      <c r="C16" s="1475">
        <f t="shared" si="106"/>
        <v>313.95436800000004</v>
      </c>
      <c r="D16" s="1475">
        <f t="shared" si="107"/>
        <v>313.95436800000004</v>
      </c>
      <c r="E16" s="1475">
        <f t="shared" si="108"/>
        <v>596.63028431999999</v>
      </c>
      <c r="F16" s="1475">
        <f t="shared" si="109"/>
        <v>274.74220703999998</v>
      </c>
      <c r="G16" s="3352"/>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1"/>
      <c r="AD16" s="1787">
        <f>ROUND(AVERAGE(I16:I$29)/100,4)</f>
        <v>2.46E-2</v>
      </c>
      <c r="AE16" s="1787">
        <f>ROUND(AVERAGE(J16:J$29)/100,4)</f>
        <v>1.6E-2</v>
      </c>
      <c r="AF16" s="1787">
        <f t="shared" si="1"/>
        <v>1.6E-2</v>
      </c>
      <c r="AG16" s="1787">
        <f>ROUND(AVERAGE(K16:K$29)/100,4)</f>
        <v>2.75E-2</v>
      </c>
      <c r="AH16" s="1787">
        <f>ROUND(AVERAGE(L16:L$29)/100,4)</f>
        <v>1.37E-2</v>
      </c>
    </row>
    <row r="17" spans="1:34" s="1464" customFormat="1" ht="15" customHeight="1" thickBot="1">
      <c r="A17" s="1459" t="s">
        <v>1156</v>
      </c>
      <c r="B17" s="1475">
        <f>B18*(1+N17)</f>
        <v>405.524</v>
      </c>
      <c r="C17" s="1475">
        <f>C18*(1+O17)</f>
        <v>307.79840000000002</v>
      </c>
      <c r="D17" s="1475">
        <f>C17</f>
        <v>307.79840000000002</v>
      </c>
      <c r="E17" s="1475">
        <f>E18*(1+P17)</f>
        <v>574.67759999999998</v>
      </c>
      <c r="F17" s="1475">
        <f>F18*(1+Q17)</f>
        <v>270.20280000000002</v>
      </c>
      <c r="G17" s="3359"/>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59" t="s">
        <v>154</v>
      </c>
      <c r="B18" s="1467">
        <v>392</v>
      </c>
      <c r="C18" s="1467">
        <v>302</v>
      </c>
      <c r="D18" s="1467">
        <f>C18</f>
        <v>302</v>
      </c>
      <c r="E18" s="1467">
        <v>553</v>
      </c>
      <c r="F18" s="1468">
        <v>266</v>
      </c>
      <c r="G18" s="3355">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153</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352"/>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143</v>
      </c>
      <c r="B20" s="1475">
        <f t="shared" si="118"/>
        <v>360.06949782209392</v>
      </c>
      <c r="C20" s="1475">
        <f t="shared" si="118"/>
        <v>289.84672674747821</v>
      </c>
      <c r="D20" s="1475">
        <f t="shared" si="119"/>
        <v>289.84672674747821</v>
      </c>
      <c r="E20" s="1475">
        <f t="shared" si="120"/>
        <v>501.06543001181495</v>
      </c>
      <c r="F20" s="1475">
        <f t="shared" si="120"/>
        <v>256.82882500744967</v>
      </c>
      <c r="G20" s="3352"/>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5" thickBot="1">
      <c r="A21" s="1459" t="s">
        <v>152</v>
      </c>
      <c r="B21" s="1475">
        <f t="shared" si="118"/>
        <v>346.720748986128</v>
      </c>
      <c r="C21" s="1475">
        <f t="shared" si="118"/>
        <v>284.30282172386285</v>
      </c>
      <c r="D21" s="1475">
        <f t="shared" si="119"/>
        <v>284.30282172386285</v>
      </c>
      <c r="E21" s="1475">
        <f t="shared" si="120"/>
        <v>479.58023546306947</v>
      </c>
      <c r="F21" s="1475">
        <f t="shared" si="120"/>
        <v>253.25788877571213</v>
      </c>
      <c r="G21" s="3353"/>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5" thickBot="1">
      <c r="A22" s="1459" t="s">
        <v>151</v>
      </c>
      <c r="B22" s="1467">
        <v>333</v>
      </c>
      <c r="C22" s="1467">
        <v>277</v>
      </c>
      <c r="D22" s="1467">
        <f t="shared" si="119"/>
        <v>277</v>
      </c>
      <c r="E22" s="1467">
        <v>459</v>
      </c>
      <c r="F22" s="1468">
        <v>249</v>
      </c>
      <c r="G22" s="3351">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150</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352"/>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149</v>
      </c>
      <c r="B24" s="1475">
        <f t="shared" si="122"/>
        <v>322.34053690220776</v>
      </c>
      <c r="C24" s="1475">
        <f t="shared" si="122"/>
        <v>271.46160770422546</v>
      </c>
      <c r="D24" s="1475">
        <f t="shared" si="119"/>
        <v>271.46160770422546</v>
      </c>
      <c r="E24" s="1475">
        <f t="shared" si="123"/>
        <v>442.69434542172456</v>
      </c>
      <c r="F24" s="1475">
        <f t="shared" si="123"/>
        <v>241.34030753190925</v>
      </c>
      <c r="G24" s="3352"/>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148</v>
      </c>
      <c r="B25" s="1475">
        <f t="shared" si="122"/>
        <v>319.87748030386797</v>
      </c>
      <c r="C25" s="1475">
        <f t="shared" si="122"/>
        <v>269.60135833173649</v>
      </c>
      <c r="D25" s="1475">
        <f t="shared" si="119"/>
        <v>269.60135833173649</v>
      </c>
      <c r="E25" s="1475">
        <f t="shared" si="123"/>
        <v>439.18089823583784</v>
      </c>
      <c r="F25" s="1475">
        <f t="shared" si="123"/>
        <v>239.23503918706311</v>
      </c>
      <c r="G25" s="3353"/>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5" thickBot="1">
      <c r="A26" s="1459" t="s">
        <v>147</v>
      </c>
      <c r="B26" s="1488">
        <v>318</v>
      </c>
      <c r="C26" s="1488">
        <v>268</v>
      </c>
      <c r="D26" s="1488">
        <f t="shared" si="119"/>
        <v>268</v>
      </c>
      <c r="E26" s="1488">
        <v>437</v>
      </c>
      <c r="F26" s="1489">
        <v>237</v>
      </c>
      <c r="G26" s="3351">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146</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352"/>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5" thickBot="1">
      <c r="A28" s="1459" t="s">
        <v>145</v>
      </c>
      <c r="B28" s="1475">
        <f t="shared" si="124"/>
        <v>314.72141172386546</v>
      </c>
      <c r="C28" s="1475">
        <f t="shared" si="124"/>
        <v>263.03901319069001</v>
      </c>
      <c r="D28" s="1475">
        <f t="shared" si="119"/>
        <v>263.03901319069001</v>
      </c>
      <c r="E28" s="1475">
        <f t="shared" si="125"/>
        <v>433.65745506782821</v>
      </c>
      <c r="F28" s="1475">
        <f t="shared" si="125"/>
        <v>233.23005080045735</v>
      </c>
      <c r="G28" s="3352"/>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5" thickBot="1">
      <c r="A29" s="1492" t="s">
        <v>144</v>
      </c>
      <c r="B29" s="1493">
        <f t="shared" si="124"/>
        <v>307.34512863658733</v>
      </c>
      <c r="C29" s="1493">
        <f t="shared" si="124"/>
        <v>257.80556031626975</v>
      </c>
      <c r="D29" s="1493">
        <f t="shared" si="119"/>
        <v>257.80556031626975</v>
      </c>
      <c r="E29" s="1493">
        <f t="shared" si="125"/>
        <v>422.70928459677179</v>
      </c>
      <c r="F29" s="1493">
        <f t="shared" si="125"/>
        <v>229.73803270336617</v>
      </c>
      <c r="G29" s="3353"/>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1157</v>
      </c>
      <c r="X29" s="1503">
        <v>1</v>
      </c>
      <c r="Y29" s="1503">
        <v>1</v>
      </c>
      <c r="Z29" s="1503">
        <v>1</v>
      </c>
      <c r="AA29" s="1503">
        <v>1</v>
      </c>
      <c r="AB29" s="1503">
        <v>1</v>
      </c>
      <c r="AD29" s="1725">
        <f>I29/100</f>
        <v>2.9700000000000001E-2</v>
      </c>
      <c r="AE29" s="1725">
        <f>J29/100</f>
        <v>2.3399999999999997E-2</v>
      </c>
      <c r="AF29" s="1725">
        <f>AE29</f>
        <v>2.3399999999999997E-2</v>
      </c>
      <c r="AG29" s="1725">
        <f>K29/100</f>
        <v>3.2799999999999996E-2</v>
      </c>
      <c r="AH29" s="1725">
        <f>L29/100</f>
        <v>1.3600000000000001E-2</v>
      </c>
    </row>
    <row r="30" spans="1:34" ht="13.5" thickBot="1">
      <c r="A30" s="1459" t="s">
        <v>1158</v>
      </c>
      <c r="B30" s="1467">
        <v>299</v>
      </c>
      <c r="C30" s="1467">
        <v>252</v>
      </c>
      <c r="D30" s="1467">
        <f t="shared" si="119"/>
        <v>252</v>
      </c>
      <c r="E30" s="1467">
        <v>409</v>
      </c>
      <c r="F30" s="1468">
        <v>227</v>
      </c>
      <c r="G30" s="3356">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1159</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357"/>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1160</v>
      </c>
      <c r="B32" s="1475">
        <f t="shared" si="128"/>
        <v>288.2649053828776</v>
      </c>
      <c r="C32" s="1475">
        <f t="shared" si="128"/>
        <v>243.64564425013293</v>
      </c>
      <c r="D32" s="1475">
        <f t="shared" si="119"/>
        <v>243.64564425013293</v>
      </c>
      <c r="E32" s="1475">
        <f t="shared" si="129"/>
        <v>393.31080825986544</v>
      </c>
      <c r="F32" s="1475">
        <f t="shared" si="129"/>
        <v>223.07903790551154</v>
      </c>
      <c r="G32" s="3357"/>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1161</v>
      </c>
      <c r="B33" s="1475">
        <f t="shared" si="128"/>
        <v>282.50186729015837</v>
      </c>
      <c r="C33" s="1475">
        <f t="shared" si="128"/>
        <v>238.09796174155468</v>
      </c>
      <c r="D33" s="1475">
        <f t="shared" si="119"/>
        <v>238.09796174155468</v>
      </c>
      <c r="E33" s="1475">
        <f t="shared" si="129"/>
        <v>385.33438646014054</v>
      </c>
      <c r="F33" s="1475">
        <f t="shared" si="129"/>
        <v>221.55034055567739</v>
      </c>
      <c r="G33" s="3358"/>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5" thickBot="1">
      <c r="A34" s="1459" t="s">
        <v>1162</v>
      </c>
      <c r="B34" s="1509">
        <v>278</v>
      </c>
      <c r="C34" s="1509">
        <v>234</v>
      </c>
      <c r="D34" s="1509">
        <f t="shared" si="119"/>
        <v>234</v>
      </c>
      <c r="E34" s="1509">
        <v>379</v>
      </c>
      <c r="F34" s="1510">
        <v>220</v>
      </c>
      <c r="G34" s="3351">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1163</v>
      </c>
      <c r="B35" s="1475">
        <f>B34/(1+N34)</f>
        <v>275.49301357645425</v>
      </c>
      <c r="C35" s="1475">
        <f>C34/(1+O34)</f>
        <v>232.41954707985698</v>
      </c>
      <c r="D35" s="1475">
        <f t="shared" si="119"/>
        <v>232.41954707985698</v>
      </c>
      <c r="E35" s="1475">
        <f t="shared" ref="E35:F37" si="130">E34/(1+P34)</f>
        <v>375.32184591008121</v>
      </c>
      <c r="F35" s="1475">
        <f t="shared" si="130"/>
        <v>218.03766105054513</v>
      </c>
      <c r="G35" s="3352"/>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1164</v>
      </c>
      <c r="B36" s="1475">
        <f>B35/(1+N35)</f>
        <v>275.24529281292263</v>
      </c>
      <c r="C36" s="1475">
        <f>C35/(1+O35)</f>
        <v>231.74747938962707</v>
      </c>
      <c r="D36" s="1475">
        <f t="shared" si="119"/>
        <v>231.74747938962707</v>
      </c>
      <c r="E36" s="1475">
        <f t="shared" si="130"/>
        <v>375.35938184826603</v>
      </c>
      <c r="F36" s="1475">
        <f t="shared" si="130"/>
        <v>216.78033510692495</v>
      </c>
      <c r="G36" s="3352"/>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5" thickBot="1">
      <c r="A37" s="1459" t="s">
        <v>1165</v>
      </c>
      <c r="B37" s="1475">
        <f>B36/(1+N36)</f>
        <v>275.19025476197027</v>
      </c>
      <c r="C37" s="1511">
        <v>232</v>
      </c>
      <c r="D37" s="1511">
        <f t="shared" si="119"/>
        <v>232</v>
      </c>
      <c r="E37" s="1475">
        <f t="shared" si="130"/>
        <v>375.65990977608692</v>
      </c>
      <c r="F37" s="1475">
        <f t="shared" si="130"/>
        <v>214.12518283971252</v>
      </c>
      <c r="G37" s="3353"/>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5" thickBot="1">
      <c r="A38" s="1459" t="s">
        <v>1166</v>
      </c>
      <c r="B38" s="1467">
        <v>275</v>
      </c>
      <c r="C38" s="1467">
        <v>232</v>
      </c>
      <c r="D38" s="1467">
        <f t="shared" si="119"/>
        <v>232</v>
      </c>
      <c r="E38" s="1467">
        <v>376</v>
      </c>
      <c r="F38" s="1468">
        <v>213</v>
      </c>
      <c r="G38" s="3351">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1167</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352">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1168</v>
      </c>
      <c r="B40" s="1475">
        <f t="shared" si="131"/>
        <v>275.19335084830601</v>
      </c>
      <c r="C40" s="1475">
        <f t="shared" si="131"/>
        <v>230.18088050139744</v>
      </c>
      <c r="D40" s="1475">
        <f t="shared" si="119"/>
        <v>230.18088050139744</v>
      </c>
      <c r="E40" s="1475">
        <f t="shared" si="132"/>
        <v>377.58482925212331</v>
      </c>
      <c r="F40" s="1475">
        <f t="shared" si="132"/>
        <v>210.90687997847917</v>
      </c>
      <c r="G40" s="3352">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5" thickBot="1">
      <c r="A41" s="1459" t="s">
        <v>1169</v>
      </c>
      <c r="B41" s="1475">
        <f t="shared" si="131"/>
        <v>276.29854502841971</v>
      </c>
      <c r="C41" s="1475">
        <f t="shared" si="131"/>
        <v>229.79023709833027</v>
      </c>
      <c r="D41" s="1475">
        <f t="shared" si="119"/>
        <v>229.79023709833027</v>
      </c>
      <c r="E41" s="1475">
        <f t="shared" si="132"/>
        <v>379.78759731655936</v>
      </c>
      <c r="F41" s="1475">
        <f t="shared" si="132"/>
        <v>211.32953905659235</v>
      </c>
      <c r="G41" s="3353">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5" thickBot="1">
      <c r="A42" s="1459" t="s">
        <v>1170</v>
      </c>
      <c r="B42" s="1467">
        <v>269</v>
      </c>
      <c r="C42" s="1467">
        <v>221</v>
      </c>
      <c r="D42" s="1467">
        <f t="shared" si="119"/>
        <v>221</v>
      </c>
      <c r="E42" s="1467">
        <v>373</v>
      </c>
      <c r="F42" s="1468">
        <v>196</v>
      </c>
      <c r="G42" s="3351">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1171</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352">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1172</v>
      </c>
      <c r="B44" s="1475">
        <f t="shared" si="133"/>
        <v>242.95398227588385</v>
      </c>
      <c r="C44" s="1475">
        <f t="shared" si="133"/>
        <v>199.59137053614126</v>
      </c>
      <c r="D44" s="1475">
        <f t="shared" si="119"/>
        <v>199.59137053614126</v>
      </c>
      <c r="E44" s="1475">
        <f t="shared" si="134"/>
        <v>335.92189522342125</v>
      </c>
      <c r="F44" s="1475">
        <f t="shared" si="134"/>
        <v>183.10139991109489</v>
      </c>
      <c r="G44" s="3352">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5" thickBot="1">
      <c r="A45" s="1459" t="s">
        <v>1173</v>
      </c>
      <c r="B45" s="1475">
        <f t="shared" si="133"/>
        <v>232.06990378821649</v>
      </c>
      <c r="C45" s="1475">
        <f t="shared" si="133"/>
        <v>192.74878854286936</v>
      </c>
      <c r="D45" s="1475">
        <f t="shared" si="119"/>
        <v>192.74878854286936</v>
      </c>
      <c r="E45" s="1475">
        <f t="shared" si="134"/>
        <v>319.71247284992984</v>
      </c>
      <c r="F45" s="1475">
        <f t="shared" si="134"/>
        <v>175.67053622862409</v>
      </c>
      <c r="G45" s="3353">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5" thickBot="1">
      <c r="A46" s="1459" t="s">
        <v>1174</v>
      </c>
      <c r="B46" s="1467">
        <v>220</v>
      </c>
      <c r="C46" s="1467">
        <v>187</v>
      </c>
      <c r="D46" s="1467">
        <f t="shared" si="119"/>
        <v>187</v>
      </c>
      <c r="E46" s="1467">
        <v>301</v>
      </c>
      <c r="F46" s="1468">
        <v>168</v>
      </c>
      <c r="G46" s="3351">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1175</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352">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1176</v>
      </c>
      <c r="B48" s="1475">
        <f t="shared" si="135"/>
        <v>210.630522469011</v>
      </c>
      <c r="C48" s="1475">
        <f t="shared" si="135"/>
        <v>181.69567812247232</v>
      </c>
      <c r="D48" s="1475">
        <f t="shared" si="119"/>
        <v>181.69567812247232</v>
      </c>
      <c r="E48" s="1475">
        <f t="shared" si="136"/>
        <v>286.13517466736738</v>
      </c>
      <c r="F48" s="1475">
        <f t="shared" si="136"/>
        <v>165.47535084591149</v>
      </c>
      <c r="G48" s="3352">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1177</v>
      </c>
      <c r="B49" s="1475">
        <f t="shared" si="135"/>
        <v>208.83454537875372</v>
      </c>
      <c r="C49" s="1475">
        <f t="shared" si="135"/>
        <v>183.77230517090351</v>
      </c>
      <c r="D49" s="1475">
        <f t="shared" si="119"/>
        <v>183.77230517090351</v>
      </c>
      <c r="E49" s="1475">
        <f t="shared" si="136"/>
        <v>281.10342338870947</v>
      </c>
      <c r="F49" s="1475">
        <f t="shared" si="136"/>
        <v>168.97309388942256</v>
      </c>
      <c r="G49" s="3353">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5" thickBot="1">
      <c r="A50" s="1459" t="s">
        <v>1178</v>
      </c>
      <c r="B50" s="1509">
        <v>214</v>
      </c>
      <c r="C50" s="1509">
        <v>188</v>
      </c>
      <c r="D50" s="1509">
        <f t="shared" si="119"/>
        <v>188</v>
      </c>
      <c r="E50" s="1509">
        <v>289</v>
      </c>
      <c r="F50" s="1510">
        <v>166</v>
      </c>
      <c r="G50" s="3351">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1179</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352">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1180</v>
      </c>
      <c r="B52" s="1475">
        <f t="shared" si="137"/>
        <v>206.31694671589116</v>
      </c>
      <c r="C52" s="1475">
        <f t="shared" si="137"/>
        <v>183.61041121036101</v>
      </c>
      <c r="D52" s="1475">
        <f t="shared" si="119"/>
        <v>183.61041121036101</v>
      </c>
      <c r="E52" s="1475">
        <f t="shared" si="138"/>
        <v>276.66850301795557</v>
      </c>
      <c r="F52" s="1475">
        <f t="shared" si="138"/>
        <v>165.1360938278614</v>
      </c>
      <c r="G52" s="3352">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5" thickBot="1">
      <c r="A53" s="1459" t="s">
        <v>1181</v>
      </c>
      <c r="B53" s="1512">
        <f t="shared" si="137"/>
        <v>196.62341248059772</v>
      </c>
      <c r="C53" s="1512">
        <f t="shared" si="137"/>
        <v>170.99125648199012</v>
      </c>
      <c r="D53" s="1512">
        <f t="shared" si="119"/>
        <v>170.99125648199012</v>
      </c>
      <c r="E53" s="1512">
        <f t="shared" si="138"/>
        <v>266.07857570490052</v>
      </c>
      <c r="F53" s="1512">
        <f t="shared" si="138"/>
        <v>154.53499328828505</v>
      </c>
      <c r="G53" s="3353">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5" thickBot="1">
      <c r="A54" s="1459" t="s">
        <v>1182</v>
      </c>
      <c r="B54" s="1467">
        <v>188</v>
      </c>
      <c r="C54" s="1467">
        <v>165</v>
      </c>
      <c r="D54" s="1467">
        <f t="shared" si="119"/>
        <v>165</v>
      </c>
      <c r="E54" s="1467">
        <v>254</v>
      </c>
      <c r="F54" s="1468">
        <v>148</v>
      </c>
      <c r="G54" s="3351">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1183</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352">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1184</v>
      </c>
      <c r="B56" s="1475">
        <f t="shared" si="141"/>
        <v>168.82017748715555</v>
      </c>
      <c r="C56" s="1475">
        <f t="shared" si="141"/>
        <v>148.06267029972753</v>
      </c>
      <c r="D56" s="1475">
        <f t="shared" si="119"/>
        <v>148.06267029972753</v>
      </c>
      <c r="E56" s="1475">
        <f t="shared" si="142"/>
        <v>216.46288379323747</v>
      </c>
      <c r="F56" s="1475">
        <f t="shared" si="142"/>
        <v>134.23529411764704</v>
      </c>
      <c r="G56" s="3352">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1185</v>
      </c>
      <c r="B57" s="1475">
        <f t="shared" si="141"/>
        <v>163.84913591779542</v>
      </c>
      <c r="C57" s="1475">
        <f t="shared" si="141"/>
        <v>145.0283378746594</v>
      </c>
      <c r="D57" s="1475">
        <f t="shared" si="119"/>
        <v>145.0283378746594</v>
      </c>
      <c r="E57" s="1475">
        <f t="shared" si="142"/>
        <v>204.95180722891567</v>
      </c>
      <c r="F57" s="1475">
        <f t="shared" si="142"/>
        <v>125.95920303605313</v>
      </c>
      <c r="G57" s="3353">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5" thickBot="1">
      <c r="A58" s="1459" t="s">
        <v>1186</v>
      </c>
      <c r="B58" s="1488">
        <v>159</v>
      </c>
      <c r="C58" s="1488">
        <v>141</v>
      </c>
      <c r="D58" s="1488">
        <f t="shared" si="119"/>
        <v>141</v>
      </c>
      <c r="E58" s="1488">
        <v>195</v>
      </c>
      <c r="F58" s="1489">
        <v>122</v>
      </c>
      <c r="G58" s="3351">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1187</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352">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1188</v>
      </c>
      <c r="B60" s="1475">
        <f t="shared" si="145"/>
        <v>146.57412060301507</v>
      </c>
      <c r="C60" s="1475">
        <f t="shared" si="145"/>
        <v>136.46831955922866</v>
      </c>
      <c r="D60" s="1475">
        <f t="shared" si="119"/>
        <v>136.46831955922866</v>
      </c>
      <c r="E60" s="1475">
        <f t="shared" si="146"/>
        <v>166.73864894795128</v>
      </c>
      <c r="F60" s="1475">
        <f t="shared" si="146"/>
        <v>115.05882352941177</v>
      </c>
      <c r="G60" s="3352">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1189</v>
      </c>
      <c r="B61" s="1475">
        <f t="shared" si="145"/>
        <v>144.04145728643215</v>
      </c>
      <c r="C61" s="1475">
        <f t="shared" si="145"/>
        <v>136.12396694214877</v>
      </c>
      <c r="D61" s="1475">
        <f t="shared" si="119"/>
        <v>136.12396694214877</v>
      </c>
      <c r="E61" s="1475">
        <f t="shared" si="146"/>
        <v>158.32225913621264</v>
      </c>
      <c r="F61" s="1475">
        <f t="shared" si="146"/>
        <v>114.04278074866311</v>
      </c>
      <c r="G61" s="3353">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5" thickBot="1">
      <c r="A62" s="1459" t="s">
        <v>1190</v>
      </c>
      <c r="B62" s="1488">
        <v>138</v>
      </c>
      <c r="C62" s="1488">
        <v>131</v>
      </c>
      <c r="D62" s="1488">
        <f t="shared" si="119"/>
        <v>131</v>
      </c>
      <c r="E62" s="1488">
        <v>155</v>
      </c>
      <c r="F62" s="1489">
        <v>114</v>
      </c>
      <c r="G62" s="3351">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1191</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352">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1192</v>
      </c>
      <c r="B64" s="1475">
        <f t="shared" si="149"/>
        <v>124.29032258064517</v>
      </c>
      <c r="C64" s="1475">
        <f t="shared" si="149"/>
        <v>123.8968609865471</v>
      </c>
      <c r="D64" s="1475">
        <f t="shared" si="119"/>
        <v>123.8968609865471</v>
      </c>
      <c r="E64" s="1475">
        <f t="shared" si="150"/>
        <v>138.00507614213197</v>
      </c>
      <c r="F64" s="1475">
        <f t="shared" si="150"/>
        <v>107.96106557377048</v>
      </c>
      <c r="G64" s="3352">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1193</v>
      </c>
      <c r="B65" s="1475">
        <f t="shared" si="149"/>
        <v>122.57204301075269</v>
      </c>
      <c r="C65" s="1475">
        <f t="shared" si="149"/>
        <v>123.4932735426009</v>
      </c>
      <c r="D65" s="1475">
        <f t="shared" si="119"/>
        <v>123.4932735426009</v>
      </c>
      <c r="E65" s="1475">
        <f t="shared" si="150"/>
        <v>129.82233502538071</v>
      </c>
      <c r="F65" s="1475">
        <f t="shared" si="150"/>
        <v>107.39446721311475</v>
      </c>
      <c r="G65" s="3353">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5" thickBot="1">
      <c r="A66" s="1459" t="s">
        <v>1194</v>
      </c>
      <c r="B66" s="1509">
        <v>121</v>
      </c>
      <c r="C66" s="1509">
        <v>122</v>
      </c>
      <c r="D66" s="1509">
        <f t="shared" si="119"/>
        <v>122</v>
      </c>
      <c r="E66" s="1509">
        <v>124</v>
      </c>
      <c r="F66" s="1510">
        <v>107</v>
      </c>
      <c r="G66" s="3351">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1195</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352">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1196</v>
      </c>
      <c r="B68" s="1475">
        <f t="shared" si="153"/>
        <v>116.99099099099099</v>
      </c>
      <c r="C68" s="1475">
        <f t="shared" si="153"/>
        <v>118.84848484848486</v>
      </c>
      <c r="D68" s="1475">
        <f t="shared" si="119"/>
        <v>118.84848484848486</v>
      </c>
      <c r="E68" s="1475">
        <f t="shared" si="154"/>
        <v>117.60960960960961</v>
      </c>
      <c r="F68" s="1475">
        <f t="shared" si="154"/>
        <v>104</v>
      </c>
      <c r="G68" s="3352">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5" thickBot="1">
      <c r="A69" s="1459" t="s">
        <v>1197</v>
      </c>
      <c r="B69" s="1512">
        <f t="shared" si="153"/>
        <v>112.48648648648648</v>
      </c>
      <c r="C69" s="1512">
        <f t="shared" si="153"/>
        <v>115.21212121212122</v>
      </c>
      <c r="D69" s="1512">
        <f t="shared" si="119"/>
        <v>115.21212121212122</v>
      </c>
      <c r="E69" s="1512">
        <f t="shared" si="154"/>
        <v>110.4024024024024</v>
      </c>
      <c r="F69" s="1512">
        <f t="shared" si="154"/>
        <v>104</v>
      </c>
      <c r="G69" s="3353">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5" thickBot="1">
      <c r="A70" s="1459" t="s">
        <v>1198</v>
      </c>
      <c r="B70" s="1530">
        <v>111</v>
      </c>
      <c r="C70" s="1530">
        <v>114</v>
      </c>
      <c r="D70" s="1530">
        <f t="shared" si="119"/>
        <v>114</v>
      </c>
      <c r="E70" s="1530">
        <v>108</v>
      </c>
      <c r="F70" s="1531">
        <v>104</v>
      </c>
      <c r="G70" s="3351">
        <v>2003</v>
      </c>
      <c r="H70" s="1520">
        <v>4</v>
      </c>
      <c r="I70" s="1532"/>
      <c r="J70" s="1532"/>
      <c r="K70" s="1532"/>
      <c r="L70" s="1532"/>
      <c r="N70" s="1533"/>
      <c r="O70" s="1532"/>
      <c r="P70" s="1532"/>
      <c r="Q70" s="1532"/>
      <c r="S70" s="1533"/>
      <c r="T70" s="1532"/>
      <c r="U70" s="1532"/>
      <c r="V70" s="1532"/>
      <c r="X70" s="1524"/>
      <c r="Y70" s="1524"/>
      <c r="Z70" s="1524"/>
    </row>
    <row r="71" spans="1:26">
      <c r="A71" s="1459" t="s">
        <v>1199</v>
      </c>
      <c r="B71" s="1534">
        <f t="shared" ref="B71:C73" si="155">B72+(B$70-B$74)/4</f>
        <v>109.75</v>
      </c>
      <c r="C71" s="1534">
        <f t="shared" si="155"/>
        <v>112.25</v>
      </c>
      <c r="D71" s="1534">
        <f t="shared" si="119"/>
        <v>112.25</v>
      </c>
      <c r="E71" s="1534">
        <f t="shared" ref="E71:F73" si="156">E72+(E$70-E$74)/4</f>
        <v>107.25</v>
      </c>
      <c r="F71" s="1534">
        <f t="shared" si="156"/>
        <v>103.5</v>
      </c>
      <c r="G71" s="3352">
        <v>2003</v>
      </c>
      <c r="H71" s="1485">
        <v>3</v>
      </c>
      <c r="I71" s="1532"/>
      <c r="J71" s="1532"/>
      <c r="K71" s="1532"/>
      <c r="L71" s="1532"/>
      <c r="X71" s="1524"/>
      <c r="Y71" s="1524"/>
      <c r="Z71" s="1524"/>
    </row>
    <row r="72" spans="1:26">
      <c r="A72" s="1459" t="s">
        <v>1200</v>
      </c>
      <c r="B72" s="1534">
        <f t="shared" si="155"/>
        <v>108.5</v>
      </c>
      <c r="C72" s="1534">
        <f t="shared" si="155"/>
        <v>110.5</v>
      </c>
      <c r="D72" s="1534">
        <f t="shared" si="119"/>
        <v>110.5</v>
      </c>
      <c r="E72" s="1534">
        <f t="shared" si="156"/>
        <v>106.5</v>
      </c>
      <c r="F72" s="1534">
        <f t="shared" si="156"/>
        <v>103</v>
      </c>
      <c r="G72" s="3352">
        <v>2003</v>
      </c>
      <c r="H72" s="1463">
        <v>2</v>
      </c>
      <c r="I72" s="1532"/>
      <c r="J72" s="1532"/>
      <c r="K72" s="1532"/>
      <c r="L72" s="1532"/>
      <c r="X72" s="1524"/>
      <c r="Y72" s="1524"/>
      <c r="Z72" s="1524"/>
    </row>
    <row r="73" spans="1:26" ht="13.5" thickBot="1">
      <c r="A73" s="1459" t="s">
        <v>1201</v>
      </c>
      <c r="B73" s="1534">
        <f t="shared" si="155"/>
        <v>107.25</v>
      </c>
      <c r="C73" s="1534">
        <f t="shared" si="155"/>
        <v>108.75</v>
      </c>
      <c r="D73" s="1534">
        <f t="shared" si="119"/>
        <v>108.75</v>
      </c>
      <c r="E73" s="1534">
        <f t="shared" si="156"/>
        <v>105.75</v>
      </c>
      <c r="F73" s="1534">
        <f t="shared" si="156"/>
        <v>102.5</v>
      </c>
      <c r="G73" s="3353">
        <v>2003</v>
      </c>
      <c r="H73" s="1535">
        <v>1</v>
      </c>
      <c r="I73" s="1532"/>
      <c r="J73" s="1532"/>
      <c r="K73" s="1532"/>
      <c r="L73" s="1532"/>
      <c r="S73" s="1470"/>
      <c r="T73" s="1471"/>
      <c r="U73" s="1471"/>
      <c r="X73" s="1524"/>
      <c r="Y73" s="1524"/>
      <c r="Z73" s="1524"/>
    </row>
    <row r="74" spans="1:26" ht="13.5" thickBot="1">
      <c r="A74" s="1459" t="s">
        <v>1202</v>
      </c>
      <c r="B74" s="1536">
        <v>106</v>
      </c>
      <c r="C74" s="1536">
        <v>107</v>
      </c>
      <c r="D74" s="1536">
        <f t="shared" si="119"/>
        <v>107</v>
      </c>
      <c r="E74" s="1536">
        <v>105</v>
      </c>
      <c r="F74" s="1537">
        <v>102</v>
      </c>
      <c r="G74" s="3351">
        <v>2002</v>
      </c>
      <c r="H74" s="1480">
        <v>4</v>
      </c>
      <c r="I74" s="1532"/>
      <c r="J74" s="1532"/>
      <c r="K74" s="1532"/>
      <c r="L74" s="1532"/>
      <c r="N74" s="1533"/>
      <c r="O74" s="1532"/>
      <c r="P74" s="1532"/>
      <c r="Q74" s="1532"/>
      <c r="S74" s="1533"/>
      <c r="T74" s="1532"/>
      <c r="U74" s="1532"/>
      <c r="V74" s="1532"/>
      <c r="X74" s="1524"/>
      <c r="Y74" s="1524"/>
      <c r="Z74" s="1524"/>
    </row>
    <row r="75" spans="1:26">
      <c r="A75" s="1459" t="s">
        <v>1203</v>
      </c>
      <c r="B75" s="1534">
        <f t="shared" ref="B75:C77" si="157">B76+(B$74-B$78)/4</f>
        <v>105</v>
      </c>
      <c r="C75" s="1534">
        <f t="shared" si="157"/>
        <v>106</v>
      </c>
      <c r="D75" s="1534">
        <f t="shared" si="119"/>
        <v>106</v>
      </c>
      <c r="E75" s="1534">
        <f t="shared" ref="E75:F77" si="158">E76+(E$74-E$78)/4</f>
        <v>104.5</v>
      </c>
      <c r="F75" s="1534">
        <f t="shared" si="158"/>
        <v>101.5</v>
      </c>
      <c r="G75" s="3352">
        <v>2002</v>
      </c>
      <c r="H75" s="1485">
        <v>3</v>
      </c>
      <c r="I75" s="1532"/>
      <c r="J75" s="1532"/>
      <c r="K75" s="1532"/>
      <c r="L75" s="1532"/>
      <c r="X75" s="1524"/>
      <c r="Y75" s="1524"/>
      <c r="Z75" s="1524"/>
    </row>
    <row r="76" spans="1:26">
      <c r="A76" s="1459" t="s">
        <v>1204</v>
      </c>
      <c r="B76" s="1534">
        <f t="shared" si="157"/>
        <v>104</v>
      </c>
      <c r="C76" s="1534">
        <f t="shared" si="157"/>
        <v>105</v>
      </c>
      <c r="D76" s="1534">
        <f t="shared" si="119"/>
        <v>105</v>
      </c>
      <c r="E76" s="1534">
        <f t="shared" si="158"/>
        <v>104</v>
      </c>
      <c r="F76" s="1534">
        <f t="shared" si="158"/>
        <v>101</v>
      </c>
      <c r="G76" s="3352">
        <v>2002</v>
      </c>
      <c r="H76" s="1463">
        <v>2</v>
      </c>
      <c r="I76" s="1532"/>
      <c r="J76" s="1532"/>
      <c r="K76" s="1532"/>
      <c r="L76" s="1532"/>
      <c r="X76" s="1524"/>
      <c r="Y76" s="1524"/>
      <c r="Z76" s="1524"/>
    </row>
    <row r="77" spans="1:26" s="1496" customFormat="1" ht="13.5" thickBot="1">
      <c r="A77" s="1492" t="s">
        <v>1205</v>
      </c>
      <c r="B77" s="1538">
        <f t="shared" si="157"/>
        <v>103</v>
      </c>
      <c r="C77" s="1538">
        <f t="shared" si="157"/>
        <v>104</v>
      </c>
      <c r="D77" s="1538">
        <f t="shared" si="119"/>
        <v>104</v>
      </c>
      <c r="E77" s="1538">
        <f t="shared" si="158"/>
        <v>103.5</v>
      </c>
      <c r="F77" s="1538">
        <f t="shared" si="158"/>
        <v>100.5</v>
      </c>
      <c r="G77" s="3353">
        <v>2002</v>
      </c>
      <c r="H77" s="1539">
        <v>1</v>
      </c>
      <c r="I77" s="1540"/>
      <c r="J77" s="1540"/>
      <c r="K77" s="1540"/>
      <c r="L77" s="1540"/>
      <c r="N77" s="1541"/>
      <c r="S77" s="1541"/>
      <c r="X77" s="1542"/>
      <c r="Y77" s="1542"/>
      <c r="Z77" s="1542"/>
    </row>
    <row r="78" spans="1:26" ht="13.5"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1206</v>
      </c>
      <c r="G80" s="1548"/>
      <c r="N80" s="1548"/>
      <c r="S80" s="1548"/>
    </row>
    <row r="81" spans="1:22" s="1547" customFormat="1">
      <c r="A81" s="1547" t="s">
        <v>1207</v>
      </c>
      <c r="G81" s="1548"/>
      <c r="N81" s="1548"/>
      <c r="S81" s="1548"/>
    </row>
    <row r="82" spans="1:22" s="1547" customFormat="1">
      <c r="A82" s="1547" t="s">
        <v>1208</v>
      </c>
      <c r="G82" s="1548"/>
      <c r="I82" s="1549"/>
      <c r="J82" s="1549"/>
      <c r="K82" s="1549"/>
      <c r="L82" s="1549"/>
      <c r="N82" s="1550"/>
      <c r="O82" s="1549"/>
      <c r="P82" s="1549"/>
      <c r="Q82" s="1549"/>
      <c r="S82" s="1550"/>
      <c r="T82" s="1549"/>
      <c r="U82" s="1549"/>
      <c r="V82" s="1549"/>
    </row>
    <row r="83" spans="1:22" s="1547" customFormat="1">
      <c r="A83" s="1547" t="s">
        <v>1209</v>
      </c>
      <c r="G83" s="1548"/>
      <c r="N83" s="1548"/>
      <c r="S83" s="1548"/>
    </row>
    <row r="90" spans="1:22" ht="13.5" thickBot="1"/>
    <row r="91" spans="1:22">
      <c r="G91" s="1469"/>
      <c r="S91" s="1551" t="s">
        <v>1210</v>
      </c>
      <c r="T91" s="1552" t="s">
        <v>1211</v>
      </c>
      <c r="U91" s="1552" t="s">
        <v>1212</v>
      </c>
      <c r="V91" s="1552" t="s">
        <v>1213</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5"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30168</v>
      </c>
      <c r="C2" s="2" t="s">
        <v>133</v>
      </c>
      <c r="D2" s="242"/>
      <c r="E2" s="242"/>
      <c r="F2" s="242"/>
      <c r="G2" s="242"/>
    </row>
    <row r="3" spans="1:7" s="243" customFormat="1" ht="18" customHeight="1" thickBot="1">
      <c r="A3" s="246" t="s">
        <v>85</v>
      </c>
      <c r="B3" s="247">
        <f ca="1">ROUND(B2*10000/'数据-汇总表'!E3,0)</f>
        <v>253151</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1144</v>
      </c>
    </row>
    <row r="9" spans="1:7" s="257" customFormat="1" ht="13.5" customHeight="1">
      <c r="A9" s="948" t="s">
        <v>800</v>
      </c>
      <c r="B9" s="267" t="s">
        <v>93</v>
      </c>
      <c r="C9" s="268">
        <f>ROUND(D9*E9/10000,0)</f>
        <v>2</v>
      </c>
      <c r="D9" s="1030">
        <f>'数据-汇总表'!E5</f>
        <v>148.57</v>
      </c>
      <c r="E9" s="268">
        <f>'数据-取费表'!B27</f>
        <v>160</v>
      </c>
      <c r="F9" s="264"/>
      <c r="G9" s="269"/>
    </row>
    <row r="10" spans="1:7" s="257" customFormat="1" ht="13.5" customHeight="1">
      <c r="A10" s="948" t="s">
        <v>801</v>
      </c>
      <c r="B10" s="267" t="s">
        <v>94</v>
      </c>
      <c r="C10" s="268">
        <f>ROUND(D10*E10/10000,0)</f>
        <v>21</v>
      </c>
      <c r="D10" s="1030">
        <f>'数据-汇总表'!E6</f>
        <v>1043.1300000000001</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1051</v>
      </c>
      <c r="B19" s="253" t="s">
        <v>111</v>
      </c>
      <c r="C19" s="254">
        <f>IF(G19="已包含在土地取得成本中","0",ROUND(D19*E19/10000,0))</f>
        <v>24</v>
      </c>
      <c r="D19" s="1034">
        <f>'数据-汇总表'!E3</f>
        <v>1191.7</v>
      </c>
      <c r="E19" s="254">
        <f>'数据-取费表'!B31</f>
        <v>200</v>
      </c>
      <c r="F19" s="274"/>
      <c r="G19" s="1" t="s">
        <v>1070</v>
      </c>
    </row>
    <row r="20" spans="1:7" s="257" customFormat="1" ht="13.5" customHeight="1">
      <c r="A20" s="946" t="s">
        <v>1053</v>
      </c>
      <c r="B20" s="253" t="s">
        <v>104</v>
      </c>
      <c r="C20" s="275">
        <f>ROUND((C5+C19)*F20,0)</f>
        <v>413</v>
      </c>
      <c r="D20" s="275"/>
      <c r="E20" s="275"/>
      <c r="F20" s="276">
        <f>'数据-取费表'!B37</f>
        <v>0.02</v>
      </c>
      <c r="G20" s="1287" t="s">
        <v>1064</v>
      </c>
    </row>
    <row r="21" spans="1:7" s="257" customFormat="1" ht="13.5" customHeight="1">
      <c r="A21" s="946" t="s">
        <v>1055</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2026</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1057</v>
      </c>
      <c r="C23" s="1353">
        <f ca="1">ROUND(IF('数据-取费表'!B22&lt;=1,C5*F22*'数据-取费表'!B23,C5*(POWER((1+F22),'数据-取费表'!B23)-1)),0)</f>
        <v>2004</v>
      </c>
      <c r="D23" s="281"/>
      <c r="E23" s="281"/>
      <c r="F23" s="282"/>
      <c r="G23" s="283" t="s">
        <v>108</v>
      </c>
    </row>
    <row r="24" spans="1:7" s="257" customFormat="1" ht="13.5" customHeight="1">
      <c r="A24" s="949" t="s">
        <v>792</v>
      </c>
      <c r="B24" s="258" t="s">
        <v>1052</v>
      </c>
      <c r="C24" s="1353">
        <f ca="1">ROUND(IF('数据-取费表'!B22&lt;=1,C19*F22*('数据-取费表'!B19/2+'数据-取费表'!B21),C19*(POWER((1+F22),('数据-取费表'!B19/2+'数据-取费表'!B21))-1)),0)</f>
        <v>2</v>
      </c>
      <c r="D24" s="281"/>
      <c r="E24" s="281"/>
      <c r="F24" s="282"/>
      <c r="G24" s="283" t="s">
        <v>109</v>
      </c>
    </row>
    <row r="25" spans="1:7" s="257" customFormat="1" ht="24">
      <c r="A25" s="949" t="s">
        <v>793</v>
      </c>
      <c r="B25" s="258" t="s">
        <v>1054</v>
      </c>
      <c r="C25" s="1353">
        <f ca="1">ROUND(IF('数据-取费表'!B22&lt;=1,C20*F22*'数据-取费表'!B23/2,C20*(POWER((1+F22),'数据-取费表'!B23/2)-1)),0)</f>
        <v>20</v>
      </c>
      <c r="D25" s="281"/>
      <c r="E25" s="284"/>
      <c r="F25" s="282"/>
      <c r="G25" s="285" t="s">
        <v>110</v>
      </c>
    </row>
    <row r="26" spans="1:7" s="257" customFormat="1">
      <c r="A26" s="949" t="s">
        <v>795</v>
      </c>
      <c r="B26" s="258" t="s">
        <v>1056</v>
      </c>
      <c r="C26" s="281">
        <f ca="1">ROUND(IF('数据-取费表'!B22&lt;=1,F21*F22*'数据-取费表'!B23/2,F21*(POWER((1+F22),'数据-取费表'!B23/2)-1)),4)</f>
        <v>1E-3</v>
      </c>
      <c r="D26" s="281"/>
      <c r="E26" s="284"/>
      <c r="F26" s="282"/>
      <c r="G26" s="286"/>
    </row>
    <row r="27" spans="1:7" s="257" customFormat="1" ht="24.75">
      <c r="A27" s="946" t="s">
        <v>787</v>
      </c>
      <c r="B27" s="287" t="s">
        <v>112</v>
      </c>
      <c r="C27" s="288">
        <f>C28</f>
        <v>4209</v>
      </c>
      <c r="D27" s="278">
        <f>C29</f>
        <v>4.0000000000000001E-3</v>
      </c>
      <c r="E27" s="279" t="s">
        <v>126</v>
      </c>
      <c r="F27" s="289">
        <f>'数据-取费表'!Q16</f>
        <v>0.2</v>
      </c>
      <c r="G27" s="290" t="s">
        <v>1065</v>
      </c>
    </row>
    <row r="28" spans="1:7" s="257" customFormat="1" ht="13.5" customHeight="1">
      <c r="A28" s="949" t="s">
        <v>794</v>
      </c>
      <c r="B28" s="291" t="s">
        <v>1058</v>
      </c>
      <c r="C28" s="292">
        <f>ROUND((C5+C19+C20)*F27*'数据-取费表'!B21/'数据-取费表'!B20,0)</f>
        <v>4209</v>
      </c>
      <c r="D28" s="278"/>
      <c r="E28" s="279"/>
      <c r="F28" s="289"/>
      <c r="G28" s="290"/>
    </row>
    <row r="29" spans="1:7" s="257" customFormat="1" ht="13.5" customHeight="1">
      <c r="A29" s="949" t="s">
        <v>792</v>
      </c>
      <c r="B29" s="291" t="s">
        <v>1059</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29601</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463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417</v>
      </c>
      <c r="D34" s="260"/>
      <c r="E34" s="263"/>
      <c r="F34" s="300">
        <f>IF('数据-取费表'!B24=0,1,'数据-取费表'!N16)</f>
        <v>1</v>
      </c>
      <c r="G34" s="262" t="s">
        <v>116</v>
      </c>
    </row>
    <row r="35" spans="1:7" ht="13.5" customHeight="1">
      <c r="A35" s="949" t="s">
        <v>796</v>
      </c>
      <c r="B35" s="258" t="s">
        <v>60</v>
      </c>
      <c r="C35" s="263">
        <f>ROUND(C34*F35,0)</f>
        <v>13</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v>
      </c>
      <c r="D36" s="263"/>
      <c r="E36" s="263"/>
      <c r="F36" s="302">
        <f>'数据-取费表'!B34</f>
        <v>0.05</v>
      </c>
      <c r="G36" s="303" t="s">
        <v>62</v>
      </c>
    </row>
    <row r="37" spans="1:7" s="301" customFormat="1" ht="13.5" customHeight="1">
      <c r="A37" s="949" t="s">
        <v>798</v>
      </c>
      <c r="B37" s="258" t="s">
        <v>118</v>
      </c>
      <c r="C37" s="292">
        <f>ROUND(E37*D37*F34/10000,0)</f>
        <v>24</v>
      </c>
      <c r="D37" s="260">
        <f>'数据-汇总表'!E3</f>
        <v>1191.7</v>
      </c>
      <c r="E37" s="292">
        <f>'数据-取费表'!B35</f>
        <v>200</v>
      </c>
      <c r="F37" s="302"/>
      <c r="G37" s="304" t="s">
        <v>119</v>
      </c>
    </row>
    <row r="38" spans="1:7" ht="13.5" customHeight="1">
      <c r="A38" s="949" t="s">
        <v>799</v>
      </c>
      <c r="B38" s="258" t="s">
        <v>63</v>
      </c>
      <c r="C38" s="263">
        <f>ROUND(C34*F38,0)</f>
        <v>6</v>
      </c>
      <c r="D38" s="263"/>
      <c r="E38" s="263"/>
      <c r="F38" s="302">
        <f>'数据-取费表'!B36</f>
        <v>1.4999999999999999E-2</v>
      </c>
      <c r="G38" s="262" t="s">
        <v>117</v>
      </c>
    </row>
    <row r="39" spans="1:7" s="257" customFormat="1" ht="13.5" customHeight="1">
      <c r="A39" s="946" t="s">
        <v>783</v>
      </c>
      <c r="B39" s="253" t="s">
        <v>104</v>
      </c>
      <c r="C39" s="275">
        <f>ROUND(C33*F20,0)</f>
        <v>9</v>
      </c>
      <c r="D39" s="275"/>
      <c r="E39" s="275"/>
      <c r="F39" s="276"/>
      <c r="G39" s="1287" t="s">
        <v>1067</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22</v>
      </c>
      <c r="D41" s="278">
        <f ca="1">C44</f>
        <v>1E-3</v>
      </c>
      <c r="E41" s="279" t="s">
        <v>129</v>
      </c>
      <c r="F41" s="280"/>
      <c r="G41" s="1287" t="str">
        <f>IF('数据-取费表'!B22&lt;=1,"单利计息","复利计息")</f>
        <v>复利计息</v>
      </c>
    </row>
    <row r="42" spans="1:7" ht="13.5" customHeight="1">
      <c r="A42" s="949" t="s">
        <v>794</v>
      </c>
      <c r="B42" s="258" t="s">
        <v>1057</v>
      </c>
      <c r="C42" s="281">
        <f ca="1">ROUND(IF('数据-取费表'!B22&lt;=1,C33*F22*'数据-取费表'!B21/2,C33*(POWER((1+F22),'数据-取费表'!B21/2)-1)),0)</f>
        <v>22</v>
      </c>
      <c r="D42" s="281"/>
      <c r="E42" s="281"/>
      <c r="F42" s="282"/>
      <c r="G42" s="3219" t="s">
        <v>121</v>
      </c>
    </row>
    <row r="43" spans="1:7" ht="13.5" customHeight="1">
      <c r="A43" s="949" t="s">
        <v>792</v>
      </c>
      <c r="B43" s="258" t="s">
        <v>1060</v>
      </c>
      <c r="C43" s="281">
        <f ca="1">ROUND(IF('数据-取费表'!B22&lt;=1,C39*F22*'数据-取费表'!B21/2,C39*(POWER((1+F22),'数据-取费表'!B21/2)-1)),0)</f>
        <v>0</v>
      </c>
      <c r="D43" s="281"/>
      <c r="E43" s="281"/>
      <c r="F43" s="282"/>
      <c r="G43" s="3220"/>
    </row>
    <row r="44" spans="1:7" ht="13.5" customHeight="1">
      <c r="A44" s="949" t="s">
        <v>793</v>
      </c>
      <c r="B44" s="258" t="s">
        <v>1062</v>
      </c>
      <c r="C44" s="281">
        <f ca="1">ROUND(IF('数据-取费表'!B22&lt;=1,C40*F22*'数据-取费表'!B21/2,C40*(POWER((1+F22),'数据-取费表'!B21/2)-1)),4)</f>
        <v>1E-3</v>
      </c>
      <c r="D44" s="281"/>
      <c r="E44" s="281"/>
      <c r="F44" s="282"/>
      <c r="G44" s="3221"/>
    </row>
    <row r="45" spans="1:7" s="257" customFormat="1" ht="13.5" customHeight="1">
      <c r="A45" s="946" t="s">
        <v>786</v>
      </c>
      <c r="B45" s="287" t="s">
        <v>112</v>
      </c>
      <c r="C45" s="288">
        <f>C46</f>
        <v>94</v>
      </c>
      <c r="D45" s="278">
        <f>C47</f>
        <v>4.0000000000000001E-3</v>
      </c>
      <c r="E45" s="279" t="s">
        <v>129</v>
      </c>
      <c r="F45" s="289"/>
      <c r="G45" s="290" t="s">
        <v>1068</v>
      </c>
    </row>
    <row r="46" spans="1:7" s="257" customFormat="1" ht="13.5" customHeight="1">
      <c r="A46" s="949" t="s">
        <v>794</v>
      </c>
      <c r="B46" s="291" t="s">
        <v>1061</v>
      </c>
      <c r="C46" s="292">
        <f>ROUND((C33+C39)*F27,0)</f>
        <v>94</v>
      </c>
      <c r="D46" s="306"/>
      <c r="E46" s="279"/>
      <c r="F46" s="289"/>
      <c r="G46" s="290"/>
    </row>
    <row r="47" spans="1:7" s="257" customFormat="1" ht="13.5" customHeight="1">
      <c r="A47" s="949" t="s">
        <v>792</v>
      </c>
      <c r="B47" s="291" t="s">
        <v>1063</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638</v>
      </c>
      <c r="D49" s="275"/>
      <c r="E49" s="275"/>
      <c r="F49" s="307"/>
      <c r="G49" s="277" t="s">
        <v>1069</v>
      </c>
    </row>
    <row r="50" spans="1:7" s="301" customFormat="1" ht="24">
      <c r="A50" s="946" t="s">
        <v>789</v>
      </c>
      <c r="B50" s="253" t="s">
        <v>124</v>
      </c>
      <c r="C50" s="275"/>
      <c r="D50" s="275"/>
      <c r="E50" s="275"/>
      <c r="F50" s="307">
        <f>IF('数据-取费表'!B24=0,'数据-取费表'!N16,1)</f>
        <v>0.88800000000000001</v>
      </c>
      <c r="G50" s="290" t="s">
        <v>125</v>
      </c>
    </row>
    <row r="51" spans="1:7" ht="16.5" customHeight="1">
      <c r="A51" s="946" t="s">
        <v>790</v>
      </c>
      <c r="B51" s="253" t="s">
        <v>132</v>
      </c>
      <c r="C51" s="275">
        <f ca="1">ROUND(C49*F50,0)</f>
        <v>567</v>
      </c>
      <c r="D51" s="275"/>
      <c r="E51" s="275"/>
      <c r="F51" s="307"/>
      <c r="G51" s="277" t="s">
        <v>64</v>
      </c>
    </row>
    <row r="52" spans="1:7" s="251" customFormat="1" ht="16.5" thickBot="1">
      <c r="A52" s="308" t="s">
        <v>65</v>
      </c>
      <c r="B52" s="309"/>
      <c r="C52" s="310">
        <f ca="1">C31+C51</f>
        <v>30168</v>
      </c>
      <c r="D52" s="309"/>
      <c r="E52" s="309"/>
      <c r="F52" s="309"/>
      <c r="G52" s="311"/>
    </row>
    <row r="55" spans="1:7" ht="15">
      <c r="B55" s="313" t="s">
        <v>66</v>
      </c>
      <c r="C55" s="314"/>
    </row>
    <row r="56" spans="1:7">
      <c r="B56" s="316" t="s">
        <v>67</v>
      </c>
      <c r="C56" s="317">
        <f ca="1">ROUND(C51/C52,3)</f>
        <v>1.9E-2</v>
      </c>
    </row>
    <row r="57" spans="1:7">
      <c r="B57" s="316" t="s">
        <v>68</v>
      </c>
      <c r="C57" s="318">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60" t="s">
        <v>156</v>
      </c>
      <c r="B1" s="3360"/>
      <c r="C1" s="3360"/>
      <c r="D1" s="3360"/>
      <c r="E1" s="3360"/>
      <c r="F1" s="336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61" t="s">
        <v>169</v>
      </c>
      <c r="B2" s="3361"/>
      <c r="C2" s="3361"/>
      <c r="D2" s="3361"/>
      <c r="E2" s="3361"/>
      <c r="F2" s="336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6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0" t="s">
        <v>867</v>
      </c>
      <c r="B1" s="3360"/>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43969</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zoomScale="90" zoomScaleNormal="90" workbookViewId="0">
      <selection activeCell="N144" sqref="N144"/>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Q38"/>
  <sheetViews>
    <sheetView workbookViewId="0">
      <selection activeCell="L7" sqref="L7"/>
    </sheetView>
  </sheetViews>
  <sheetFormatPr defaultRowHeight="12"/>
  <cols>
    <col min="1" max="1" width="10.625" style="2965" customWidth="1"/>
    <col min="2" max="2" width="24.25" style="2965" customWidth="1"/>
    <col min="3" max="3" width="6.25" style="2965" customWidth="1"/>
    <col min="4" max="4" width="3.75" style="2965" customWidth="1"/>
    <col min="5" max="5" width="21.5" style="2965" customWidth="1"/>
    <col min="6" max="6" width="16.75" style="2965" hidden="1" customWidth="1"/>
    <col min="7" max="7" width="32.75" style="2965" customWidth="1"/>
    <col min="8" max="8" width="5.375" style="2965" customWidth="1"/>
    <col min="9" max="9" width="10.25" style="2965" bestFit="1" customWidth="1"/>
    <col min="10" max="11" width="7.5" style="2965" customWidth="1"/>
    <col min="12" max="12" width="10.625" style="2965" customWidth="1"/>
    <col min="13" max="13" width="7.25" style="2965" customWidth="1"/>
    <col min="14" max="14" width="5.625" style="2965" customWidth="1"/>
    <col min="15" max="16" width="4.75" style="2965" customWidth="1"/>
    <col min="17" max="17" width="7" style="2965" customWidth="1"/>
    <col min="18" max="16384" width="9" style="2965"/>
  </cols>
  <sheetData>
    <row r="2" spans="1:17">
      <c r="A2" s="2964" t="s">
        <v>3381</v>
      </c>
      <c r="B2" s="2964"/>
      <c r="D2" s="2964" t="s">
        <v>3382</v>
      </c>
      <c r="E2" s="2964"/>
    </row>
    <row r="3" spans="1:17">
      <c r="A3" s="2968" t="s">
        <v>3070</v>
      </c>
      <c r="B3" s="2966" t="s">
        <v>3376</v>
      </c>
      <c r="D3" s="2968" t="s">
        <v>3088</v>
      </c>
      <c r="E3" s="2968" t="s">
        <v>3089</v>
      </c>
      <c r="F3" s="2968" t="s">
        <v>3090</v>
      </c>
      <c r="G3" s="2968" t="s">
        <v>3074</v>
      </c>
      <c r="H3" s="2968" t="s">
        <v>3268</v>
      </c>
      <c r="I3" s="2968" t="s">
        <v>3091</v>
      </c>
      <c r="J3" s="2968" t="s">
        <v>3092</v>
      </c>
      <c r="K3" s="2968" t="s">
        <v>3093</v>
      </c>
      <c r="L3" s="2968" t="s">
        <v>3260</v>
      </c>
      <c r="M3" s="2968" t="s">
        <v>3097</v>
      </c>
      <c r="N3" s="2968" t="s">
        <v>3098</v>
      </c>
      <c r="O3" s="2968" t="s">
        <v>3103</v>
      </c>
      <c r="P3" s="2968" t="s">
        <v>3099</v>
      </c>
      <c r="Q3" s="2968" t="s">
        <v>3118</v>
      </c>
    </row>
    <row r="4" spans="1:17">
      <c r="A4" s="2968" t="s">
        <v>3071</v>
      </c>
      <c r="B4" s="2966" t="s">
        <v>3072</v>
      </c>
      <c r="D4" s="2966">
        <v>1</v>
      </c>
      <c r="E4" s="2966" t="s">
        <v>3374</v>
      </c>
      <c r="F4" s="2966" t="s">
        <v>3094</v>
      </c>
      <c r="G4" s="2966" t="s">
        <v>3095</v>
      </c>
      <c r="H4" s="2966">
        <v>101</v>
      </c>
      <c r="I4" s="2969">
        <v>41929</v>
      </c>
      <c r="J4" s="2966" t="s">
        <v>3096</v>
      </c>
      <c r="K4" s="2966">
        <v>1043.1300000000001</v>
      </c>
      <c r="L4" s="2966">
        <v>2441.7399999999998</v>
      </c>
      <c r="M4" s="2966">
        <v>2</v>
      </c>
      <c r="N4" s="2966" t="s">
        <v>3102</v>
      </c>
      <c r="O4" s="2966" t="s">
        <v>3105</v>
      </c>
      <c r="P4" s="2966" t="s">
        <v>3145</v>
      </c>
      <c r="Q4" s="2966" t="s">
        <v>3145</v>
      </c>
    </row>
    <row r="5" spans="1:17">
      <c r="A5" s="2968" t="s">
        <v>3074</v>
      </c>
      <c r="B5" s="2966" t="s">
        <v>3075</v>
      </c>
      <c r="D5" s="3364" t="s">
        <v>3160</v>
      </c>
      <c r="E5" s="3364"/>
      <c r="F5" s="3364"/>
      <c r="G5" s="3364"/>
      <c r="H5" s="3364"/>
      <c r="I5" s="3364"/>
      <c r="J5" s="3364"/>
      <c r="K5" s="2970">
        <f>SUM(K4)</f>
        <v>1043.1300000000001</v>
      </c>
      <c r="L5" s="2970">
        <f>SUM(L4)</f>
        <v>2441.7399999999998</v>
      </c>
      <c r="M5" s="2966"/>
      <c r="N5" s="2966"/>
      <c r="O5" s="2966"/>
      <c r="P5" s="2966"/>
      <c r="Q5" s="2966"/>
    </row>
    <row r="6" spans="1:17">
      <c r="A6" s="2968" t="s">
        <v>3076</v>
      </c>
      <c r="B6" s="2966" t="s">
        <v>3078</v>
      </c>
      <c r="D6" s="2966">
        <v>2</v>
      </c>
      <c r="E6" s="2966" t="s">
        <v>3375</v>
      </c>
      <c r="F6" s="2966" t="s">
        <v>3094</v>
      </c>
      <c r="G6" s="2966" t="s">
        <v>3167</v>
      </c>
      <c r="H6" s="2966">
        <v>207</v>
      </c>
      <c r="I6" s="2969">
        <v>41255</v>
      </c>
      <c r="J6" s="2966" t="s">
        <v>3078</v>
      </c>
      <c r="K6" s="2966">
        <v>148.57</v>
      </c>
      <c r="L6" s="2966">
        <f>ROUND($B$9/$B$23*K6,2)</f>
        <v>82.63</v>
      </c>
      <c r="M6" s="2966" t="s">
        <v>3110</v>
      </c>
      <c r="N6" s="2966">
        <v>2</v>
      </c>
      <c r="O6" s="2966" t="s">
        <v>3107</v>
      </c>
      <c r="P6" s="2966" t="s">
        <v>3101</v>
      </c>
      <c r="Q6" s="2966" t="s">
        <v>3145</v>
      </c>
    </row>
    <row r="7" spans="1:17">
      <c r="A7" s="2968" t="s">
        <v>3079</v>
      </c>
      <c r="B7" s="2966" t="s">
        <v>3080</v>
      </c>
      <c r="D7" s="2966">
        <v>3</v>
      </c>
      <c r="E7" s="2966" t="s">
        <v>3108</v>
      </c>
      <c r="F7" s="2966" t="s">
        <v>3094</v>
      </c>
      <c r="G7" s="2966" t="s">
        <v>3109</v>
      </c>
      <c r="H7" s="2966">
        <v>501</v>
      </c>
      <c r="I7" s="2969">
        <v>41947</v>
      </c>
      <c r="J7" s="2966" t="s">
        <v>3078</v>
      </c>
      <c r="K7" s="2966">
        <v>148.57</v>
      </c>
      <c r="L7" s="2966">
        <f t="shared" ref="L7:L36" si="0">ROUND($B$9/$B$23*K7,2)</f>
        <v>82.63</v>
      </c>
      <c r="M7" s="2966" t="s">
        <v>3110</v>
      </c>
      <c r="N7" s="2966">
        <v>4</v>
      </c>
      <c r="O7" s="2966" t="s">
        <v>3107</v>
      </c>
      <c r="P7" s="2966" t="s">
        <v>3111</v>
      </c>
      <c r="Q7" s="2966" t="s">
        <v>3145</v>
      </c>
    </row>
    <row r="8" spans="1:17">
      <c r="A8" s="2968" t="s">
        <v>3081</v>
      </c>
      <c r="B8" s="2967">
        <v>62710</v>
      </c>
      <c r="D8" s="2966">
        <v>4</v>
      </c>
      <c r="E8" s="2966" t="s">
        <v>3112</v>
      </c>
      <c r="F8" s="2966" t="s">
        <v>3094</v>
      </c>
      <c r="G8" s="2966" t="s">
        <v>3113</v>
      </c>
      <c r="H8" s="2966">
        <v>502</v>
      </c>
      <c r="I8" s="2969">
        <v>41947</v>
      </c>
      <c r="J8" s="2966" t="s">
        <v>3078</v>
      </c>
      <c r="K8" s="2966">
        <v>162.13</v>
      </c>
      <c r="L8" s="2966">
        <f t="shared" si="0"/>
        <v>90.17</v>
      </c>
      <c r="M8" s="2966" t="s">
        <v>3110</v>
      </c>
      <c r="N8" s="2966">
        <v>4</v>
      </c>
      <c r="O8" s="2966" t="s">
        <v>3107</v>
      </c>
      <c r="P8" s="2966" t="s">
        <v>3114</v>
      </c>
      <c r="Q8" s="2966" t="s">
        <v>3145</v>
      </c>
    </row>
    <row r="9" spans="1:17">
      <c r="A9" s="2968" t="s">
        <v>3082</v>
      </c>
      <c r="B9" s="2966">
        <v>11899.94</v>
      </c>
      <c r="D9" s="2966">
        <v>5</v>
      </c>
      <c r="E9" s="2966" t="s">
        <v>3115</v>
      </c>
      <c r="F9" s="2966" t="s">
        <v>3094</v>
      </c>
      <c r="G9" s="2966" t="s">
        <v>3116</v>
      </c>
      <c r="H9" s="2966">
        <v>505</v>
      </c>
      <c r="I9" s="2969">
        <v>40968</v>
      </c>
      <c r="J9" s="2966" t="s">
        <v>3078</v>
      </c>
      <c r="K9" s="2966">
        <v>148.52000000000001</v>
      </c>
      <c r="L9" s="2966">
        <f t="shared" si="0"/>
        <v>82.6</v>
      </c>
      <c r="M9" s="2966" t="s">
        <v>3110</v>
      </c>
      <c r="N9" s="2966">
        <v>4</v>
      </c>
      <c r="O9" s="2966" t="s">
        <v>3107</v>
      </c>
      <c r="P9" s="2966" t="s">
        <v>3120</v>
      </c>
      <c r="Q9" s="2966" t="s">
        <v>3117</v>
      </c>
    </row>
    <row r="10" spans="1:17">
      <c r="A10" s="2968" t="s">
        <v>3083</v>
      </c>
      <c r="B10" s="2966" t="s">
        <v>3084</v>
      </c>
      <c r="D10" s="2966">
        <v>6</v>
      </c>
      <c r="E10" s="2966" t="s">
        <v>3121</v>
      </c>
      <c r="F10" s="2966" t="s">
        <v>3094</v>
      </c>
      <c r="G10" s="2966" t="s">
        <v>3122</v>
      </c>
      <c r="H10" s="2966">
        <v>603</v>
      </c>
      <c r="I10" s="2969">
        <v>41079</v>
      </c>
      <c r="J10" s="2966" t="s">
        <v>3078</v>
      </c>
      <c r="K10" s="2966">
        <v>148.52000000000001</v>
      </c>
      <c r="L10" s="2966">
        <f t="shared" si="0"/>
        <v>82.6</v>
      </c>
      <c r="M10" s="2966" t="s">
        <v>3110</v>
      </c>
      <c r="N10" s="2966">
        <v>5</v>
      </c>
      <c r="O10" s="2966" t="s">
        <v>3107</v>
      </c>
      <c r="P10" s="2966" t="s">
        <v>3120</v>
      </c>
      <c r="Q10" s="2966" t="s">
        <v>3117</v>
      </c>
    </row>
    <row r="11" spans="1:17">
      <c r="D11" s="2966">
        <v>7</v>
      </c>
      <c r="E11" s="2966" t="s">
        <v>3123</v>
      </c>
      <c r="F11" s="2966" t="s">
        <v>3094</v>
      </c>
      <c r="G11" s="2966" t="s">
        <v>3124</v>
      </c>
      <c r="H11" s="2966">
        <v>607</v>
      </c>
      <c r="I11" s="2969">
        <v>41947</v>
      </c>
      <c r="J11" s="2966" t="s">
        <v>3078</v>
      </c>
      <c r="K11" s="2966">
        <v>148.57</v>
      </c>
      <c r="L11" s="2966">
        <f t="shared" si="0"/>
        <v>82.63</v>
      </c>
      <c r="M11" s="2966" t="s">
        <v>3110</v>
      </c>
      <c r="N11" s="2966">
        <v>5</v>
      </c>
      <c r="O11" s="2966" t="s">
        <v>3107</v>
      </c>
      <c r="P11" s="2966" t="s">
        <v>3101</v>
      </c>
      <c r="Q11" s="2966" t="s">
        <v>3145</v>
      </c>
    </row>
    <row r="12" spans="1:17">
      <c r="D12" s="2966">
        <v>8</v>
      </c>
      <c r="E12" s="2966" t="s">
        <v>3125</v>
      </c>
      <c r="F12" s="2966" t="s">
        <v>3094</v>
      </c>
      <c r="G12" s="2966" t="s">
        <v>3126</v>
      </c>
      <c r="H12" s="2966">
        <v>702</v>
      </c>
      <c r="I12" s="2969">
        <v>41947</v>
      </c>
      <c r="J12" s="2966" t="s">
        <v>3078</v>
      </c>
      <c r="K12" s="2966">
        <v>162.13</v>
      </c>
      <c r="L12" s="2966">
        <f t="shared" si="0"/>
        <v>90.17</v>
      </c>
      <c r="M12" s="2966" t="s">
        <v>3110</v>
      </c>
      <c r="N12" s="2966">
        <v>6</v>
      </c>
      <c r="O12" s="2966" t="s">
        <v>3107</v>
      </c>
      <c r="P12" s="2966" t="s">
        <v>3114</v>
      </c>
      <c r="Q12" s="2966" t="s">
        <v>3145</v>
      </c>
    </row>
    <row r="13" spans="1:17">
      <c r="A13" s="2964" t="s">
        <v>3384</v>
      </c>
      <c r="B13" s="2964"/>
      <c r="D13" s="2966">
        <v>9</v>
      </c>
      <c r="E13" s="2966" t="s">
        <v>3127</v>
      </c>
      <c r="F13" s="2966" t="s">
        <v>3094</v>
      </c>
      <c r="G13" s="2966" t="s">
        <v>3128</v>
      </c>
      <c r="H13" s="2966">
        <v>705</v>
      </c>
      <c r="I13" s="2969">
        <v>41255</v>
      </c>
      <c r="J13" s="2966" t="s">
        <v>3078</v>
      </c>
      <c r="K13" s="2966">
        <v>148.52000000000001</v>
      </c>
      <c r="L13" s="2966">
        <f t="shared" si="0"/>
        <v>82.6</v>
      </c>
      <c r="M13" s="2966" t="s">
        <v>3110</v>
      </c>
      <c r="N13" s="2966">
        <v>6</v>
      </c>
      <c r="O13" s="2966" t="s">
        <v>3107</v>
      </c>
      <c r="P13" s="2966" t="s">
        <v>3120</v>
      </c>
      <c r="Q13" s="2966" t="s">
        <v>3145</v>
      </c>
    </row>
    <row r="14" spans="1:17">
      <c r="A14" s="2968" t="s">
        <v>3070</v>
      </c>
      <c r="B14" s="2966" t="s">
        <v>3377</v>
      </c>
      <c r="D14" s="2966">
        <v>10</v>
      </c>
      <c r="E14" s="2966" t="s">
        <v>3129</v>
      </c>
      <c r="F14" s="2966" t="s">
        <v>3094</v>
      </c>
      <c r="G14" s="2966" t="s">
        <v>3130</v>
      </c>
      <c r="H14" s="2966">
        <v>807</v>
      </c>
      <c r="I14" s="2969">
        <v>41961</v>
      </c>
      <c r="J14" s="2966" t="s">
        <v>3078</v>
      </c>
      <c r="K14" s="2966">
        <v>148.57</v>
      </c>
      <c r="L14" s="2966">
        <f t="shared" si="0"/>
        <v>82.63</v>
      </c>
      <c r="M14" s="2966" t="s">
        <v>3110</v>
      </c>
      <c r="N14" s="2966">
        <v>7</v>
      </c>
      <c r="O14" s="2966" t="s">
        <v>3107</v>
      </c>
      <c r="P14" s="2966" t="s">
        <v>3101</v>
      </c>
      <c r="Q14" s="2966" t="s">
        <v>3117</v>
      </c>
    </row>
    <row r="15" spans="1:17">
      <c r="A15" s="2968" t="s">
        <v>3071</v>
      </c>
      <c r="B15" s="2966" t="s">
        <v>3394</v>
      </c>
      <c r="D15" s="2966">
        <v>11</v>
      </c>
      <c r="E15" s="2966" t="s">
        <v>3131</v>
      </c>
      <c r="F15" s="2966" t="s">
        <v>3094</v>
      </c>
      <c r="G15" s="2966" t="s">
        <v>3132</v>
      </c>
      <c r="H15" s="2966">
        <v>1105</v>
      </c>
      <c r="I15" s="2969">
        <v>41947</v>
      </c>
      <c r="J15" s="2966" t="s">
        <v>3078</v>
      </c>
      <c r="K15" s="2966">
        <v>148.52000000000001</v>
      </c>
      <c r="L15" s="2966">
        <f t="shared" si="0"/>
        <v>82.6</v>
      </c>
      <c r="M15" s="2966" t="s">
        <v>3110</v>
      </c>
      <c r="N15" s="2966">
        <v>10</v>
      </c>
      <c r="O15" s="2966" t="s">
        <v>3107</v>
      </c>
      <c r="P15" s="2966" t="s">
        <v>3120</v>
      </c>
      <c r="Q15" s="2966" t="s">
        <v>3145</v>
      </c>
    </row>
    <row r="16" spans="1:17">
      <c r="A16" s="2968" t="s">
        <v>3074</v>
      </c>
      <c r="B16" s="2966" t="s">
        <v>3085</v>
      </c>
      <c r="D16" s="2966">
        <v>12</v>
      </c>
      <c r="E16" s="2966" t="s">
        <v>3133</v>
      </c>
      <c r="F16" s="2966" t="s">
        <v>3094</v>
      </c>
      <c r="G16" s="2966" t="s">
        <v>3134</v>
      </c>
      <c r="H16" s="2966">
        <v>1202</v>
      </c>
      <c r="I16" s="2969">
        <v>41945</v>
      </c>
      <c r="J16" s="2966" t="s">
        <v>3078</v>
      </c>
      <c r="K16" s="2966">
        <v>162.13</v>
      </c>
      <c r="L16" s="2966">
        <f t="shared" si="0"/>
        <v>90.17</v>
      </c>
      <c r="M16" s="2966" t="s">
        <v>3110</v>
      </c>
      <c r="N16" s="2966">
        <v>11</v>
      </c>
      <c r="O16" s="2966" t="s">
        <v>3107</v>
      </c>
      <c r="P16" s="2966" t="s">
        <v>3114</v>
      </c>
      <c r="Q16" s="2966" t="s">
        <v>3145</v>
      </c>
    </row>
    <row r="17" spans="1:17">
      <c r="A17" s="2968" t="s">
        <v>3076</v>
      </c>
      <c r="B17" s="2966" t="s">
        <v>3086</v>
      </c>
      <c r="D17" s="2966">
        <v>13</v>
      </c>
      <c r="E17" s="3364" t="s">
        <v>3135</v>
      </c>
      <c r="F17" s="2966" t="s">
        <v>3094</v>
      </c>
      <c r="G17" s="2966" t="s">
        <v>3136</v>
      </c>
      <c r="H17" s="2966">
        <v>1505</v>
      </c>
      <c r="I17" s="2969">
        <v>41114</v>
      </c>
      <c r="J17" s="2966" t="s">
        <v>3078</v>
      </c>
      <c r="K17" s="2966">
        <v>148.52000000000001</v>
      </c>
      <c r="L17" s="2966">
        <f t="shared" si="0"/>
        <v>82.6</v>
      </c>
      <c r="M17" s="2966" t="s">
        <v>3110</v>
      </c>
      <c r="N17" s="2966">
        <v>12</v>
      </c>
      <c r="O17" s="2966" t="s">
        <v>3107</v>
      </c>
      <c r="P17" s="2966" t="s">
        <v>3120</v>
      </c>
      <c r="Q17" s="2966" t="s">
        <v>3117</v>
      </c>
    </row>
    <row r="18" spans="1:17">
      <c r="A18" s="2968" t="s">
        <v>3079</v>
      </c>
      <c r="B18" s="2966" t="s">
        <v>3080</v>
      </c>
      <c r="D18" s="2966">
        <v>14</v>
      </c>
      <c r="E18" s="3364"/>
      <c r="F18" s="2966" t="s">
        <v>3094</v>
      </c>
      <c r="G18" s="2966" t="s">
        <v>3137</v>
      </c>
      <c r="H18" s="2966">
        <v>1605</v>
      </c>
      <c r="I18" s="2969">
        <v>41114</v>
      </c>
      <c r="J18" s="2966" t="s">
        <v>3078</v>
      </c>
      <c r="K18" s="2966">
        <v>148.52000000000001</v>
      </c>
      <c r="L18" s="2966">
        <f t="shared" si="0"/>
        <v>82.6</v>
      </c>
      <c r="M18" s="2966" t="s">
        <v>3110</v>
      </c>
      <c r="N18" s="2966">
        <v>13</v>
      </c>
      <c r="O18" s="2966" t="s">
        <v>3107</v>
      </c>
      <c r="P18" s="2966" t="s">
        <v>3120</v>
      </c>
      <c r="Q18" s="2966" t="s">
        <v>3117</v>
      </c>
    </row>
    <row r="19" spans="1:17">
      <c r="A19" s="2968" t="s">
        <v>3081</v>
      </c>
      <c r="B19" s="2967" t="s">
        <v>3087</v>
      </c>
      <c r="D19" s="2966">
        <v>15</v>
      </c>
      <c r="E19" s="3364"/>
      <c r="F19" s="2966" t="s">
        <v>3094</v>
      </c>
      <c r="G19" s="2966" t="s">
        <v>3138</v>
      </c>
      <c r="H19" s="2966">
        <v>1607</v>
      </c>
      <c r="I19" s="2969">
        <v>41114</v>
      </c>
      <c r="J19" s="2966" t="s">
        <v>3078</v>
      </c>
      <c r="K19" s="2966">
        <v>148.57</v>
      </c>
      <c r="L19" s="2966">
        <f t="shared" si="0"/>
        <v>82.63</v>
      </c>
      <c r="M19" s="2966" t="s">
        <v>3110</v>
      </c>
      <c r="N19" s="2966">
        <v>13</v>
      </c>
      <c r="O19" s="2966" t="s">
        <v>3107</v>
      </c>
      <c r="P19" s="2966" t="s">
        <v>3101</v>
      </c>
      <c r="Q19" s="2966" t="s">
        <v>3117</v>
      </c>
    </row>
    <row r="20" spans="1:17">
      <c r="A20" s="2968" t="s">
        <v>3082</v>
      </c>
      <c r="B20" s="2966">
        <v>2441.7399999999998</v>
      </c>
      <c r="D20" s="2966">
        <v>16</v>
      </c>
      <c r="E20" s="3364"/>
      <c r="F20" s="2966" t="s">
        <v>3094</v>
      </c>
      <c r="G20" s="2966" t="s">
        <v>3140</v>
      </c>
      <c r="H20" s="2966">
        <v>1707</v>
      </c>
      <c r="I20" s="2969">
        <v>41114</v>
      </c>
      <c r="J20" s="2966" t="s">
        <v>3078</v>
      </c>
      <c r="K20" s="2966">
        <v>148.57</v>
      </c>
      <c r="L20" s="2966">
        <f t="shared" si="0"/>
        <v>82.63</v>
      </c>
      <c r="M20" s="2966" t="s">
        <v>3110</v>
      </c>
      <c r="N20" s="2966">
        <v>14</v>
      </c>
      <c r="O20" s="2966" t="s">
        <v>3107</v>
      </c>
      <c r="P20" s="2966" t="s">
        <v>3101</v>
      </c>
      <c r="Q20" s="2966" t="s">
        <v>3117</v>
      </c>
    </row>
    <row r="21" spans="1:17">
      <c r="A21" s="2968" t="s">
        <v>3083</v>
      </c>
      <c r="B21" s="2966" t="s">
        <v>3084</v>
      </c>
      <c r="D21" s="2966">
        <v>17</v>
      </c>
      <c r="E21" s="3364"/>
      <c r="F21" s="2966" t="s">
        <v>3094</v>
      </c>
      <c r="G21" s="2966" t="s">
        <v>3139</v>
      </c>
      <c r="H21" s="2966">
        <v>1807</v>
      </c>
      <c r="I21" s="2969">
        <v>41114</v>
      </c>
      <c r="J21" s="2966" t="s">
        <v>3078</v>
      </c>
      <c r="K21" s="2966">
        <v>148.57</v>
      </c>
      <c r="L21" s="2966">
        <f t="shared" si="0"/>
        <v>82.63</v>
      </c>
      <c r="M21" s="2966" t="s">
        <v>3110</v>
      </c>
      <c r="N21" s="2966">
        <v>15</v>
      </c>
      <c r="O21" s="2966" t="s">
        <v>3107</v>
      </c>
      <c r="P21" s="2966" t="s">
        <v>3101</v>
      </c>
      <c r="Q21" s="2966" t="s">
        <v>3117</v>
      </c>
    </row>
    <row r="22" spans="1:17">
      <c r="A22" s="2964" t="s">
        <v>3383</v>
      </c>
      <c r="B22" s="2964"/>
      <c r="D22" s="2966">
        <v>18</v>
      </c>
      <c r="E22" s="3364"/>
      <c r="F22" s="2966" t="s">
        <v>3094</v>
      </c>
      <c r="G22" s="2966" t="s">
        <v>3141</v>
      </c>
      <c r="H22" s="2966">
        <v>2007</v>
      </c>
      <c r="I22" s="2969">
        <v>41114</v>
      </c>
      <c r="J22" s="2966" t="s">
        <v>3078</v>
      </c>
      <c r="K22" s="2966">
        <v>148.57</v>
      </c>
      <c r="L22" s="2966">
        <f t="shared" si="0"/>
        <v>82.63</v>
      </c>
      <c r="M22" s="2966" t="s">
        <v>3110</v>
      </c>
      <c r="N22" s="2966">
        <v>17</v>
      </c>
      <c r="O22" s="2966" t="s">
        <v>3107</v>
      </c>
      <c r="P22" s="2966" t="s">
        <v>3101</v>
      </c>
      <c r="Q22" s="2966" t="s">
        <v>3117</v>
      </c>
    </row>
    <row r="23" spans="1:17">
      <c r="A23" s="2968" t="s">
        <v>3261</v>
      </c>
      <c r="B23" s="2966">
        <v>21395.62</v>
      </c>
      <c r="D23" s="2966">
        <v>19</v>
      </c>
      <c r="E23" s="2966" t="s">
        <v>3142</v>
      </c>
      <c r="F23" s="2966"/>
      <c r="G23" s="2966" t="s">
        <v>3143</v>
      </c>
      <c r="H23" s="2966">
        <v>1806</v>
      </c>
      <c r="I23" s="2969">
        <v>41947</v>
      </c>
      <c r="J23" s="2966" t="s">
        <v>3078</v>
      </c>
      <c r="K23" s="2966">
        <v>162.13</v>
      </c>
      <c r="L23" s="2966">
        <f t="shared" si="0"/>
        <v>90.17</v>
      </c>
      <c r="M23" s="2966" t="s">
        <v>3110</v>
      </c>
      <c r="N23" s="2966">
        <v>15</v>
      </c>
      <c r="O23" s="2966" t="s">
        <v>3107</v>
      </c>
      <c r="P23" s="2966" t="s">
        <v>3144</v>
      </c>
      <c r="Q23" s="2966" t="s">
        <v>3145</v>
      </c>
    </row>
    <row r="24" spans="1:17">
      <c r="A24" s="2968" t="s">
        <v>3264</v>
      </c>
      <c r="B24" s="2966">
        <v>19447.810000000001</v>
      </c>
      <c r="D24" s="2966">
        <v>20</v>
      </c>
      <c r="E24" s="3364" t="s">
        <v>3146</v>
      </c>
      <c r="F24" s="2966"/>
      <c r="G24" s="2966" t="s">
        <v>3147</v>
      </c>
      <c r="H24" s="2966">
        <v>2301</v>
      </c>
      <c r="I24" s="2969">
        <v>38350</v>
      </c>
      <c r="J24" s="2966" t="s">
        <v>3078</v>
      </c>
      <c r="K24" s="2966">
        <v>148.57</v>
      </c>
      <c r="L24" s="2966">
        <f t="shared" si="0"/>
        <v>82.63</v>
      </c>
      <c r="M24" s="2966" t="s">
        <v>3110</v>
      </c>
      <c r="N24" s="2966">
        <v>20</v>
      </c>
      <c r="O24" s="2966" t="s">
        <v>3107</v>
      </c>
      <c r="P24" s="2966" t="s">
        <v>3111</v>
      </c>
      <c r="Q24" s="2966" t="s">
        <v>3117</v>
      </c>
    </row>
    <row r="25" spans="1:17">
      <c r="A25" s="2968" t="s">
        <v>3262</v>
      </c>
      <c r="B25" s="2966">
        <v>1797.88</v>
      </c>
      <c r="D25" s="2966">
        <v>21</v>
      </c>
      <c r="E25" s="3364"/>
      <c r="F25" s="2966"/>
      <c r="G25" s="2966" t="s">
        <v>3148</v>
      </c>
      <c r="H25" s="2966">
        <v>2303</v>
      </c>
      <c r="I25" s="2969">
        <v>38350</v>
      </c>
      <c r="J25" s="2966" t="s">
        <v>3078</v>
      </c>
      <c r="K25" s="2966">
        <v>148.52000000000001</v>
      </c>
      <c r="L25" s="2966">
        <f t="shared" si="0"/>
        <v>82.6</v>
      </c>
      <c r="M25" s="2966" t="s">
        <v>3110</v>
      </c>
      <c r="N25" s="2966">
        <v>20</v>
      </c>
      <c r="O25" s="2966" t="s">
        <v>3107</v>
      </c>
      <c r="P25" s="2966" t="s">
        <v>3120</v>
      </c>
      <c r="Q25" s="2966" t="s">
        <v>3117</v>
      </c>
    </row>
    <row r="26" spans="1:17">
      <c r="A26" s="2968" t="s">
        <v>3263</v>
      </c>
      <c r="B26" s="2966">
        <v>149.93</v>
      </c>
      <c r="D26" s="2966">
        <v>22</v>
      </c>
      <c r="E26" s="3364"/>
      <c r="F26" s="2966"/>
      <c r="G26" s="2966" t="s">
        <v>3149</v>
      </c>
      <c r="H26" s="2966">
        <v>2305</v>
      </c>
      <c r="I26" s="2969">
        <v>38350</v>
      </c>
      <c r="J26" s="2966" t="s">
        <v>3078</v>
      </c>
      <c r="K26" s="2966">
        <v>148.52000000000001</v>
      </c>
      <c r="L26" s="2966">
        <f t="shared" si="0"/>
        <v>82.6</v>
      </c>
      <c r="M26" s="2966" t="s">
        <v>3110</v>
      </c>
      <c r="N26" s="2966">
        <v>20</v>
      </c>
      <c r="O26" s="2966" t="s">
        <v>3107</v>
      </c>
      <c r="P26" s="2966" t="s">
        <v>3120</v>
      </c>
      <c r="Q26" s="2966" t="s">
        <v>3117</v>
      </c>
    </row>
    <row r="27" spans="1:17">
      <c r="D27" s="2966">
        <v>23</v>
      </c>
      <c r="E27" s="3364"/>
      <c r="F27" s="2966"/>
      <c r="G27" s="2966" t="s">
        <v>3150</v>
      </c>
      <c r="H27" s="2966">
        <v>2306</v>
      </c>
      <c r="I27" s="2969">
        <v>38350</v>
      </c>
      <c r="J27" s="2966" t="s">
        <v>3078</v>
      </c>
      <c r="K27" s="2966">
        <v>162.13</v>
      </c>
      <c r="L27" s="2966">
        <f t="shared" si="0"/>
        <v>90.17</v>
      </c>
      <c r="M27" s="2966" t="s">
        <v>3110</v>
      </c>
      <c r="N27" s="2966">
        <v>20</v>
      </c>
      <c r="O27" s="2966" t="s">
        <v>3107</v>
      </c>
      <c r="P27" s="2966" t="s">
        <v>3144</v>
      </c>
      <c r="Q27" s="2966" t="s">
        <v>3117</v>
      </c>
    </row>
    <row r="28" spans="1:17">
      <c r="D28" s="2966">
        <v>24</v>
      </c>
      <c r="E28" s="3364"/>
      <c r="F28" s="2966"/>
      <c r="G28" s="2966" t="s">
        <v>3151</v>
      </c>
      <c r="H28" s="2966">
        <v>2307</v>
      </c>
      <c r="I28" s="2969">
        <v>38350</v>
      </c>
      <c r="J28" s="2966" t="s">
        <v>3078</v>
      </c>
      <c r="K28" s="2966">
        <v>148.57</v>
      </c>
      <c r="L28" s="2966">
        <f t="shared" si="0"/>
        <v>82.63</v>
      </c>
      <c r="M28" s="2966" t="s">
        <v>3110</v>
      </c>
      <c r="N28" s="2966">
        <v>20</v>
      </c>
      <c r="O28" s="2966" t="s">
        <v>3107</v>
      </c>
      <c r="P28" s="2966" t="s">
        <v>3101</v>
      </c>
      <c r="Q28" s="2966" t="s">
        <v>3117</v>
      </c>
    </row>
    <row r="29" spans="1:17">
      <c r="D29" s="2966">
        <v>25</v>
      </c>
      <c r="E29" s="3364"/>
      <c r="F29" s="2966"/>
      <c r="G29" s="2966" t="s">
        <v>3152</v>
      </c>
      <c r="H29" s="2966">
        <v>2506</v>
      </c>
      <c r="I29" s="2969">
        <v>38350</v>
      </c>
      <c r="J29" s="2966" t="s">
        <v>3078</v>
      </c>
      <c r="K29" s="2966">
        <v>162.13</v>
      </c>
      <c r="L29" s="2966">
        <f t="shared" si="0"/>
        <v>90.17</v>
      </c>
      <c r="M29" s="2966" t="s">
        <v>3110</v>
      </c>
      <c r="N29" s="2966">
        <v>21</v>
      </c>
      <c r="O29" s="2966" t="s">
        <v>3107</v>
      </c>
      <c r="P29" s="2966" t="s">
        <v>3144</v>
      </c>
      <c r="Q29" s="2966" t="s">
        <v>3117</v>
      </c>
    </row>
    <row r="30" spans="1:17">
      <c r="D30" s="2966">
        <v>26</v>
      </c>
      <c r="E30" s="3364"/>
      <c r="F30" s="2966"/>
      <c r="G30" s="2966" t="s">
        <v>3153</v>
      </c>
      <c r="H30" s="2966">
        <v>2507</v>
      </c>
      <c r="I30" s="2969">
        <v>38350</v>
      </c>
      <c r="J30" s="2966" t="s">
        <v>3078</v>
      </c>
      <c r="K30" s="2966">
        <v>148.57</v>
      </c>
      <c r="L30" s="2966">
        <f t="shared" si="0"/>
        <v>82.63</v>
      </c>
      <c r="M30" s="2966" t="s">
        <v>3110</v>
      </c>
      <c r="N30" s="2966">
        <v>21</v>
      </c>
      <c r="O30" s="2966" t="s">
        <v>3107</v>
      </c>
      <c r="P30" s="2966" t="s">
        <v>3101</v>
      </c>
      <c r="Q30" s="2966" t="s">
        <v>3117</v>
      </c>
    </row>
    <row r="31" spans="1:17">
      <c r="D31" s="2966">
        <v>27</v>
      </c>
      <c r="E31" s="3364"/>
      <c r="F31" s="2966"/>
      <c r="G31" s="2966" t="s">
        <v>3154</v>
      </c>
      <c r="H31" s="2966">
        <v>2601</v>
      </c>
      <c r="I31" s="2969">
        <v>38350</v>
      </c>
      <c r="J31" s="2966" t="s">
        <v>3078</v>
      </c>
      <c r="K31" s="2966">
        <v>148.57</v>
      </c>
      <c r="L31" s="2966">
        <f t="shared" si="0"/>
        <v>82.63</v>
      </c>
      <c r="M31" s="2966" t="s">
        <v>3110</v>
      </c>
      <c r="N31" s="2966">
        <v>22</v>
      </c>
      <c r="O31" s="2966" t="s">
        <v>3107</v>
      </c>
      <c r="P31" s="2966" t="s">
        <v>3111</v>
      </c>
      <c r="Q31" s="2966" t="s">
        <v>3117</v>
      </c>
    </row>
    <row r="32" spans="1:17">
      <c r="D32" s="2966">
        <v>28</v>
      </c>
      <c r="E32" s="3364"/>
      <c r="F32" s="2966"/>
      <c r="G32" s="2966" t="s">
        <v>3155</v>
      </c>
      <c r="H32" s="2966">
        <v>2602</v>
      </c>
      <c r="I32" s="2969">
        <v>38350</v>
      </c>
      <c r="J32" s="2966" t="s">
        <v>3078</v>
      </c>
      <c r="K32" s="2966">
        <v>162.13</v>
      </c>
      <c r="L32" s="2966">
        <f t="shared" si="0"/>
        <v>90.17</v>
      </c>
      <c r="M32" s="2966" t="s">
        <v>3110</v>
      </c>
      <c r="N32" s="2966">
        <v>22</v>
      </c>
      <c r="O32" s="2966" t="s">
        <v>3107</v>
      </c>
      <c r="P32" s="2966" t="s">
        <v>3114</v>
      </c>
      <c r="Q32" s="2966" t="s">
        <v>3117</v>
      </c>
    </row>
    <row r="33" spans="1:17">
      <c r="A33" s="2965" t="s">
        <v>3232</v>
      </c>
      <c r="B33" s="2982" t="s">
        <v>3265</v>
      </c>
      <c r="D33" s="2966">
        <v>29</v>
      </c>
      <c r="E33" s="3364"/>
      <c r="F33" s="2966"/>
      <c r="G33" s="2966" t="s">
        <v>3156</v>
      </c>
      <c r="H33" s="2966">
        <v>2603</v>
      </c>
      <c r="I33" s="2969">
        <v>38350</v>
      </c>
      <c r="J33" s="2966" t="s">
        <v>3078</v>
      </c>
      <c r="K33" s="2966">
        <v>148.52000000000001</v>
      </c>
      <c r="L33" s="2966">
        <f t="shared" si="0"/>
        <v>82.6</v>
      </c>
      <c r="M33" s="2966" t="s">
        <v>3110</v>
      </c>
      <c r="N33" s="2966">
        <v>22</v>
      </c>
      <c r="O33" s="2966" t="s">
        <v>3107</v>
      </c>
      <c r="P33" s="2966" t="s">
        <v>3120</v>
      </c>
      <c r="Q33" s="2966" t="s">
        <v>3117</v>
      </c>
    </row>
    <row r="34" spans="1:17">
      <c r="B34" s="2965" t="s">
        <v>3266</v>
      </c>
      <c r="D34" s="2966">
        <v>30</v>
      </c>
      <c r="E34" s="3364"/>
      <c r="F34" s="2966"/>
      <c r="G34" s="2966" t="s">
        <v>3157</v>
      </c>
      <c r="H34" s="2966">
        <v>2605</v>
      </c>
      <c r="I34" s="2969">
        <v>38350</v>
      </c>
      <c r="J34" s="2966" t="s">
        <v>3078</v>
      </c>
      <c r="K34" s="2966">
        <v>148.52000000000001</v>
      </c>
      <c r="L34" s="2966">
        <f t="shared" si="0"/>
        <v>82.6</v>
      </c>
      <c r="M34" s="2966" t="s">
        <v>3110</v>
      </c>
      <c r="N34" s="2966">
        <v>22</v>
      </c>
      <c r="O34" s="2966" t="s">
        <v>3107</v>
      </c>
      <c r="P34" s="2966" t="s">
        <v>3120</v>
      </c>
      <c r="Q34" s="2966" t="s">
        <v>3117</v>
      </c>
    </row>
    <row r="35" spans="1:17">
      <c r="B35" s="2965" t="s">
        <v>3233</v>
      </c>
      <c r="D35" s="2966">
        <v>31</v>
      </c>
      <c r="E35" s="3364"/>
      <c r="F35" s="2966"/>
      <c r="G35" s="2966" t="s">
        <v>3158</v>
      </c>
      <c r="H35" s="2966">
        <v>2606</v>
      </c>
      <c r="I35" s="2969">
        <v>38350</v>
      </c>
      <c r="J35" s="2966" t="s">
        <v>3078</v>
      </c>
      <c r="K35" s="2966">
        <v>162.13</v>
      </c>
      <c r="L35" s="2966">
        <f t="shared" si="0"/>
        <v>90.17</v>
      </c>
      <c r="M35" s="2966" t="s">
        <v>3110</v>
      </c>
      <c r="N35" s="2966">
        <v>22</v>
      </c>
      <c r="O35" s="2966" t="s">
        <v>3107</v>
      </c>
      <c r="P35" s="2966" t="s">
        <v>3163</v>
      </c>
      <c r="Q35" s="2966" t="s">
        <v>3117</v>
      </c>
    </row>
    <row r="36" spans="1:17">
      <c r="D36" s="2966">
        <v>32</v>
      </c>
      <c r="E36" s="3364"/>
      <c r="F36" s="2966"/>
      <c r="G36" s="2966" t="s">
        <v>3159</v>
      </c>
      <c r="H36" s="2966">
        <v>2607</v>
      </c>
      <c r="I36" s="2969">
        <v>38350</v>
      </c>
      <c r="J36" s="2966" t="s">
        <v>3078</v>
      </c>
      <c r="K36" s="2966">
        <v>148.57</v>
      </c>
      <c r="L36" s="2966">
        <f t="shared" si="0"/>
        <v>82.63</v>
      </c>
      <c r="M36" s="2966" t="s">
        <v>3110</v>
      </c>
      <c r="N36" s="2966">
        <v>22</v>
      </c>
      <c r="O36" s="2966" t="s">
        <v>3107</v>
      </c>
      <c r="P36" s="2966" t="s">
        <v>3101</v>
      </c>
      <c r="Q36" s="2966" t="s">
        <v>3117</v>
      </c>
    </row>
    <row r="37" spans="1:17">
      <c r="D37" s="3364" t="s">
        <v>3161</v>
      </c>
      <c r="E37" s="3364"/>
      <c r="F37" s="3364"/>
      <c r="G37" s="3364"/>
      <c r="H37" s="3364"/>
      <c r="I37" s="3364"/>
      <c r="J37" s="3364"/>
      <c r="K37" s="2970">
        <f>SUM(K6:K36)</f>
        <v>4713.6500000000015</v>
      </c>
      <c r="L37" s="2970">
        <f>SUM(L6:L36)</f>
        <v>2621.5500000000006</v>
      </c>
      <c r="M37" s="2966"/>
      <c r="N37" s="2966"/>
      <c r="O37" s="2966"/>
      <c r="P37" s="2966"/>
      <c r="Q37" s="2966"/>
    </row>
    <row r="38" spans="1:17">
      <c r="D38" s="3365" t="s">
        <v>3162</v>
      </c>
      <c r="E38" s="3366"/>
      <c r="F38" s="3366"/>
      <c r="G38" s="3366"/>
      <c r="H38" s="3366"/>
      <c r="I38" s="3366"/>
      <c r="J38" s="3367"/>
      <c r="K38" s="3030">
        <f>K37+K5</f>
        <v>5756.7800000000016</v>
      </c>
      <c r="L38" s="3030">
        <f>L5+L37</f>
        <v>5063.2900000000009</v>
      </c>
      <c r="M38" s="2966"/>
      <c r="N38" s="2966"/>
      <c r="O38" s="2966"/>
      <c r="P38" s="2966"/>
      <c r="Q38" s="2966"/>
    </row>
  </sheetData>
  <mergeCells count="5">
    <mergeCell ref="E17:E22"/>
    <mergeCell ref="E24:E36"/>
    <mergeCell ref="D37:J37"/>
    <mergeCell ref="D5:J5"/>
    <mergeCell ref="D38:J38"/>
  </mergeCells>
  <phoneticPr fontId="143" type="noConversion"/>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3:L45"/>
  <sheetViews>
    <sheetView workbookViewId="0">
      <selection activeCell="I13" sqref="I13"/>
    </sheetView>
  </sheetViews>
  <sheetFormatPr defaultRowHeight="14.25"/>
  <cols>
    <col min="1" max="1" width="5.5" style="2988" customWidth="1"/>
    <col min="2" max="2" width="27.875" style="2988" customWidth="1"/>
    <col min="3" max="3" width="32.875" style="2988" customWidth="1"/>
    <col min="4" max="4" width="15.75" style="2988" customWidth="1"/>
    <col min="5" max="5" width="10.125" style="2988" customWidth="1"/>
    <col min="6" max="6" width="15" style="2988" customWidth="1"/>
    <col min="7" max="7" width="9" style="2988"/>
    <col min="8" max="8" width="11.625" style="2988" bestFit="1" customWidth="1"/>
    <col min="9" max="9" width="12.5" style="2988" customWidth="1"/>
    <col min="10" max="10" width="9.5" style="2988" customWidth="1"/>
    <col min="11" max="11" width="9" style="2988" customWidth="1"/>
    <col min="12" max="12" width="9.5" style="2988" bestFit="1" customWidth="1"/>
    <col min="13" max="16384" width="9" style="2988"/>
  </cols>
  <sheetData>
    <row r="3" spans="2:12" ht="23.25" thickBot="1">
      <c r="C3" s="3368" t="s">
        <v>3269</v>
      </c>
      <c r="D3" s="3368"/>
    </row>
    <row r="4" spans="2:12" ht="15" thickBot="1">
      <c r="B4" s="3007" t="s">
        <v>3270</v>
      </c>
      <c r="C4" s="3008" t="s">
        <v>3073</v>
      </c>
      <c r="D4" s="3008" t="s">
        <v>3271</v>
      </c>
      <c r="E4" s="3008" t="s">
        <v>3365</v>
      </c>
      <c r="F4" s="3009" t="s">
        <v>3272</v>
      </c>
      <c r="H4" s="3023" t="s">
        <v>3366</v>
      </c>
      <c r="I4" s="3023"/>
      <c r="J4" s="3023" t="s">
        <v>3368</v>
      </c>
      <c r="K4" s="3023" t="s">
        <v>3367</v>
      </c>
      <c r="L4" s="3024" t="s">
        <v>3369</v>
      </c>
    </row>
    <row r="5" spans="2:12" ht="15" thickBot="1">
      <c r="B5" s="3010" t="s">
        <v>3273</v>
      </c>
      <c r="C5" s="3011" t="s">
        <v>3359</v>
      </c>
      <c r="D5" s="3012" t="s">
        <v>3360</v>
      </c>
      <c r="E5" s="3013">
        <v>2584</v>
      </c>
      <c r="F5" s="3014">
        <v>730.9</v>
      </c>
      <c r="H5" s="3020">
        <v>43028</v>
      </c>
      <c r="I5" s="3020">
        <v>43757</v>
      </c>
      <c r="J5" s="3006">
        <v>5280455</v>
      </c>
      <c r="K5" s="3006">
        <v>11.5</v>
      </c>
      <c r="L5" s="3006">
        <v>0</v>
      </c>
    </row>
    <row r="6" spans="2:12" ht="15" thickBot="1">
      <c r="B6" s="3010" t="s">
        <v>3274</v>
      </c>
      <c r="C6" s="3011" t="s">
        <v>3359</v>
      </c>
      <c r="D6" s="3012">
        <v>1301</v>
      </c>
      <c r="E6" s="3013">
        <v>440</v>
      </c>
      <c r="F6" s="3014">
        <v>130.1</v>
      </c>
      <c r="H6" s="3020">
        <v>43758</v>
      </c>
      <c r="I6" s="3020">
        <v>44488</v>
      </c>
      <c r="J6" s="3006">
        <v>5702891</v>
      </c>
      <c r="K6" s="3006">
        <v>12.42</v>
      </c>
      <c r="L6" s="3006">
        <v>1.42</v>
      </c>
    </row>
    <row r="7" spans="2:12" ht="15" thickBot="1">
      <c r="B7" s="3010" t="s">
        <v>3275</v>
      </c>
      <c r="C7" s="3011" t="s">
        <v>3359</v>
      </c>
      <c r="D7" s="3012">
        <v>1302</v>
      </c>
      <c r="E7" s="3013">
        <v>849</v>
      </c>
      <c r="F7" s="3014">
        <v>226.7</v>
      </c>
      <c r="H7" s="3020">
        <v>44489</v>
      </c>
      <c r="I7" s="3020">
        <v>45218</v>
      </c>
      <c r="J7" s="3006">
        <v>6157470</v>
      </c>
      <c r="K7" s="3006">
        <v>13.41</v>
      </c>
      <c r="L7" s="3006">
        <v>2</v>
      </c>
    </row>
    <row r="8" spans="2:12" ht="15" thickBot="1">
      <c r="B8" s="3010" t="s">
        <v>3276</v>
      </c>
      <c r="C8" s="3011" t="s">
        <v>3359</v>
      </c>
      <c r="D8" s="3012">
        <v>1303</v>
      </c>
      <c r="E8" s="3013">
        <v>910</v>
      </c>
      <c r="F8" s="3014">
        <v>265.7</v>
      </c>
      <c r="H8" s="3006"/>
      <c r="I8" s="3006"/>
      <c r="J8" s="3006"/>
      <c r="K8" s="3006"/>
      <c r="L8" s="3021">
        <f>SUM(L5:L7)</f>
        <v>3.42</v>
      </c>
    </row>
    <row r="9" spans="2:12" ht="15" thickBot="1">
      <c r="B9" s="3010" t="s">
        <v>3358</v>
      </c>
      <c r="C9" s="3011" t="s">
        <v>3359</v>
      </c>
      <c r="D9" s="3012">
        <v>1305</v>
      </c>
      <c r="E9" s="3013">
        <v>175</v>
      </c>
      <c r="F9" s="3014">
        <v>100.4</v>
      </c>
      <c r="I9" s="3021" t="s">
        <v>3370</v>
      </c>
      <c r="J9" s="3021">
        <f>ROUND(K6*365*E11*L6+K7*365*E11*L7,0)</f>
        <v>20413045</v>
      </c>
    </row>
    <row r="10" spans="2:12" ht="15" thickBot="1">
      <c r="B10" s="3010" t="s">
        <v>3277</v>
      </c>
      <c r="C10" s="3011" t="s">
        <v>3359</v>
      </c>
      <c r="D10" s="3012">
        <v>1306</v>
      </c>
      <c r="E10" s="3013">
        <v>41.3</v>
      </c>
      <c r="F10" s="3014">
        <v>18.39</v>
      </c>
      <c r="I10" s="3029" t="s">
        <v>3371</v>
      </c>
      <c r="J10" s="3022">
        <f>ROUND(J9/365/L8/E11,2)</f>
        <v>13</v>
      </c>
    </row>
    <row r="11" spans="2:12" ht="15" thickBot="1">
      <c r="B11" s="3010" t="s">
        <v>3278</v>
      </c>
      <c r="C11" s="3015" t="s">
        <v>3361</v>
      </c>
      <c r="D11" s="3025" t="s">
        <v>3362</v>
      </c>
      <c r="E11" s="3026">
        <v>1258</v>
      </c>
      <c r="F11" s="3014">
        <v>528</v>
      </c>
    </row>
    <row r="12" spans="2:12" ht="15" thickBot="1">
      <c r="B12" s="3016" t="s">
        <v>3279</v>
      </c>
      <c r="C12" s="3015"/>
      <c r="D12" s="3012"/>
      <c r="E12" s="3013">
        <f>SUM(E5:E11)</f>
        <v>6257.3</v>
      </c>
      <c r="F12" s="3014">
        <f>SUM(F5:F11)</f>
        <v>2000.1900000000003</v>
      </c>
    </row>
    <row r="13" spans="2:12" ht="15" thickBot="1">
      <c r="B13" s="3010"/>
      <c r="C13" s="3015"/>
      <c r="D13" s="3012"/>
      <c r="E13" s="3013"/>
      <c r="F13" s="3014"/>
    </row>
    <row r="14" spans="2:12" ht="15" thickBot="1">
      <c r="B14" s="3017" t="s">
        <v>3280</v>
      </c>
      <c r="C14" s="3015"/>
      <c r="D14" s="3012"/>
      <c r="E14" s="3013"/>
      <c r="F14" s="3014"/>
    </row>
    <row r="15" spans="2:12" ht="15" thickBot="1">
      <c r="B15" s="3010" t="s">
        <v>3281</v>
      </c>
      <c r="C15" s="3015" t="s">
        <v>3363</v>
      </c>
      <c r="D15" s="3012" t="s">
        <v>3364</v>
      </c>
      <c r="E15" s="3013">
        <v>20056.62</v>
      </c>
      <c r="F15" s="3014">
        <v>2626.56</v>
      </c>
      <c r="G15" s="2989" t="s">
        <v>3282</v>
      </c>
    </row>
    <row r="16" spans="2:12" ht="15" thickBot="1">
      <c r="B16" s="3016" t="s">
        <v>3284</v>
      </c>
      <c r="C16" s="3015"/>
      <c r="D16" s="3015"/>
      <c r="E16" s="3018" t="s">
        <v>3283</v>
      </c>
      <c r="F16" s="3019">
        <f>F12+F15</f>
        <v>4626.75</v>
      </c>
    </row>
    <row r="17" spans="1:6">
      <c r="E17" s="2988" t="s">
        <v>3283</v>
      </c>
      <c r="F17" s="2990" t="s">
        <v>3283</v>
      </c>
    </row>
    <row r="18" spans="1:6">
      <c r="F18" s="2990" t="s">
        <v>3283</v>
      </c>
    </row>
    <row r="19" spans="1:6" ht="24" customHeight="1">
      <c r="A19" s="3369" t="s">
        <v>3285</v>
      </c>
      <c r="B19" s="3369"/>
      <c r="C19" s="3369"/>
      <c r="D19" s="3369"/>
      <c r="E19" s="3369"/>
      <c r="F19" s="3369"/>
    </row>
    <row r="20" spans="1:6">
      <c r="A20" s="3370" t="s">
        <v>3286</v>
      </c>
      <c r="B20" s="3371" t="s">
        <v>3287</v>
      </c>
      <c r="C20" s="3372" t="s">
        <v>3288</v>
      </c>
      <c r="D20" s="3372" t="s">
        <v>3289</v>
      </c>
      <c r="E20" s="3372" t="s">
        <v>3290</v>
      </c>
      <c r="F20" s="3372" t="s">
        <v>3291</v>
      </c>
    </row>
    <row r="21" spans="1:6">
      <c r="A21" s="3370"/>
      <c r="B21" s="3371"/>
      <c r="C21" s="3372"/>
      <c r="D21" s="3372"/>
      <c r="E21" s="3372"/>
      <c r="F21" s="3372"/>
    </row>
    <row r="22" spans="1:6" ht="20.100000000000001" customHeight="1">
      <c r="A22" s="2991">
        <v>1</v>
      </c>
      <c r="B22" s="3003">
        <v>607</v>
      </c>
      <c r="C22" s="2994" t="s">
        <v>3293</v>
      </c>
      <c r="D22" s="2995" t="s">
        <v>3294</v>
      </c>
      <c r="E22" s="2995" t="s">
        <v>3295</v>
      </c>
      <c r="F22" s="2992">
        <v>18000</v>
      </c>
    </row>
    <row r="23" spans="1:6" ht="20.100000000000001" customHeight="1">
      <c r="A23" s="2991">
        <v>2</v>
      </c>
      <c r="B23" s="3003">
        <v>207</v>
      </c>
      <c r="C23" s="2994" t="s">
        <v>3296</v>
      </c>
      <c r="D23" s="2993" t="s">
        <v>3297</v>
      </c>
      <c r="E23" s="2993" t="s">
        <v>3298</v>
      </c>
      <c r="F23" s="2992">
        <v>19000</v>
      </c>
    </row>
    <row r="24" spans="1:6" ht="20.100000000000001" customHeight="1">
      <c r="A24" s="2991">
        <v>3</v>
      </c>
      <c r="B24" s="3003">
        <v>501</v>
      </c>
      <c r="C24" s="2994" t="s">
        <v>3301</v>
      </c>
      <c r="D24" s="2995" t="s">
        <v>3299</v>
      </c>
      <c r="E24" s="2995" t="s">
        <v>3300</v>
      </c>
      <c r="F24" s="2992">
        <v>26250</v>
      </c>
    </row>
    <row r="25" spans="1:6" ht="20.100000000000001" customHeight="1">
      <c r="A25" s="2991">
        <v>4</v>
      </c>
      <c r="B25" s="3003">
        <v>502</v>
      </c>
      <c r="C25" s="2994" t="s">
        <v>3302</v>
      </c>
      <c r="D25" s="2995" t="s">
        <v>3303</v>
      </c>
      <c r="E25" s="2995" t="s">
        <v>3304</v>
      </c>
      <c r="F25" s="2992">
        <v>19500</v>
      </c>
    </row>
    <row r="26" spans="1:6" ht="20.100000000000001" customHeight="1">
      <c r="A26" s="2991">
        <v>5</v>
      </c>
      <c r="B26" s="3003">
        <v>505</v>
      </c>
      <c r="C26" s="2994" t="s">
        <v>3305</v>
      </c>
      <c r="D26" s="2995" t="s">
        <v>3306</v>
      </c>
      <c r="E26" s="2995" t="s">
        <v>3307</v>
      </c>
      <c r="F26" s="2992">
        <v>19000</v>
      </c>
    </row>
    <row r="27" spans="1:6" ht="20.100000000000001" customHeight="1">
      <c r="A27" s="2991">
        <v>6</v>
      </c>
      <c r="B27" s="3003">
        <v>1105</v>
      </c>
      <c r="C27" s="2994" t="s">
        <v>3309</v>
      </c>
      <c r="D27" s="2995" t="s">
        <v>3310</v>
      </c>
      <c r="E27" s="2995" t="s">
        <v>3311</v>
      </c>
      <c r="F27" s="2992">
        <v>20000</v>
      </c>
    </row>
    <row r="28" spans="1:6" ht="20.100000000000001" customHeight="1">
      <c r="A28" s="2991">
        <v>7</v>
      </c>
      <c r="B28" s="3003">
        <v>1202</v>
      </c>
      <c r="C28" s="2994" t="s">
        <v>3312</v>
      </c>
      <c r="D28" s="2995" t="s">
        <v>3313</v>
      </c>
      <c r="E28" s="2997" t="s">
        <v>3314</v>
      </c>
      <c r="F28" s="2992">
        <v>19500</v>
      </c>
    </row>
    <row r="29" spans="1:6" ht="20.100000000000001" customHeight="1">
      <c r="A29" s="2991">
        <v>8</v>
      </c>
      <c r="B29" s="3004">
        <v>2507</v>
      </c>
      <c r="C29" s="2997" t="s">
        <v>3315</v>
      </c>
      <c r="D29" s="3001" t="s">
        <v>3316</v>
      </c>
      <c r="E29" s="3000" t="s">
        <v>3292</v>
      </c>
      <c r="F29" s="2992">
        <v>27000</v>
      </c>
    </row>
    <row r="30" spans="1:6" ht="20.100000000000001" customHeight="1">
      <c r="A30" s="2991">
        <v>9</v>
      </c>
      <c r="B30" s="3003">
        <v>1505</v>
      </c>
      <c r="C30" s="2994" t="s">
        <v>3317</v>
      </c>
      <c r="D30" s="2995" t="s">
        <v>3318</v>
      </c>
      <c r="E30" s="3001" t="s">
        <v>3319</v>
      </c>
      <c r="F30" s="2992">
        <v>19000</v>
      </c>
    </row>
    <row r="31" spans="1:6" ht="20.100000000000001" customHeight="1">
      <c r="A31" s="2991">
        <v>10</v>
      </c>
      <c r="B31" s="3003">
        <v>1607</v>
      </c>
      <c r="C31" s="2998" t="s">
        <v>3320</v>
      </c>
      <c r="D31" s="2995" t="s">
        <v>3321</v>
      </c>
      <c r="E31" s="2995" t="s">
        <v>3308</v>
      </c>
      <c r="F31" s="2996">
        <v>19500</v>
      </c>
    </row>
    <row r="32" spans="1:6" ht="20.100000000000001" customHeight="1">
      <c r="A32" s="2991">
        <v>11</v>
      </c>
      <c r="B32" s="3005">
        <v>2007</v>
      </c>
      <c r="C32" s="2994" t="s">
        <v>3322</v>
      </c>
      <c r="D32" s="2997" t="s">
        <v>3323</v>
      </c>
      <c r="E32" s="2997" t="s">
        <v>3324</v>
      </c>
      <c r="F32" s="2992">
        <v>20500</v>
      </c>
    </row>
    <row r="33" spans="1:8" ht="20.100000000000001" customHeight="1">
      <c r="A33" s="2991">
        <v>12</v>
      </c>
      <c r="B33" s="3003">
        <v>1707</v>
      </c>
      <c r="C33" s="2994" t="s">
        <v>3326</v>
      </c>
      <c r="D33" s="2995" t="s">
        <v>3327</v>
      </c>
      <c r="E33" s="2995" t="s">
        <v>3328</v>
      </c>
      <c r="F33" s="2992">
        <v>23000</v>
      </c>
    </row>
    <row r="34" spans="1:8" ht="20.100000000000001" customHeight="1">
      <c r="A34" s="2991">
        <v>13</v>
      </c>
      <c r="B34" s="3003">
        <v>2305</v>
      </c>
      <c r="C34" s="2994" t="s">
        <v>3329</v>
      </c>
      <c r="D34" s="2997" t="s">
        <v>3330</v>
      </c>
      <c r="E34" s="2997" t="s">
        <v>3331</v>
      </c>
      <c r="F34" s="2992">
        <v>20000</v>
      </c>
    </row>
    <row r="35" spans="1:8" ht="20.100000000000001" customHeight="1">
      <c r="A35" s="2991">
        <v>14</v>
      </c>
      <c r="B35" s="3003">
        <v>705</v>
      </c>
      <c r="C35" s="2994" t="s">
        <v>3305</v>
      </c>
      <c r="D35" s="2995" t="s">
        <v>3332</v>
      </c>
      <c r="E35" s="2995" t="s">
        <v>3333</v>
      </c>
      <c r="F35" s="2992">
        <v>19000</v>
      </c>
    </row>
    <row r="36" spans="1:8" ht="20.100000000000001" customHeight="1">
      <c r="A36" s="2991">
        <v>15</v>
      </c>
      <c r="B36" s="3003">
        <v>702</v>
      </c>
      <c r="C36" s="2994" t="s">
        <v>3334</v>
      </c>
      <c r="D36" s="2997" t="s">
        <v>3335</v>
      </c>
      <c r="E36" s="2997" t="s">
        <v>3336</v>
      </c>
      <c r="F36" s="2992">
        <v>20000</v>
      </c>
    </row>
    <row r="37" spans="1:8" ht="20.100000000000001" customHeight="1">
      <c r="A37" s="2991">
        <v>16</v>
      </c>
      <c r="B37" s="3004">
        <v>2605</v>
      </c>
      <c r="C37" s="2999" t="s">
        <v>3325</v>
      </c>
      <c r="D37" s="3002" t="s">
        <v>3337</v>
      </c>
      <c r="E37" s="2997" t="s">
        <v>3338</v>
      </c>
      <c r="F37" s="2992">
        <v>31000</v>
      </c>
    </row>
    <row r="38" spans="1:8" ht="20.100000000000001" customHeight="1">
      <c r="A38" s="2991">
        <v>17</v>
      </c>
      <c r="B38" s="3004">
        <v>2607</v>
      </c>
      <c r="C38" s="2999" t="s">
        <v>3325</v>
      </c>
      <c r="D38" s="3002" t="s">
        <v>3337</v>
      </c>
      <c r="E38" s="2997" t="s">
        <v>3338</v>
      </c>
      <c r="F38" s="2992">
        <v>31000</v>
      </c>
    </row>
    <row r="39" spans="1:8" ht="20.100000000000001" customHeight="1">
      <c r="A39" s="2991">
        <v>18</v>
      </c>
      <c r="B39" s="3004">
        <v>2601</v>
      </c>
      <c r="C39" s="2997" t="s">
        <v>3339</v>
      </c>
      <c r="D39" s="2997" t="s">
        <v>3340</v>
      </c>
      <c r="E39" s="2997" t="s">
        <v>3341</v>
      </c>
      <c r="F39" s="2992">
        <v>19000</v>
      </c>
    </row>
    <row r="40" spans="1:8" ht="20.100000000000001" customHeight="1">
      <c r="A40" s="2991">
        <v>19</v>
      </c>
      <c r="B40" s="3004">
        <v>2602</v>
      </c>
      <c r="C40" s="2997" t="s">
        <v>3342</v>
      </c>
      <c r="D40" s="2997" t="s">
        <v>3343</v>
      </c>
      <c r="E40" s="2997" t="s">
        <v>3344</v>
      </c>
      <c r="F40" s="2992">
        <v>21500</v>
      </c>
    </row>
    <row r="41" spans="1:8" ht="20.100000000000001" customHeight="1">
      <c r="A41" s="2991">
        <v>20</v>
      </c>
      <c r="B41" s="3004">
        <v>2603</v>
      </c>
      <c r="C41" s="2997" t="s">
        <v>3342</v>
      </c>
      <c r="D41" s="2997" t="s">
        <v>3343</v>
      </c>
      <c r="E41" s="2997" t="s">
        <v>3344</v>
      </c>
      <c r="F41" s="2992">
        <v>21500</v>
      </c>
    </row>
    <row r="42" spans="1:8" ht="20.100000000000001" customHeight="1">
      <c r="A42" s="2991">
        <v>21</v>
      </c>
      <c r="B42" s="3004">
        <v>2606</v>
      </c>
      <c r="C42" s="2997" t="s">
        <v>3345</v>
      </c>
      <c r="D42" s="2997" t="s">
        <v>3346</v>
      </c>
      <c r="E42" s="2997" t="s">
        <v>3347</v>
      </c>
      <c r="F42" s="2992">
        <v>24000</v>
      </c>
      <c r="H42" s="3006" t="s">
        <v>3348</v>
      </c>
    </row>
    <row r="43" spans="1:8" ht="20.100000000000001" customHeight="1">
      <c r="A43" s="2993"/>
      <c r="B43" s="2993"/>
      <c r="C43" s="2993"/>
      <c r="D43" s="2993"/>
      <c r="E43" s="2993"/>
      <c r="F43" s="3027">
        <f>SUM(F22:F42)</f>
        <v>457250</v>
      </c>
      <c r="H43" s="3021">
        <f>抵押物清单!K37-(148.52+148.57+148.52+148.57+162.13+148.57+148.52+162.13+148.57+162.13)</f>
        <v>3187.4200000000014</v>
      </c>
    </row>
    <row r="45" spans="1:8">
      <c r="E45" s="3029" t="s">
        <v>3372</v>
      </c>
      <c r="F45" s="3028">
        <f>ROUND(F43/H43/30,2)</f>
        <v>4.78</v>
      </c>
    </row>
  </sheetData>
  <mergeCells count="8">
    <mergeCell ref="C3:D3"/>
    <mergeCell ref="A19:F19"/>
    <mergeCell ref="A20:A21"/>
    <mergeCell ref="B20:B21"/>
    <mergeCell ref="C20:C21"/>
    <mergeCell ref="D20:D21"/>
    <mergeCell ref="E20:E21"/>
    <mergeCell ref="F20:F21"/>
  </mergeCells>
  <phoneticPr fontId="143"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1635</v>
      </c>
      <c r="B2" s="3045" t="s">
        <v>1636</v>
      </c>
      <c r="C2" s="3045" t="s">
        <v>1637</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46"/>
      <c r="B3" s="3046"/>
      <c r="C3" s="3046"/>
      <c r="D3" s="1042" t="s">
        <v>1632</v>
      </c>
      <c r="E3" s="1042" t="s">
        <v>1638</v>
      </c>
      <c r="F3" s="1042" t="s">
        <v>1632</v>
      </c>
      <c r="G3" s="1042" t="s">
        <v>1633</v>
      </c>
      <c r="H3" s="1042" t="s">
        <v>1632</v>
      </c>
      <c r="I3" s="1042" t="s">
        <v>1633</v>
      </c>
    </row>
    <row r="4" spans="1:9" ht="75">
      <c r="A4" s="1970" t="str">
        <f>项目基本情况!S2</f>
        <v>北京市朝阳区东三环中路乙16号院4号楼2层207号等31套住宅用房及朝阳区东三环中路乙16号院5号楼1至2层101号办公用房房地产</v>
      </c>
      <c r="B4" s="1042">
        <f>项目基本情况!C17</f>
        <v>1191.7</v>
      </c>
      <c r="C4" s="1042">
        <f>项目基本情况!C18</f>
        <v>1048.1400000000001</v>
      </c>
      <c r="D4" s="1042" t="e">
        <f ca="1">结果表!D118</f>
        <v>#REF!</v>
      </c>
      <c r="E4" s="1042" t="e">
        <f ca="1">结果表!E118</f>
        <v>#REF!</v>
      </c>
      <c r="F4" s="1042" t="e">
        <f ca="1">结果表!F118</f>
        <v>#REF!</v>
      </c>
      <c r="G4" s="1042" t="e">
        <f ca="1">结果表!G118</f>
        <v>#REF!</v>
      </c>
      <c r="H4" s="1042">
        <f ca="1">结果表!H118</f>
        <v>909</v>
      </c>
      <c r="I4" s="1042">
        <f ca="1">结果表!I118</f>
        <v>61183</v>
      </c>
    </row>
    <row r="5" spans="1:9" ht="30" customHeight="1">
      <c r="A5" s="3046" t="s">
        <v>1634</v>
      </c>
      <c r="B5" s="3046"/>
      <c r="C5" s="3046"/>
      <c r="D5" s="3047" t="e">
        <f ca="1">结果表!D119</f>
        <v>#REF!</v>
      </c>
      <c r="E5" s="3047"/>
      <c r="F5" s="3047" t="e">
        <f ca="1">结果表!F119</f>
        <v>#REF!</v>
      </c>
      <c r="G5" s="3047"/>
      <c r="H5" s="3047" t="str">
        <f ca="1">结果表!H119</f>
        <v>玖佰零玖万元整</v>
      </c>
      <c r="I5" s="3047"/>
    </row>
    <row r="6" spans="1:9" ht="15.75">
      <c r="A6" s="3048" t="str">
        <f>结果表!A120</f>
        <v>估价师知悉的法定优先受偿款</v>
      </c>
      <c r="B6" s="3048"/>
      <c r="C6" s="3048"/>
      <c r="D6" s="3048">
        <f>结果表!D120</f>
        <v>0</v>
      </c>
      <c r="E6" s="3048"/>
      <c r="F6" s="3048"/>
      <c r="G6" s="3048"/>
      <c r="H6" s="3048"/>
      <c r="I6" s="3048"/>
    </row>
    <row r="7" spans="1:9" ht="15">
      <c r="A7" s="3046" t="s">
        <v>1634</v>
      </c>
      <c r="B7" s="3046"/>
      <c r="C7" s="3046"/>
      <c r="D7" s="3049" t="str">
        <f>结果表!D121</f>
        <v>零元整</v>
      </c>
      <c r="E7" s="3050"/>
      <c r="F7" s="3050"/>
      <c r="G7" s="3050"/>
      <c r="H7" s="3050"/>
      <c r="I7" s="3051"/>
    </row>
    <row r="8" spans="1:9" ht="15.75">
      <c r="A8" s="3048" t="str">
        <f>结果表!A122</f>
        <v>房地产抵押价值</v>
      </c>
      <c r="B8" s="3048"/>
      <c r="C8" s="3048"/>
      <c r="D8" s="3048">
        <f ca="1">结果表!D122</f>
        <v>909</v>
      </c>
      <c r="E8" s="3048"/>
      <c r="F8" s="3048"/>
      <c r="G8" s="3048"/>
      <c r="H8" s="3048"/>
      <c r="I8" s="3048"/>
    </row>
    <row r="9" spans="1:9" ht="15">
      <c r="A9" s="3046" t="s">
        <v>1634</v>
      </c>
      <c r="B9" s="3046"/>
      <c r="C9" s="3046"/>
      <c r="D9" s="3047" t="str">
        <f ca="1">结果表!D123</f>
        <v>玖佰零玖万元整</v>
      </c>
      <c r="E9" s="3047"/>
      <c r="F9" s="3047"/>
      <c r="G9" s="3047"/>
      <c r="H9" s="3047"/>
      <c r="I9" s="3047"/>
    </row>
    <row r="10" spans="1:9" ht="15.75">
      <c r="A10" s="3048" t="str">
        <f>结果表!A124</f>
        <v/>
      </c>
      <c r="B10" s="3048"/>
      <c r="C10" s="3048"/>
      <c r="D10" s="3048" t="str">
        <f>结果表!D124</f>
        <v>——</v>
      </c>
      <c r="E10" s="3048"/>
      <c r="F10" s="3048"/>
      <c r="G10" s="3048"/>
      <c r="H10" s="3048"/>
      <c r="I10" s="3048"/>
    </row>
    <row r="11" spans="1:9" ht="15">
      <c r="A11" s="3046" t="s">
        <v>1634</v>
      </c>
      <c r="B11" s="3046"/>
      <c r="C11" s="3046"/>
      <c r="D11" s="3047" t="e">
        <f>结果表!D125</f>
        <v>#VALUE!</v>
      </c>
      <c r="E11" s="3047"/>
      <c r="F11" s="3047"/>
      <c r="G11" s="3047"/>
      <c r="H11" s="3047"/>
      <c r="I11" s="3047"/>
    </row>
    <row r="12" spans="1:9" ht="15.75">
      <c r="A12" s="3048" t="str">
        <f>结果表!A126</f>
        <v/>
      </c>
      <c r="B12" s="3048"/>
      <c r="C12" s="3048"/>
      <c r="D12" s="3048" t="str">
        <f>结果表!D126</f>
        <v>——</v>
      </c>
      <c r="E12" s="3048"/>
      <c r="F12" s="3048"/>
      <c r="G12" s="3048"/>
      <c r="H12" s="3048"/>
      <c r="I12" s="3048"/>
    </row>
    <row r="13" spans="1:9" ht="15.75" thickBot="1">
      <c r="A13" s="3052" t="s">
        <v>1634</v>
      </c>
      <c r="B13" s="3052"/>
      <c r="C13" s="3052"/>
      <c r="D13" s="3053" t="e">
        <f>结果表!D127</f>
        <v>#VALUE!</v>
      </c>
      <c r="E13" s="3053"/>
      <c r="F13" s="3053"/>
      <c r="G13" s="3053"/>
      <c r="H13" s="3053"/>
      <c r="I13" s="3053"/>
    </row>
    <row r="14" spans="1:9" ht="15" thickTop="1">
      <c r="A14" s="3054" t="s">
        <v>1639</v>
      </c>
      <c r="B14" s="3054"/>
      <c r="C14" s="3054"/>
      <c r="D14" s="3054"/>
      <c r="E14" s="3054"/>
      <c r="F14" s="3054"/>
      <c r="G14" s="3054"/>
      <c r="H14" s="3054"/>
      <c r="I14" s="3054"/>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55" t="s">
        <v>1656</v>
      </c>
      <c r="B1" s="3055"/>
      <c r="C1" s="3055"/>
      <c r="D1" s="3055"/>
    </row>
    <row r="2" spans="1:4" ht="18">
      <c r="A2" s="3056" t="s">
        <v>1640</v>
      </c>
      <c r="B2" s="3056"/>
      <c r="C2" s="3056"/>
      <c r="D2" s="3056"/>
    </row>
    <row r="3" spans="1:4" ht="18.75">
      <c r="A3" s="1974" t="s">
        <v>1641</v>
      </c>
      <c r="B3" s="1974" t="s">
        <v>1642</v>
      </c>
      <c r="C3" s="1974" t="s">
        <v>1643</v>
      </c>
      <c r="D3" s="1974" t="s">
        <v>1644</v>
      </c>
    </row>
    <row r="4" spans="1:4" ht="56.25" customHeight="1">
      <c r="A4" s="1975" t="str">
        <f>项目基本情况!B4</f>
        <v>吴薇</v>
      </c>
      <c r="B4" s="1976">
        <f ca="1">项目基本情况!C4</f>
        <v>1419970001</v>
      </c>
      <c r="C4" s="1977"/>
      <c r="D4" s="1978" t="s">
        <v>1645</v>
      </c>
    </row>
    <row r="5" spans="1:4" ht="56.25" customHeight="1">
      <c r="A5" s="1975" t="str">
        <f>项目基本情况!D4</f>
        <v>郑燚</v>
      </c>
      <c r="B5" s="1976">
        <f ca="1">项目基本情况!E4</f>
        <v>1120070131</v>
      </c>
      <c r="C5" s="1979"/>
      <c r="D5" s="1978" t="s">
        <v>1645</v>
      </c>
    </row>
    <row r="6" spans="1:4" ht="18">
      <c r="A6" s="3056" t="s">
        <v>1646</v>
      </c>
      <c r="B6" s="3056"/>
      <c r="C6" s="3056"/>
      <c r="D6" s="3056"/>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3057" t="s">
        <v>1649</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8" t="str">
        <f>IF(项目基本情况!B8="抵押","4.本次评估估价师所知悉的法定优先受偿款情况说明如下：","——")</f>
        <v>4.本次评估估价师所知悉的法定优先受偿款情况说明如下：</v>
      </c>
      <c r="B14" s="3059"/>
      <c r="C14" s="3059"/>
      <c r="D14" s="3059"/>
    </row>
    <row r="15" spans="1:4" ht="42" customHeight="1">
      <c r="A15" s="305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8"/>
      <c r="C15" s="3058"/>
      <c r="D15" s="3058"/>
    </row>
    <row r="16" spans="1:4" ht="30" customHeight="1">
      <c r="A16" s="3061" t="s">
        <v>1650</v>
      </c>
      <c r="B16" s="3061"/>
      <c r="C16" s="3061"/>
      <c r="D16" s="3061"/>
    </row>
    <row r="17" spans="1:4" ht="144" customHeight="1">
      <c r="A17" s="3061" t="s">
        <v>1651</v>
      </c>
      <c r="B17" s="3061"/>
      <c r="C17" s="3061"/>
      <c r="D17" s="3061"/>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2"/>
      <c r="C21" s="3062"/>
      <c r="D21" s="3062"/>
    </row>
    <row r="22" spans="1:4" ht="18.75" customHeight="1">
      <c r="A22" s="3063" t="s">
        <v>1652</v>
      </c>
      <c r="B22" s="3063"/>
      <c r="C22" s="3063"/>
      <c r="D22" s="3063"/>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3060">
        <v>42551</v>
      </c>
      <c r="D31" s="30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3069" t="s">
        <v>1663</v>
      </c>
      <c r="B15" s="3064" t="s">
        <v>136</v>
      </c>
      <c r="C15" s="3065"/>
    </row>
    <row r="16" spans="1:7" ht="13.5">
      <c r="A16" s="3070"/>
      <c r="B16" s="3064" t="s">
        <v>69</v>
      </c>
      <c r="C16" s="3065"/>
    </row>
    <row r="17" spans="1:3" ht="13.5">
      <c r="A17" s="3070"/>
      <c r="B17" s="3067" t="s">
        <v>1664</v>
      </c>
      <c r="C17" s="1997" t="s">
        <v>1663</v>
      </c>
    </row>
    <row r="18" spans="1:3" ht="13.5">
      <c r="A18" s="3070"/>
      <c r="B18" s="3067"/>
      <c r="C18" s="1997" t="s">
        <v>1665</v>
      </c>
    </row>
    <row r="19" spans="1:3" ht="13.5">
      <c r="A19" s="3070"/>
      <c r="B19" s="3067"/>
      <c r="C19" s="1997" t="s">
        <v>1666</v>
      </c>
    </row>
    <row r="20" spans="1:3" ht="13.5">
      <c r="A20" s="3071"/>
      <c r="B20" s="3066" t="s">
        <v>1667</v>
      </c>
      <c r="C20" s="3065"/>
    </row>
    <row r="21" spans="1:3" ht="13.5">
      <c r="A21" s="1998" t="s">
        <v>1668</v>
      </c>
      <c r="B21" s="1999"/>
      <c r="C21" s="2000"/>
    </row>
    <row r="22" spans="1:3" ht="13.5">
      <c r="A22" s="3068" t="s">
        <v>1669</v>
      </c>
      <c r="B22" s="3066" t="s">
        <v>1670</v>
      </c>
      <c r="C22" s="3065"/>
    </row>
    <row r="23" spans="1:3" ht="13.5">
      <c r="A23" s="3068"/>
      <c r="B23" s="3066" t="s">
        <v>1671</v>
      </c>
      <c r="C23" s="3065"/>
    </row>
    <row r="24" spans="1:3" ht="13.5">
      <c r="A24" s="3068"/>
      <c r="B24" s="3066" t="s">
        <v>1672</v>
      </c>
      <c r="C24" s="3065"/>
    </row>
    <row r="25" spans="1:3" ht="13.5">
      <c r="A25" s="3068"/>
      <c r="B25" s="3067" t="s">
        <v>1673</v>
      </c>
      <c r="C25" s="1997" t="s">
        <v>1674</v>
      </c>
    </row>
    <row r="26" spans="1:3" ht="13.5">
      <c r="A26" s="3068"/>
      <c r="B26" s="3067"/>
      <c r="C26" s="1997" t="s">
        <v>1675</v>
      </c>
    </row>
    <row r="27" spans="1:3" ht="13.5">
      <c r="A27" s="3068"/>
      <c r="B27" s="3067"/>
      <c r="C27" s="1997" t="s">
        <v>1676</v>
      </c>
    </row>
    <row r="28" spans="1:3" ht="13.5">
      <c r="A28" s="3068"/>
      <c r="B28" s="3067"/>
      <c r="C28" s="1997" t="s">
        <v>1677</v>
      </c>
    </row>
    <row r="29" spans="1:3" ht="13.5">
      <c r="A29" s="3068"/>
      <c r="B29" s="3067"/>
      <c r="C29" s="1997" t="s">
        <v>1678</v>
      </c>
    </row>
    <row r="30" spans="1:3" ht="13.5">
      <c r="A30" s="3068"/>
      <c r="B30" s="3067"/>
      <c r="C30" s="1997" t="s">
        <v>1679</v>
      </c>
    </row>
    <row r="31" spans="1:3" ht="13.5">
      <c r="A31" s="3068"/>
      <c r="B31" s="3067"/>
      <c r="C31" s="1997" t="s">
        <v>1680</v>
      </c>
    </row>
    <row r="32" spans="1:3" ht="13.5">
      <c r="A32" s="3068"/>
      <c r="B32" s="3067"/>
      <c r="C32" s="1997" t="s">
        <v>1681</v>
      </c>
    </row>
    <row r="33" spans="1:3" ht="13.5">
      <c r="A33" s="3068"/>
      <c r="B33" s="3067"/>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43976</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922">
        <v>44876</v>
      </c>
      <c r="D4" s="2346" t="s">
        <v>832</v>
      </c>
      <c r="E4" s="1020">
        <f ca="1">IF(F4&lt;B2,"已过期",96010014)</f>
        <v>96010014</v>
      </c>
      <c r="F4" s="1028">
        <v>47118</v>
      </c>
    </row>
    <row r="5" spans="1:6" ht="24" customHeight="1">
      <c r="A5" s="1700"/>
      <c r="B5" s="1020"/>
      <c r="C5" s="2343"/>
      <c r="D5" s="2346"/>
      <c r="E5" s="1020"/>
      <c r="F5" s="1028"/>
    </row>
    <row r="6" spans="1:6" ht="24" customHeight="1">
      <c r="A6" s="1700" t="s">
        <v>833</v>
      </c>
      <c r="B6" s="1020">
        <f ca="1">IF(C6&lt;B2,"已过期",1119970111)</f>
        <v>1119970111</v>
      </c>
      <c r="C6" s="2343">
        <v>44876</v>
      </c>
      <c r="D6" s="2346" t="s">
        <v>833</v>
      </c>
      <c r="E6" s="1020">
        <f ca="1">IF(F6&lt;B2,"已过期",94010078)</f>
        <v>94010078</v>
      </c>
      <c r="F6" s="1028">
        <v>46387</v>
      </c>
    </row>
    <row r="7" spans="1:6" ht="24" customHeight="1">
      <c r="A7" s="1700" t="s">
        <v>834</v>
      </c>
      <c r="B7" s="1020">
        <f ca="1">IF(C7&lt;B2,"已过期",1120050019)</f>
        <v>1120050019</v>
      </c>
      <c r="C7" s="2343">
        <v>44395</v>
      </c>
      <c r="D7" s="2346" t="s">
        <v>834</v>
      </c>
      <c r="E7" s="1020">
        <f ca="1">IF(F7&lt;B2,"已过期",2002110030)</f>
        <v>2002110030</v>
      </c>
      <c r="F7" s="1028">
        <v>46387</v>
      </c>
    </row>
    <row r="8" spans="1:6" ht="24" customHeight="1">
      <c r="A8" s="1700" t="s">
        <v>835</v>
      </c>
      <c r="B8" s="1020">
        <f ca="1">IF(C8&lt;B2,"已过期",1120000080)</f>
        <v>1120000080</v>
      </c>
      <c r="C8" s="2922">
        <v>44876</v>
      </c>
      <c r="D8" s="2346" t="s">
        <v>835</v>
      </c>
      <c r="E8" s="1020">
        <f ca="1">IF(F8&lt;B2,"已过期",2000110082)</f>
        <v>2000110082</v>
      </c>
      <c r="F8" s="1028">
        <v>46387</v>
      </c>
    </row>
    <row r="9" spans="1:6" ht="24" customHeight="1">
      <c r="A9" s="1700" t="s">
        <v>836</v>
      </c>
      <c r="B9" s="1020">
        <f ca="1">IF(C9&lt;B2,"已过期",1419970001)</f>
        <v>1419970001</v>
      </c>
      <c r="C9" s="2922">
        <v>44899</v>
      </c>
      <c r="D9" s="2346" t="s">
        <v>836</v>
      </c>
      <c r="E9" s="1020">
        <f ca="1">IF(F9&lt;B2,"已过期",2002110125)</f>
        <v>2002110125</v>
      </c>
      <c r="F9" s="1028">
        <v>47118</v>
      </c>
    </row>
    <row r="10" spans="1:6" ht="24" customHeight="1">
      <c r="A10" s="1700" t="s">
        <v>837</v>
      </c>
      <c r="B10" s="1020">
        <f ca="1">IF(C10&lt;B2,"已过期",1120060040)</f>
        <v>1120060040</v>
      </c>
      <c r="C10" s="2343">
        <v>44554</v>
      </c>
      <c r="D10" s="2346" t="s">
        <v>837</v>
      </c>
      <c r="E10" s="1020">
        <f ca="1">IF(F10&lt;B2,"已过期",2004110096)</f>
        <v>2004110096</v>
      </c>
      <c r="F10" s="1028">
        <v>47118</v>
      </c>
    </row>
    <row r="11" spans="1:6" ht="24" customHeight="1">
      <c r="A11" s="1700" t="s">
        <v>838</v>
      </c>
      <c r="B11" s="1020">
        <f ca="1">IF(C11&lt;B2,"已过期",1120100036)</f>
        <v>1120100036</v>
      </c>
      <c r="C11" s="2343">
        <v>44675</v>
      </c>
      <c r="D11" s="2346" t="s">
        <v>838</v>
      </c>
      <c r="E11" s="1020">
        <f ca="1">IF(F11&lt;B2,"已过期",2010110070)</f>
        <v>2010110070</v>
      </c>
      <c r="F11" s="1028">
        <v>47907</v>
      </c>
    </row>
    <row r="12" spans="1:6" ht="24" customHeight="1">
      <c r="A12" s="1700"/>
      <c r="B12" s="1020"/>
      <c r="C12" s="2922"/>
      <c r="D12" s="1700"/>
      <c r="E12" s="1020"/>
      <c r="F12" s="1028"/>
    </row>
    <row r="13" spans="1:6" ht="24" customHeight="1">
      <c r="A13" s="1700" t="s">
        <v>839</v>
      </c>
      <c r="B13" s="1020">
        <f ca="1">IF(C13&lt;B2,"已过期",1120070131)</f>
        <v>1120070131</v>
      </c>
      <c r="C13" s="2343">
        <v>44849</v>
      </c>
      <c r="D13" s="2346" t="s">
        <v>839</v>
      </c>
      <c r="E13" s="1020">
        <f ca="1">IF(F13&lt;B2,"已过期",2014110011)</f>
        <v>2014110011</v>
      </c>
      <c r="F13" s="1028">
        <v>49302</v>
      </c>
    </row>
    <row r="14" spans="1:6" ht="24" customHeight="1">
      <c r="A14" s="1700" t="s">
        <v>3034</v>
      </c>
      <c r="B14" s="1020">
        <f ca="1">IF(C14&lt;B2,"已过期",1120040230)</f>
        <v>1120040230</v>
      </c>
      <c r="C14" s="2343">
        <v>44864</v>
      </c>
      <c r="D14" s="2346" t="s">
        <v>3034</v>
      </c>
      <c r="E14" s="1020">
        <f ca="1">IF(F14&lt;B2,"已过期",98030020)</f>
        <v>98030020</v>
      </c>
      <c r="F14" s="1028">
        <v>47118</v>
      </c>
    </row>
    <row r="15" spans="1:6" ht="24" customHeight="1">
      <c r="A15" s="1701"/>
      <c r="B15" s="1020"/>
      <c r="C15" s="2343"/>
      <c r="D15" s="2347"/>
      <c r="E15" s="1020"/>
      <c r="F15" s="1021"/>
    </row>
    <row r="16" spans="1:6" ht="24" customHeight="1">
      <c r="A16" s="1700"/>
      <c r="B16" s="1020"/>
      <c r="C16" s="2922"/>
      <c r="D16" s="2346"/>
      <c r="E16" s="1020"/>
      <c r="F16" s="1028"/>
    </row>
    <row r="17" spans="1:7" ht="24" customHeight="1">
      <c r="A17" s="1700"/>
      <c r="B17" s="1020"/>
      <c r="C17" s="2343"/>
      <c r="D17" s="2346"/>
      <c r="E17" s="1020"/>
      <c r="F17" s="1028"/>
    </row>
    <row r="18" spans="1:7" ht="24" customHeight="1">
      <c r="A18" s="1700" t="s">
        <v>3041</v>
      </c>
      <c r="B18" s="1020">
        <v>1120190079</v>
      </c>
      <c r="C18" s="2922">
        <v>44826</v>
      </c>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840</v>
      </c>
      <c r="E21" s="1020">
        <f ca="1">IF(F21&lt;B2,"已过期",2011110090)</f>
        <v>2011110090</v>
      </c>
      <c r="F21" s="1028">
        <v>48302</v>
      </c>
    </row>
    <row r="22" spans="1:7" ht="24" customHeight="1">
      <c r="A22" s="1700" t="s">
        <v>841</v>
      </c>
      <c r="B22" s="1020">
        <f ca="1">IF(C22&lt;B2,"已过期",1120020033)</f>
        <v>1120020033</v>
      </c>
      <c r="C22" s="2922">
        <v>44339</v>
      </c>
      <c r="D22" s="2346" t="s">
        <v>841</v>
      </c>
      <c r="E22" s="1020">
        <f ca="1">IF(F22&lt;B2,"已过期",2000110137)</f>
        <v>2000110137</v>
      </c>
      <c r="F22" s="1028">
        <v>46387</v>
      </c>
    </row>
    <row r="23" spans="1:7" ht="24" customHeight="1">
      <c r="A23" s="1700" t="s">
        <v>3043</v>
      </c>
      <c r="B23" s="1020">
        <v>1119980106</v>
      </c>
      <c r="C23" s="2343">
        <v>43916</v>
      </c>
      <c r="D23" s="1700" t="s">
        <v>3046</v>
      </c>
      <c r="E23" s="1020">
        <v>96010063</v>
      </c>
      <c r="F23" s="1028">
        <v>47118</v>
      </c>
    </row>
    <row r="24" spans="1:7" s="1022" customFormat="1" ht="24" customHeight="1">
      <c r="A24" s="1701" t="s">
        <v>1328</v>
      </c>
      <c r="B24" s="1701" t="s">
        <v>1328</v>
      </c>
      <c r="C24" s="2344" t="s">
        <v>1328</v>
      </c>
      <c r="D24" s="2347" t="s">
        <v>1328</v>
      </c>
      <c r="E24" s="1701" t="s">
        <v>1328</v>
      </c>
      <c r="F24" s="1701" t="s">
        <v>1328</v>
      </c>
    </row>
    <row r="25" spans="1:7" ht="24" customHeight="1">
      <c r="A25" s="3072" t="s">
        <v>842</v>
      </c>
      <c r="B25" s="3072"/>
      <c r="C25" s="3072"/>
      <c r="D25" s="3072"/>
      <c r="E25" s="3072"/>
      <c r="F25" s="3072"/>
      <c r="G25" s="3072"/>
    </row>
    <row r="26" spans="1:7" s="1023" customFormat="1" ht="24" customHeight="1">
      <c r="A26" s="3073" t="s">
        <v>843</v>
      </c>
      <c r="B26" s="3073"/>
      <c r="C26" s="3074"/>
      <c r="D26" s="3075" t="s">
        <v>844</v>
      </c>
      <c r="E26" s="3073"/>
      <c r="F26" s="3073"/>
    </row>
    <row r="27" spans="1:7" s="1025" customFormat="1" ht="24" customHeight="1">
      <c r="A27" s="1024" t="s">
        <v>845</v>
      </c>
      <c r="B27" s="1019" t="s">
        <v>846</v>
      </c>
      <c r="C27" s="2342" t="s">
        <v>847</v>
      </c>
      <c r="D27" s="2349" t="s">
        <v>845</v>
      </c>
      <c r="E27" s="1019" t="s">
        <v>846</v>
      </c>
      <c r="F27" s="1019" t="s">
        <v>847</v>
      </c>
    </row>
    <row r="28" spans="1:7" s="1025" customFormat="1" ht="24" customHeight="1">
      <c r="A28" s="1026" t="s">
        <v>848</v>
      </c>
      <c r="B28" s="1027" t="s">
        <v>849</v>
      </c>
      <c r="C28" s="1028">
        <v>44820</v>
      </c>
      <c r="D28" s="2350" t="s">
        <v>850</v>
      </c>
      <c r="E28" s="1026" t="s">
        <v>851</v>
      </c>
      <c r="F28" s="1056">
        <v>44377</v>
      </c>
    </row>
    <row r="29" spans="1:7" s="1025" customFormat="1" ht="24" customHeight="1">
      <c r="A29" s="1026"/>
      <c r="B29" s="1026"/>
      <c r="C29" s="2348"/>
      <c r="D29" s="2350" t="s">
        <v>852</v>
      </c>
      <c r="E29" s="1200" t="s">
        <v>3042</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酒店收入计算</vt:lpstr>
      <vt:lpstr>比较法-住宅</vt:lpstr>
      <vt:lpstr>比较法-商业</vt:lpstr>
      <vt:lpstr>典型户型修正</vt:lpstr>
      <vt:lpstr>住宅案例</vt:lpstr>
      <vt:lpstr>结果表 (办公)</vt:lpstr>
      <vt:lpstr>收益法</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办公案例</vt:lpstr>
      <vt:lpstr>抵押物清单</vt:lpstr>
      <vt:lpstr>收入明细表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2020-05-20T06:14:19Z</cp:lastPrinted>
  <dcterms:created xsi:type="dcterms:W3CDTF">2015-07-13T07:17:23Z</dcterms:created>
  <dcterms:modified xsi:type="dcterms:W3CDTF">2020-05-25T02:11:11Z</dcterms:modified>
</cp:coreProperties>
</file>