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21"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C16" i="74"/>
  <c r="B16" i="74"/>
  <c r="D63" i="79" l="1"/>
  <c r="B73" i="31" l="1"/>
  <c r="B74" i="31"/>
  <c r="B75" i="31"/>
  <c r="B76" i="31"/>
  <c r="B77" i="31"/>
  <c r="B78" i="31"/>
  <c r="B79" i="31"/>
  <c r="B80" i="31"/>
  <c r="B81" i="31"/>
  <c r="B82" i="31"/>
  <c r="B83" i="31"/>
  <c r="B84" i="31"/>
  <c r="B85" i="31"/>
  <c r="B86" i="31"/>
  <c r="B87" i="31"/>
  <c r="B88" i="31"/>
  <c r="B89" i="31"/>
  <c r="B72" i="31"/>
  <c r="B69" i="31"/>
  <c r="B66" i="31"/>
  <c r="B65" i="31"/>
  <c r="B64" i="31"/>
  <c r="B63" i="31"/>
  <c r="F18" i="79"/>
  <c r="B48" i="31"/>
  <c r="B49" i="31"/>
  <c r="B50" i="31"/>
  <c r="B51" i="31"/>
  <c r="B52" i="31"/>
  <c r="B53" i="31"/>
  <c r="B54" i="31"/>
  <c r="B55" i="31"/>
  <c r="B56" i="31"/>
  <c r="B57" i="31"/>
  <c r="B58" i="31"/>
  <c r="B59" i="31"/>
  <c r="B60" i="31"/>
  <c r="B61" i="31"/>
  <c r="B62" i="31"/>
  <c r="B47" i="31"/>
  <c r="B32" i="31"/>
  <c r="B33" i="31"/>
  <c r="B34" i="31"/>
  <c r="B35" i="31"/>
  <c r="B36" i="31"/>
  <c r="B37" i="31"/>
  <c r="B38" i="31"/>
  <c r="B39" i="31"/>
  <c r="B40" i="31"/>
  <c r="B41" i="31"/>
  <c r="B42" i="31"/>
  <c r="B43" i="31"/>
  <c r="B44" i="31"/>
  <c r="B45" i="31"/>
  <c r="B46" i="31"/>
  <c r="B31" i="31"/>
  <c r="B25" i="31"/>
  <c r="B26" i="31"/>
  <c r="B27" i="31"/>
  <c r="B28" i="31"/>
  <c r="B29" i="31"/>
  <c r="B30" i="31"/>
  <c r="B24" i="31"/>
  <c r="E62" i="79"/>
  <c r="D62" i="79"/>
  <c r="I40" i="78"/>
  <c r="I41" i="78"/>
  <c r="I42" i="78"/>
  <c r="I43" i="78"/>
  <c r="I44" i="78"/>
  <c r="I45" i="78"/>
  <c r="I46" i="78"/>
  <c r="I47" i="78"/>
  <c r="I48" i="78"/>
  <c r="I49" i="78"/>
  <c r="I50" i="78"/>
  <c r="I51" i="78"/>
  <c r="I52" i="78"/>
  <c r="I53" i="78"/>
  <c r="I54" i="78"/>
  <c r="I55" i="78"/>
  <c r="I56" i="78"/>
  <c r="I57" i="78"/>
  <c r="I58" i="78"/>
  <c r="I59" i="78"/>
  <c r="I60" i="78"/>
  <c r="C12" i="78"/>
  <c r="C13" i="78"/>
  <c r="C14" i="78"/>
  <c r="C15" i="78"/>
  <c r="C16" i="78"/>
  <c r="C17" i="78"/>
  <c r="C18" i="78"/>
  <c r="C19" i="78"/>
  <c r="C20" i="78"/>
  <c r="C21" i="78"/>
  <c r="C22" i="78"/>
  <c r="C23" i="78"/>
  <c r="C24" i="78"/>
  <c r="C25" i="78"/>
  <c r="C26" i="78"/>
  <c r="C27" i="78"/>
  <c r="C28" i="78"/>
  <c r="C29" i="78"/>
  <c r="C30" i="78"/>
  <c r="C11" i="78"/>
  <c r="C42" i="78"/>
  <c r="C43" i="78"/>
  <c r="C44" i="78"/>
  <c r="C45" i="78"/>
  <c r="C46" i="78"/>
  <c r="C47" i="78"/>
  <c r="C48" i="78"/>
  <c r="C49" i="78"/>
  <c r="C50" i="78"/>
  <c r="C51" i="78"/>
  <c r="C52" i="78"/>
  <c r="C53" i="78"/>
  <c r="C54" i="78"/>
  <c r="C55" i="78"/>
  <c r="C56" i="78"/>
  <c r="C57" i="78"/>
  <c r="C58" i="78"/>
  <c r="C59" i="78"/>
  <c r="C60" i="78"/>
  <c r="C41" i="78"/>
  <c r="A63" i="31" l="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E48" i="77"/>
  <c r="E50" i="77" s="1"/>
  <c r="E45" i="77"/>
  <c r="E42" i="77"/>
  <c r="N7" i="1"/>
  <c r="N6" i="1"/>
  <c r="E46" i="77" l="1"/>
  <c r="E44" i="77"/>
  <c r="E43" i="77"/>
  <c r="E47" i="77"/>
  <c r="E49" i="7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4" i="31"/>
  <c r="G47" i="33"/>
  <c r="F61" i="78" s="1"/>
  <c r="I47" i="33"/>
  <c r="H61" i="78" s="1"/>
  <c r="E47" i="33"/>
  <c r="D61" i="78" s="1"/>
  <c r="F118" i="33"/>
  <c r="E118" i="33"/>
  <c r="D118" i="33"/>
  <c r="C118" i="33"/>
  <c r="C40" i="33"/>
  <c r="F19" i="6"/>
  <c r="E69" i="77"/>
  <c r="I13" i="3" s="1"/>
  <c r="A3" i="3" s="1"/>
  <c r="G68" i="77"/>
  <c r="G67" i="77"/>
  <c r="G66" i="77"/>
  <c r="G65" i="77"/>
  <c r="G64" i="77"/>
  <c r="G63" i="77"/>
  <c r="G62" i="77"/>
  <c r="G61" i="77"/>
  <c r="G60" i="77"/>
  <c r="G59" i="77"/>
  <c r="G58" i="77"/>
  <c r="G57" i="77"/>
  <c r="G56" i="77"/>
  <c r="G55" i="77"/>
  <c r="G54" i="77"/>
  <c r="G53" i="77"/>
  <c r="G52" i="77"/>
  <c r="G51" i="77"/>
  <c r="G48" i="77"/>
  <c r="G45" i="77"/>
  <c r="G42" i="77"/>
  <c r="G41" i="77"/>
  <c r="G40" i="77"/>
  <c r="G39" i="77"/>
  <c r="G38" i="77"/>
  <c r="G37" i="77"/>
  <c r="G36" i="77"/>
  <c r="G35" i="77"/>
  <c r="G34" i="77"/>
  <c r="G33" i="77"/>
  <c r="G32" i="77"/>
  <c r="G31" i="77"/>
  <c r="G30" i="77"/>
  <c r="G29" i="77"/>
  <c r="G28" i="77"/>
  <c r="G27" i="77"/>
  <c r="G26" i="77"/>
  <c r="G25" i="77"/>
  <c r="G24" i="77"/>
  <c r="G23" i="77"/>
  <c r="G22" i="77"/>
  <c r="G21" i="77"/>
  <c r="G20" i="77"/>
  <c r="G19" i="77"/>
  <c r="G18" i="77"/>
  <c r="G17" i="77"/>
  <c r="G16" i="77"/>
  <c r="G15" i="77"/>
  <c r="G14" i="77"/>
  <c r="G13" i="77"/>
  <c r="G12" i="77"/>
  <c r="G11" i="77"/>
  <c r="G10" i="77"/>
  <c r="G9" i="77"/>
  <c r="G8" i="77"/>
  <c r="G7" i="77"/>
  <c r="G6" i="77"/>
  <c r="G5" i="77"/>
  <c r="G4" i="77"/>
  <c r="G3" i="77"/>
  <c r="G69" i="77" l="1"/>
  <c r="I37" i="78"/>
  <c r="I38" i="78"/>
  <c r="I39" i="78"/>
  <c r="I36" i="78"/>
  <c r="G37" i="78"/>
  <c r="G38" i="78"/>
  <c r="G39" i="78"/>
  <c r="G40" i="78"/>
  <c r="G42" i="78"/>
  <c r="G43" i="78"/>
  <c r="G44" i="78"/>
  <c r="G45" i="78"/>
  <c r="G46" i="78"/>
  <c r="G47" i="78"/>
  <c r="G48" i="78"/>
  <c r="G49" i="78"/>
  <c r="G50" i="78"/>
  <c r="G51" i="78"/>
  <c r="G52" i="78"/>
  <c r="G53" i="78"/>
  <c r="G54" i="78"/>
  <c r="G55" i="78"/>
  <c r="G56" i="78"/>
  <c r="G57" i="78"/>
  <c r="G58" i="78"/>
  <c r="G59" i="78"/>
  <c r="G60" i="78"/>
  <c r="G36" i="78"/>
  <c r="E37" i="78"/>
  <c r="E38" i="78"/>
  <c r="E39" i="78"/>
  <c r="E40" i="78"/>
  <c r="E42" i="78"/>
  <c r="E43" i="78"/>
  <c r="E44" i="78"/>
  <c r="E45" i="78"/>
  <c r="E46" i="78"/>
  <c r="E47" i="78"/>
  <c r="E48" i="78"/>
  <c r="E49" i="78"/>
  <c r="E50" i="78"/>
  <c r="E51" i="78"/>
  <c r="E52" i="78"/>
  <c r="E53" i="78"/>
  <c r="E54" i="78"/>
  <c r="E55" i="78"/>
  <c r="E56" i="78"/>
  <c r="E57" i="78"/>
  <c r="E58" i="78"/>
  <c r="E59" i="78"/>
  <c r="E60" i="78"/>
  <c r="E36" i="78"/>
  <c r="C39" i="78"/>
  <c r="C40" i="78"/>
  <c r="C38" i="78"/>
  <c r="C36" i="33" l="1"/>
  <c r="F20" i="6"/>
  <c r="Y6" i="1"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8" i="76"/>
  <c r="B9" i="76"/>
  <c r="B8" i="76"/>
  <c r="B10" i="76"/>
  <c r="B13" i="76"/>
  <c r="B11" i="76"/>
  <c r="E12" i="76"/>
  <c r="B7" i="76"/>
  <c r="E13" i="76"/>
  <c r="B12" i="76"/>
  <c r="E7" i="76"/>
  <c r="E11" i="76"/>
  <c r="E9" i="76"/>
  <c r="E10" i="76"/>
  <c r="C76" i="9" l="1"/>
  <c r="I107" i="40" l="1"/>
  <c r="K6" i="4" l="1"/>
  <c r="B22" i="31" l="1"/>
  <c r="D64" i="79" s="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D5" i="73"/>
  <c r="F6" i="73"/>
  <c r="F3" i="73"/>
  <c r="I1" i="73" l="1"/>
  <c r="B39" i="1" s="1"/>
  <c r="D6" i="73"/>
  <c r="D7" i="73"/>
  <c r="D3"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S494" i="31"/>
  <c r="S492" i="31"/>
  <c r="S490" i="31"/>
  <c r="S488" i="31"/>
  <c r="S486" i="31"/>
  <c r="S484" i="31"/>
  <c r="S482" i="31"/>
  <c r="S480" i="31"/>
  <c r="S478" i="31"/>
  <c r="S476" i="31"/>
  <c r="S474" i="31"/>
  <c r="S472" i="31"/>
  <c r="S506" i="31"/>
  <c r="S504" i="31"/>
  <c r="S502" i="31"/>
  <c r="S500" i="31"/>
  <c r="S49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H31" i="35"/>
  <c r="AB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H23" i="35" s="1"/>
  <c r="B57" i="35"/>
  <c r="J11" i="35" s="1"/>
  <c r="B61" i="35"/>
  <c r="B59" i="35"/>
  <c r="F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6" i="39"/>
  <c r="S36" i="39" s="1"/>
  <c r="H36" i="39"/>
  <c r="AB36" i="39" s="1"/>
  <c r="F35" i="39"/>
  <c r="J36" i="39"/>
  <c r="AC36" i="39" s="1"/>
  <c r="U9" i="39"/>
  <c r="W40" i="39"/>
  <c r="W31" i="37"/>
  <c r="F39" i="37"/>
  <c r="S39" i="37" s="1"/>
  <c r="F29" i="36"/>
  <c r="AA29" i="36" s="1"/>
  <c r="W8" i="36"/>
  <c r="F16" i="36"/>
  <c r="AA16" i="36" s="1"/>
  <c r="S30" i="36"/>
  <c r="AC31" i="36"/>
  <c r="U31" i="36"/>
  <c r="J33" i="36"/>
  <c r="W33" i="36" s="1"/>
  <c r="H22" i="35"/>
  <c r="AB22" i="35" s="1"/>
  <c r="W28" i="35"/>
  <c r="U31" i="35"/>
  <c r="W22" i="35"/>
  <c r="F36" i="34"/>
  <c r="J35" i="34"/>
  <c r="U34" i="34"/>
  <c r="H39" i="33"/>
  <c r="AB39" i="33" s="1"/>
  <c r="F26" i="33"/>
  <c r="AA26" i="33" s="1"/>
  <c r="S40" i="33"/>
  <c r="W39" i="33"/>
  <c r="S27" i="35"/>
  <c r="F11" i="40"/>
  <c r="AA11" i="40" s="1"/>
  <c r="H11" i="40"/>
  <c r="AB11" i="40" s="1"/>
  <c r="AA9" i="40"/>
  <c r="AC9" i="40"/>
  <c r="S34" i="40"/>
  <c r="U40" i="40"/>
  <c r="F42" i="39"/>
  <c r="AA42" i="39" s="1"/>
  <c r="F41" i="39"/>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11" i="21"/>
  <c r="U11" i="21" s="1"/>
  <c r="J11" i="21"/>
  <c r="W11" i="21" s="1"/>
  <c r="H37" i="40"/>
  <c r="U37" i="40" s="1"/>
  <c r="H36" i="40"/>
  <c r="AB36" i="40" s="1"/>
  <c r="F35" i="40"/>
  <c r="AA35" i="40" s="1"/>
  <c r="H23" i="40"/>
  <c r="AB23" i="40" s="1"/>
  <c r="H17" i="40"/>
  <c r="U17" i="40" s="1"/>
  <c r="J15" i="40"/>
  <c r="W15" i="40" s="1"/>
  <c r="J11" i="40"/>
  <c r="W11" i="40" s="1"/>
  <c r="AB12" i="33"/>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J19" i="33"/>
  <c r="AC19" i="33" s="1"/>
  <c r="J15" i="33"/>
  <c r="AC15" i="33" s="1"/>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F33" i="37"/>
  <c r="AA33" i="37" s="1"/>
  <c r="U34"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F28" i="40"/>
  <c r="AA28" i="40" s="1"/>
  <c r="S42" i="34"/>
  <c r="AC38" i="34"/>
  <c r="AA38" i="34"/>
  <c r="J37" i="34"/>
  <c r="AC37" i="34" s="1"/>
  <c r="G123" i="21"/>
  <c r="H123" i="21" s="1"/>
  <c r="I123" i="21" s="1"/>
  <c r="J123" i="21" s="1"/>
  <c r="K123" i="21" s="1"/>
  <c r="L123" i="21" s="1"/>
  <c r="M123" i="21" s="1"/>
  <c r="J42" i="21"/>
  <c r="AC42" i="21" s="1"/>
  <c r="H42" i="21"/>
  <c r="U42" i="21" s="1"/>
  <c r="J44" i="34"/>
  <c r="F44" i="34"/>
  <c r="AA44" i="34" s="1"/>
  <c r="J10" i="35"/>
  <c r="W10" i="35" s="1"/>
  <c r="H14" i="21"/>
  <c r="U14" i="21" s="1"/>
  <c r="H44" i="21"/>
  <c r="U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H29" i="33"/>
  <c r="U29" i="33" s="1"/>
  <c r="J31" i="33"/>
  <c r="W31" i="33" s="1"/>
  <c r="F31" i="33"/>
  <c r="J45" i="33"/>
  <c r="J14" i="34"/>
  <c r="W14" i="34" s="1"/>
  <c r="H14" i="34"/>
  <c r="F30" i="34"/>
  <c r="S30" i="34" s="1"/>
  <c r="H32" i="34"/>
  <c r="J32" i="34"/>
  <c r="W32" i="34" s="1"/>
  <c r="F46" i="34"/>
  <c r="H11" i="35"/>
  <c r="U11" i="35" s="1"/>
  <c r="F11" i="35"/>
  <c r="S11" i="35" s="1"/>
  <c r="J26" i="36"/>
  <c r="W26" i="36" s="1"/>
  <c r="H28" i="36"/>
  <c r="U28"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F43" i="39"/>
  <c r="AA43" i="39" s="1"/>
  <c r="H43" i="39"/>
  <c r="H14" i="39"/>
  <c r="AB14" i="39" s="1"/>
  <c r="H30" i="40"/>
  <c r="AB30" i="40" s="1"/>
  <c r="F33" i="40"/>
  <c r="AA33" i="40" s="1"/>
  <c r="J35" i="40"/>
  <c r="J37" i="40"/>
  <c r="AC37" i="40" s="1"/>
  <c r="H13" i="40"/>
  <c r="U13" i="40" s="1"/>
  <c r="J13" i="40"/>
  <c r="W13" i="40" s="1"/>
  <c r="F13" i="40"/>
  <c r="AA13" i="40" s="1"/>
  <c r="F27" i="37"/>
  <c r="AA27" i="37" s="1"/>
  <c r="F13" i="39"/>
  <c r="J13" i="39"/>
  <c r="W13" i="39" s="1"/>
  <c r="H13" i="39"/>
  <c r="F14" i="40"/>
  <c r="J27" i="37"/>
  <c r="AC27" i="37" s="1"/>
  <c r="U31" i="34"/>
  <c r="J36" i="37"/>
  <c r="AC36" i="37" s="1"/>
  <c r="G105" i="37"/>
  <c r="AB11" i="36"/>
  <c r="AB11" i="35"/>
  <c r="J10" i="36"/>
  <c r="AC10" i="36" s="1"/>
  <c r="W13" i="36"/>
  <c r="S44" i="34"/>
  <c r="BA585" i="3"/>
  <c r="F17" i="21"/>
  <c r="AA17" i="21" s="1"/>
  <c r="H17" i="21"/>
  <c r="AB17" i="21" s="1"/>
  <c r="F15" i="21"/>
  <c r="S15" i="21" s="1"/>
  <c r="AB11" i="21"/>
  <c r="J41" i="39"/>
  <c r="W41" i="39" s="1"/>
  <c r="AC45" i="39"/>
  <c r="W36" i="39"/>
  <c r="U36" i="39"/>
  <c r="G536" i="3"/>
  <c r="G514" i="3"/>
  <c r="G584" i="3"/>
  <c r="G560" i="3"/>
  <c r="BL580" i="3"/>
  <c r="BL564" i="3"/>
  <c r="BL526" i="3"/>
  <c r="BL582" i="3"/>
  <c r="BL544" i="3"/>
  <c r="BL524" i="3"/>
  <c r="BA584" i="3"/>
  <c r="BA580" i="3"/>
  <c r="BA576" i="3"/>
  <c r="BA560" i="3"/>
  <c r="BA542" i="3"/>
  <c r="BA514" i="3"/>
  <c r="BA581" i="3"/>
  <c r="BA577" i="3"/>
  <c r="BA561" i="3"/>
  <c r="BA541" i="3"/>
  <c r="BA525" i="3"/>
  <c r="BA505" i="3"/>
  <c r="G581" i="3"/>
  <c r="G565" i="3"/>
  <c r="AC557" i="3"/>
  <c r="BQ557" i="3"/>
  <c r="BQ583" i="3"/>
  <c r="BQ581" i="3"/>
  <c r="BQ579" i="3"/>
  <c r="BQ577" i="3"/>
  <c r="BQ575" i="3"/>
  <c r="BQ573" i="3"/>
  <c r="BQ571" i="3"/>
  <c r="BQ569" i="3"/>
  <c r="BQ567" i="3"/>
  <c r="BQ565" i="3"/>
  <c r="BQ563" i="3"/>
  <c r="BQ561" i="3"/>
  <c r="BQ559" i="3"/>
  <c r="G549"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Q513" i="3"/>
  <c r="BQ511" i="3"/>
  <c r="AC509" i="3"/>
  <c r="BQ509" i="3"/>
  <c r="BL508" i="3"/>
  <c r="G495"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J36" i="40"/>
  <c r="W36" i="40" s="1"/>
  <c r="H19" i="37"/>
  <c r="AB19" i="37" s="1"/>
  <c r="J43" i="33"/>
  <c r="AC43" i="33" s="1"/>
  <c r="AC32" i="36"/>
  <c r="AC33" i="36"/>
  <c r="U35" i="35"/>
  <c r="AB28" i="37"/>
  <c r="AC8" i="37"/>
  <c r="W37" i="34"/>
  <c r="AB37" i="34"/>
  <c r="AC36" i="34"/>
  <c r="U19" i="21"/>
  <c r="AB38" i="21"/>
  <c r="F43" i="33"/>
  <c r="AA43" i="33" s="1"/>
  <c r="W15" i="34"/>
  <c r="AC15" i="34"/>
  <c r="H37" i="21"/>
  <c r="U37" i="21" s="1"/>
  <c r="H19" i="34"/>
  <c r="AB19" i="34" s="1"/>
  <c r="J9" i="37"/>
  <c r="W9" i="37" s="1"/>
  <c r="H9" i="37"/>
  <c r="AB9" i="37" s="1"/>
  <c r="F9" i="37"/>
  <c r="S9" i="37" s="1"/>
  <c r="J12" i="37"/>
  <c r="W12" i="37" s="1"/>
  <c r="H12" i="37"/>
  <c r="AB12" i="37" s="1"/>
  <c r="F12" i="37"/>
  <c r="S12" i="37" s="1"/>
  <c r="F15" i="37"/>
  <c r="AA15" i="37" s="1"/>
  <c r="E94" i="37"/>
  <c r="F31" i="37"/>
  <c r="S31" i="37" s="1"/>
  <c r="J42" i="39"/>
  <c r="AC42" i="39" s="1"/>
  <c r="H21" i="40"/>
  <c r="AB21" i="40" s="1"/>
  <c r="AC12" i="37"/>
  <c r="F94" i="37"/>
  <c r="G94" i="37" s="1"/>
  <c r="H94" i="37" s="1"/>
  <c r="I94" i="37" s="1"/>
  <c r="J94" i="37" s="1"/>
  <c r="K94" i="37" s="1"/>
  <c r="L94" i="37" s="1"/>
  <c r="M94" i="37" s="1"/>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S42" i="39"/>
  <c r="W8" i="39"/>
  <c r="J19" i="40"/>
  <c r="AC19" i="40" s="1"/>
  <c r="J50" i="40"/>
  <c r="B54" i="72"/>
  <c r="H103" i="9"/>
  <c r="D8" i="53" s="1"/>
  <c r="B16" i="53"/>
  <c r="B33" i="72" s="1"/>
  <c r="C7" i="37"/>
  <c r="C7" i="34"/>
  <c r="C7" i="36"/>
  <c r="J11" i="39"/>
  <c r="W11" i="39" s="1"/>
  <c r="F11" i="39"/>
  <c r="AA11" i="39" s="1"/>
  <c r="A12" i="52"/>
  <c r="B56" i="72" s="1"/>
  <c r="S11" i="39"/>
  <c r="G4" i="4"/>
  <c r="I4" i="4"/>
  <c r="K5" i="4"/>
  <c r="B47" i="48" s="1"/>
  <c r="N2" i="43"/>
  <c r="F59" i="43" s="1"/>
  <c r="AZ24" i="3"/>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AZ394" i="3" s="1"/>
  <c r="G113" i="3"/>
  <c r="BA115" i="3"/>
  <c r="BL116" i="3"/>
  <c r="G117" i="3"/>
  <c r="BA119" i="3"/>
  <c r="BL120" i="3"/>
  <c r="G121" i="3"/>
  <c r="BA123" i="3"/>
  <c r="AZ123" i="3" s="1"/>
  <c r="BL124" i="3"/>
  <c r="G125" i="3"/>
  <c r="BA127" i="3"/>
  <c r="AZ127" i="3" s="1"/>
  <c r="BL128" i="3"/>
  <c r="AZ128" i="3" s="1"/>
  <c r="G129" i="3"/>
  <c r="BA131" i="3"/>
  <c r="AZ131" i="3" s="1"/>
  <c r="BL132" i="3"/>
  <c r="AZ132" i="3"/>
  <c r="G133" i="3"/>
  <c r="BA135" i="3"/>
  <c r="BL136" i="3"/>
  <c r="G137" i="3"/>
  <c r="BA139" i="3"/>
  <c r="BL140" i="3"/>
  <c r="AZ140" i="3" s="1"/>
  <c r="G141" i="3"/>
  <c r="BA143" i="3"/>
  <c r="BL144" i="3"/>
  <c r="G145" i="3"/>
  <c r="BA147" i="3"/>
  <c r="BL148" i="3"/>
  <c r="G149" i="3"/>
  <c r="BA151" i="3"/>
  <c r="BL152" i="3"/>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BL180" i="3"/>
  <c r="G181" i="3"/>
  <c r="BA183" i="3"/>
  <c r="BL184" i="3"/>
  <c r="G185" i="3"/>
  <c r="BA187" i="3"/>
  <c r="BL188" i="3"/>
  <c r="G189" i="3"/>
  <c r="BA191" i="3"/>
  <c r="AZ191" i="3" s="1"/>
  <c r="BL192" i="3"/>
  <c r="G193" i="3"/>
  <c r="BA195" i="3"/>
  <c r="BL196" i="3"/>
  <c r="G197" i="3"/>
  <c r="BA199" i="3"/>
  <c r="AZ199" i="3" s="1"/>
  <c r="BL200" i="3"/>
  <c r="G201" i="3"/>
  <c r="BA203" i="3"/>
  <c r="AZ203" i="3" s="1"/>
  <c r="BL204" i="3"/>
  <c r="AZ136" i="3"/>
  <c r="AZ144" i="3"/>
  <c r="AZ176" i="3"/>
  <c r="G534" i="3"/>
  <c r="G512"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74" i="3"/>
  <c r="BA16" i="3"/>
  <c r="AZ16" i="3" s="1"/>
  <c r="BL303" i="3"/>
  <c r="G304" i="3"/>
  <c r="BA306" i="3"/>
  <c r="BL307" i="3"/>
  <c r="G308" i="3"/>
  <c r="BA310" i="3"/>
  <c r="BL311" i="3"/>
  <c r="AZ311" i="3" s="1"/>
  <c r="G312" i="3"/>
  <c r="BA314" i="3"/>
  <c r="BL315" i="3"/>
  <c r="G316" i="3"/>
  <c r="BA318" i="3"/>
  <c r="AZ318" i="3" s="1"/>
  <c r="BL319" i="3"/>
  <c r="G320" i="3"/>
  <c r="BA322" i="3"/>
  <c r="AZ322" i="3" s="1"/>
  <c r="BL323" i="3"/>
  <c r="G324" i="3"/>
  <c r="BA326" i="3"/>
  <c r="BL327" i="3"/>
  <c r="G328" i="3"/>
  <c r="BA330" i="3"/>
  <c r="AZ330" i="3" s="1"/>
  <c r="BL331" i="3"/>
  <c r="G332" i="3"/>
  <c r="BA334" i="3"/>
  <c r="BL335" i="3"/>
  <c r="G336" i="3"/>
  <c r="BA338" i="3"/>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BA379" i="3"/>
  <c r="BL380" i="3"/>
  <c r="AZ380" i="3" s="1"/>
  <c r="G381" i="3"/>
  <c r="BA383" i="3"/>
  <c r="BL384" i="3"/>
  <c r="G385" i="3"/>
  <c r="BA387" i="3"/>
  <c r="BL388" i="3"/>
  <c r="G389" i="3"/>
  <c r="BA391" i="3"/>
  <c r="AZ391" i="3" s="1"/>
  <c r="BL392" i="3"/>
  <c r="G393" i="3"/>
  <c r="BH5" i="3"/>
  <c r="AZ309" i="3"/>
  <c r="AZ333" i="3"/>
  <c r="G502" i="3"/>
  <c r="BK5" i="3"/>
  <c r="BC5" i="3"/>
  <c r="G17" i="3"/>
  <c r="BA17" i="3"/>
  <c r="BA15" i="3"/>
  <c r="AZ384" i="3"/>
  <c r="AZ396" i="3"/>
  <c r="BL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W37" i="37"/>
  <c r="W44" i="34"/>
  <c r="AC44" i="34"/>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F35" i="33"/>
  <c r="S35" i="33" s="1"/>
  <c r="F39" i="34"/>
  <c r="S39" i="34" s="1"/>
  <c r="J39" i="34"/>
  <c r="W39" i="34" s="1"/>
  <c r="F40" i="34"/>
  <c r="S40" i="34" s="1"/>
  <c r="F43" i="34"/>
  <c r="AA43" i="34" s="1"/>
  <c r="H44" i="34"/>
  <c r="AB44" i="34" s="1"/>
  <c r="AC38" i="39"/>
  <c r="F39" i="39"/>
  <c r="S39" i="39" s="1"/>
  <c r="J39" i="39"/>
  <c r="AC39" i="39" s="1"/>
  <c r="AZ386" i="3"/>
  <c r="C40" i="11"/>
  <c r="AZ227" i="3"/>
  <c r="AZ130" i="3"/>
  <c r="AZ21" i="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BL571" i="3" l="1"/>
  <c r="BA569" i="3"/>
  <c r="BA568" i="3"/>
  <c r="BL566" i="3"/>
  <c r="H87" i="43"/>
  <c r="H74" i="43"/>
  <c r="AZ357" i="3"/>
  <c r="AZ338" i="3"/>
  <c r="AZ306" i="3"/>
  <c r="AZ390" i="3"/>
  <c r="AZ382" i="3"/>
  <c r="AZ364" i="3"/>
  <c r="AZ355" i="3"/>
  <c r="AZ347" i="3"/>
  <c r="AZ344" i="3"/>
  <c r="AZ337" i="3"/>
  <c r="U12" i="37"/>
  <c r="W40" i="37"/>
  <c r="AC31" i="33"/>
  <c r="W47" i="34"/>
  <c r="W11" i="36"/>
  <c r="S28" i="34"/>
  <c r="AA15" i="34"/>
  <c r="AB23" i="34"/>
  <c r="U30" i="35"/>
  <c r="G583" i="3"/>
  <c r="G580" i="3"/>
  <c r="G579" i="3"/>
  <c r="G562" i="3"/>
  <c r="G561" i="3"/>
  <c r="G559" i="3"/>
  <c r="BL558" i="3"/>
  <c r="BA557" i="3"/>
  <c r="G555" i="3"/>
  <c r="G554" i="3"/>
  <c r="G553" i="3"/>
  <c r="BA552" i="3"/>
  <c r="G550" i="3"/>
  <c r="BL549" i="3"/>
  <c r="AZ549" i="3" s="1"/>
  <c r="BA549" i="3"/>
  <c r="G548" i="3"/>
  <c r="G547" i="3"/>
  <c r="G545" i="3"/>
  <c r="G544" i="3"/>
  <c r="G543" i="3"/>
  <c r="BL542" i="3"/>
  <c r="G542" i="3"/>
  <c r="G541" i="3"/>
  <c r="G540" i="3"/>
  <c r="G539" i="3"/>
  <c r="G538" i="3"/>
  <c r="G537" i="3"/>
  <c r="G535" i="3"/>
  <c r="BA534" i="3"/>
  <c r="BA533" i="3"/>
  <c r="G533" i="3"/>
  <c r="BL532" i="3"/>
  <c r="G532" i="3"/>
  <c r="G531" i="3"/>
  <c r="G530" i="3"/>
  <c r="G529" i="3"/>
  <c r="G528" i="3"/>
  <c r="G527" i="3"/>
  <c r="G526" i="3"/>
  <c r="G525" i="3"/>
  <c r="G524" i="3"/>
  <c r="G523" i="3"/>
  <c r="BA522" i="3"/>
  <c r="G522" i="3"/>
  <c r="G520" i="3"/>
  <c r="BL519" i="3"/>
  <c r="G518" i="3"/>
  <c r="G517" i="3"/>
  <c r="BL516" i="3"/>
  <c r="G516" i="3"/>
  <c r="BA515" i="3"/>
  <c r="G515" i="3"/>
  <c r="G513" i="3"/>
  <c r="G511" i="3"/>
  <c r="G510" i="3"/>
  <c r="G509" i="3"/>
  <c r="G508" i="3"/>
  <c r="G507" i="3"/>
  <c r="BL506" i="3"/>
  <c r="G506" i="3"/>
  <c r="G505" i="3"/>
  <c r="BL504" i="3"/>
  <c r="G504" i="3"/>
  <c r="G503" i="3"/>
  <c r="G501" i="3"/>
  <c r="BL500" i="3"/>
  <c r="G500" i="3"/>
  <c r="G499" i="3"/>
  <c r="G498" i="3"/>
  <c r="BA497" i="3"/>
  <c r="G497" i="3"/>
  <c r="G496" i="3"/>
  <c r="BP5" i="3"/>
  <c r="BG5" i="3"/>
  <c r="G494" i="3"/>
  <c r="BR5" i="3"/>
  <c r="BM5" i="3"/>
  <c r="BD5" i="3"/>
  <c r="BL402" i="3"/>
  <c r="BL404" i="3"/>
  <c r="G405" i="3"/>
  <c r="BA406" i="3"/>
  <c r="G407" i="3"/>
  <c r="BA408" i="3"/>
  <c r="BL408" i="3"/>
  <c r="BA409" i="3"/>
  <c r="AZ409" i="3" s="1"/>
  <c r="BA410" i="3"/>
  <c r="AZ410" i="3" s="1"/>
  <c r="BA411" i="3"/>
  <c r="AZ411" i="3" s="1"/>
  <c r="BL413" i="3"/>
  <c r="G414" i="3"/>
  <c r="BA415" i="3"/>
  <c r="BL415" i="3"/>
  <c r="BA416" i="3"/>
  <c r="AZ416" i="3" s="1"/>
  <c r="BA418" i="3"/>
  <c r="BL418" i="3"/>
  <c r="BL420" i="3"/>
  <c r="G421" i="3"/>
  <c r="BA422" i="3"/>
  <c r="G423" i="3"/>
  <c r="BL424" i="3"/>
  <c r="G425" i="3"/>
  <c r="BL426" i="3"/>
  <c r="BA428" i="3"/>
  <c r="G429" i="3"/>
  <c r="BL430" i="3"/>
  <c r="G431" i="3"/>
  <c r="BL432" i="3"/>
  <c r="G435" i="3"/>
  <c r="BA445" i="3"/>
  <c r="G446" i="3"/>
  <c r="BL447" i="3"/>
  <c r="BA449" i="3"/>
  <c r="G450" i="3"/>
  <c r="BA451" i="3"/>
  <c r="G452" i="3"/>
  <c r="BA453" i="3"/>
  <c r="AZ453" i="3" s="1"/>
  <c r="BL453" i="3"/>
  <c r="BL455" i="3"/>
  <c r="G456" i="3"/>
  <c r="BA457" i="3"/>
  <c r="BL457" i="3"/>
  <c r="BA459" i="3"/>
  <c r="BL459" i="3"/>
  <c r="BA460" i="3"/>
  <c r="AZ460" i="3" s="1"/>
  <c r="BA462" i="3"/>
  <c r="BL462" i="3"/>
  <c r="BA463" i="3"/>
  <c r="AZ463" i="3" s="1"/>
  <c r="BA464" i="3"/>
  <c r="AZ464" i="3" s="1"/>
  <c r="BA465" i="3"/>
  <c r="BL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L317" i="3"/>
  <c r="BA319" i="3"/>
  <c r="AZ319" i="3" s="1"/>
  <c r="BA323" i="3"/>
  <c r="AZ323" i="3" s="1"/>
  <c r="BL348" i="3"/>
  <c r="BL350" i="3"/>
  <c r="G351" i="3"/>
  <c r="BA354" i="3"/>
  <c r="AZ354" i="3" s="1"/>
  <c r="BA370" i="3"/>
  <c r="AZ370" i="3" s="1"/>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BA258" i="3"/>
  <c r="G259" i="3"/>
  <c r="BL260" i="3"/>
  <c r="BA262" i="3"/>
  <c r="G263" i="3"/>
  <c r="BL264" i="3"/>
  <c r="BA266" i="3"/>
  <c r="G267" i="3"/>
  <c r="BL268" i="3"/>
  <c r="G269" i="3"/>
  <c r="BA270" i="3"/>
  <c r="BL270" i="3"/>
  <c r="BL272" i="3"/>
  <c r="G273" i="3"/>
  <c r="BA274" i="3"/>
  <c r="BL274" i="3"/>
  <c r="BL276" i="3"/>
  <c r="G277" i="3"/>
  <c r="BL278" i="3"/>
  <c r="BL280" i="3"/>
  <c r="G285" i="3"/>
  <c r="BA286" i="3"/>
  <c r="G287" i="3"/>
  <c r="BA288" i="3"/>
  <c r="G289" i="3"/>
  <c r="BA290" i="3"/>
  <c r="AZ290" i="3" s="1"/>
  <c r="BL290" i="3"/>
  <c r="BL292" i="3"/>
  <c r="G293" i="3"/>
  <c r="BL294" i="3"/>
  <c r="BL296" i="3"/>
  <c r="G301" i="3"/>
  <c r="BL302" i="3"/>
  <c r="BL114" i="3"/>
  <c r="BA116" i="3"/>
  <c r="AZ116" i="3" s="1"/>
  <c r="G123" i="3"/>
  <c r="BA149" i="3"/>
  <c r="G150" i="3"/>
  <c r="BL151" i="3"/>
  <c r="AZ151" i="3" s="1"/>
  <c r="BA153" i="3"/>
  <c r="AZ153" i="3" s="1"/>
  <c r="BL153" i="3"/>
  <c r="BL155" i="3"/>
  <c r="AZ155" i="3" s="1"/>
  <c r="G156" i="3"/>
  <c r="BA158" i="3"/>
  <c r="AZ158" i="3" s="1"/>
  <c r="BL158" i="3"/>
  <c r="BA160" i="3"/>
  <c r="AZ160" i="3" s="1"/>
  <c r="BA162" i="3"/>
  <c r="G163" i="3"/>
  <c r="G167" i="3"/>
  <c r="G178" i="3"/>
  <c r="BA181" i="3"/>
  <c r="G182" i="3"/>
  <c r="BL183" i="3"/>
  <c r="AZ183" i="3" s="1"/>
  <c r="BA185" i="3"/>
  <c r="AZ185" i="3" s="1"/>
  <c r="BL185" i="3"/>
  <c r="BL187" i="3"/>
  <c r="AZ187" i="3" s="1"/>
  <c r="G188" i="3"/>
  <c r="BA190" i="3"/>
  <c r="AZ190" i="3" s="1"/>
  <c r="BL190" i="3"/>
  <c r="BA192" i="3"/>
  <c r="AZ192" i="3" s="1"/>
  <c r="BA194" i="3"/>
  <c r="G195" i="3"/>
  <c r="G199" i="3"/>
  <c r="G203" i="3"/>
  <c r="G205" i="3"/>
  <c r="BL206" i="3"/>
  <c r="G31" i="3"/>
  <c r="G33" i="3"/>
  <c r="BL34" i="3"/>
  <c r="BL36" i="3"/>
  <c r="BA38" i="3"/>
  <c r="G39" i="3"/>
  <c r="BL40" i="3"/>
  <c r="G43" i="3"/>
  <c r="G47" i="3"/>
  <c r="E59" i="43"/>
  <c r="B57" i="43" s="1"/>
  <c r="C24" i="43" s="1"/>
  <c r="BL51" i="3"/>
  <c r="AZ51" i="3" s="1"/>
  <c r="BA52" i="3"/>
  <c r="AZ52" i="3" s="1"/>
  <c r="BA53" i="3"/>
  <c r="AZ53" i="3" s="1"/>
  <c r="BA55" i="3"/>
  <c r="AZ55" i="3" s="1"/>
  <c r="BL55" i="3"/>
  <c r="BA56" i="3"/>
  <c r="AZ56" i="3" s="1"/>
  <c r="BA58" i="3"/>
  <c r="BL58" i="3"/>
  <c r="BL60" i="3"/>
  <c r="G61" i="3"/>
  <c r="BA62" i="3"/>
  <c r="BL62"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J42" i="33"/>
  <c r="AC42" i="33" s="1"/>
  <c r="H42" i="33"/>
  <c r="AB42" i="33" s="1"/>
  <c r="AA14" i="40"/>
  <c r="S14" i="40"/>
  <c r="F12" i="21"/>
  <c r="J12" i="21"/>
  <c r="AC12" i="21" s="1"/>
  <c r="H12" i="21"/>
  <c r="H28" i="21"/>
  <c r="AB28" i="21" s="1"/>
  <c r="J28" i="21"/>
  <c r="W28" i="21" s="1"/>
  <c r="F28" i="21"/>
  <c r="AA28" i="21" s="1"/>
  <c r="F30" i="21"/>
  <c r="S30" i="21" s="1"/>
  <c r="J30" i="21"/>
  <c r="AC30" i="21" s="1"/>
  <c r="J46" i="21"/>
  <c r="H46" i="21"/>
  <c r="U46" i="21" s="1"/>
  <c r="AA42" i="21"/>
  <c r="S42" i="21"/>
  <c r="B77" i="43"/>
  <c r="C25" i="39"/>
  <c r="AC33" i="33"/>
  <c r="W33" i="33"/>
  <c r="H14" i="37"/>
  <c r="F14" i="37"/>
  <c r="J14" i="37"/>
  <c r="AC14" i="37" s="1"/>
  <c r="U8" i="39"/>
  <c r="AB8" i="39"/>
  <c r="AC9" i="39"/>
  <c r="W9" i="39"/>
  <c r="AA44" i="39"/>
  <c r="S44" i="39"/>
  <c r="J12" i="39"/>
  <c r="F12" i="39"/>
  <c r="S12" i="39" s="1"/>
  <c r="F14" i="39"/>
  <c r="J14" i="39"/>
  <c r="H44" i="39"/>
  <c r="AB44" i="39" s="1"/>
  <c r="J44" i="39"/>
  <c r="AC8" i="40"/>
  <c r="W8" i="40"/>
  <c r="AB34" i="40"/>
  <c r="U34" i="40"/>
  <c r="AB38" i="40"/>
  <c r="U38" i="40"/>
  <c r="J12" i="40"/>
  <c r="AC12" i="40" s="1"/>
  <c r="F12" i="40"/>
  <c r="H12" i="40"/>
  <c r="J14" i="40"/>
  <c r="W14" i="40" s="1"/>
  <c r="H14" i="40"/>
  <c r="J32" i="40"/>
  <c r="F32" i="40"/>
  <c r="S32" i="40" s="1"/>
  <c r="BA575" i="3"/>
  <c r="BL574" i="3"/>
  <c r="BA574" i="3"/>
  <c r="BL572" i="3"/>
  <c r="BA572" i="3"/>
  <c r="BA570" i="3"/>
  <c r="BL568" i="3"/>
  <c r="AZ568" i="3" s="1"/>
  <c r="BA566" i="3"/>
  <c r="AZ566" i="3" s="1"/>
  <c r="BA564" i="3"/>
  <c r="AZ564" i="3" s="1"/>
  <c r="BL562" i="3"/>
  <c r="BA562" i="3"/>
  <c r="BL560" i="3"/>
  <c r="AZ560" i="3" s="1"/>
  <c r="BA558" i="3"/>
  <c r="AZ558" i="3" s="1"/>
  <c r="BL556" i="3"/>
  <c r="BA556" i="3"/>
  <c r="BL554" i="3"/>
  <c r="BA554" i="3"/>
  <c r="BL552" i="3"/>
  <c r="AZ552" i="3" s="1"/>
  <c r="BA548" i="3"/>
  <c r="BL546" i="3"/>
  <c r="BA546" i="3"/>
  <c r="BA544" i="3"/>
  <c r="BL540" i="3"/>
  <c r="BA540" i="3"/>
  <c r="BL538" i="3"/>
  <c r="BA538" i="3"/>
  <c r="BL536" i="3"/>
  <c r="BA536" i="3"/>
  <c r="BL534" i="3"/>
  <c r="AZ534" i="3" s="1"/>
  <c r="BA532" i="3"/>
  <c r="BL530" i="3"/>
  <c r="BA530" i="3"/>
  <c r="BL528" i="3"/>
  <c r="BA528" i="3"/>
  <c r="BA526" i="3"/>
  <c r="AZ526" i="3" s="1"/>
  <c r="BA524" i="3"/>
  <c r="BL522" i="3"/>
  <c r="AZ522" i="3" s="1"/>
  <c r="BA519" i="3"/>
  <c r="AZ519" i="3" s="1"/>
  <c r="BA517" i="3"/>
  <c r="BA513" i="3"/>
  <c r="BL511" i="3"/>
  <c r="BA511" i="3"/>
  <c r="BL509" i="3"/>
  <c r="BA509" i="3"/>
  <c r="BA507" i="3"/>
  <c r="BL505" i="3"/>
  <c r="AZ505" i="3" s="1"/>
  <c r="BA503" i="3"/>
  <c r="BL502" i="3"/>
  <c r="BA502" i="3"/>
  <c r="BA500" i="3"/>
  <c r="AZ500" i="3" s="1"/>
  <c r="BL494" i="3"/>
  <c r="BN5" i="3"/>
  <c r="BE5" i="3"/>
  <c r="BO5" i="3"/>
  <c r="F29" i="6" s="1"/>
  <c r="BF5" i="3"/>
  <c r="BA493" i="3"/>
  <c r="AZ493" i="3" s="1"/>
  <c r="BB5" i="3"/>
  <c r="E8" i="6" s="1"/>
  <c r="F27" i="6" s="1"/>
  <c r="AZ349" i="3"/>
  <c r="AZ542" i="3"/>
  <c r="AA35" i="39"/>
  <c r="S35" i="39"/>
  <c r="F14" i="21"/>
  <c r="S14" i="21" s="1"/>
  <c r="J14" i="21"/>
  <c r="W14" i="21" s="1"/>
  <c r="J44" i="21"/>
  <c r="F44" i="21"/>
  <c r="AA44" i="21" s="1"/>
  <c r="AB8" i="33"/>
  <c r="U8" i="33"/>
  <c r="E101" i="33"/>
  <c r="H32" i="33"/>
  <c r="AB32" i="33" s="1"/>
  <c r="F32" i="33"/>
  <c r="AA32" i="33" s="1"/>
  <c r="AB30" i="37"/>
  <c r="U30" i="37"/>
  <c r="H26" i="37"/>
  <c r="J26" i="37"/>
  <c r="H38" i="37"/>
  <c r="AB38" i="37" s="1"/>
  <c r="F38" i="37"/>
  <c r="S38" i="37" s="1"/>
  <c r="H25" i="37"/>
  <c r="F25" i="37"/>
  <c r="AA25" i="37" s="1"/>
  <c r="AA40" i="39"/>
  <c r="S40" i="39"/>
  <c r="J37" i="39"/>
  <c r="F37" i="39"/>
  <c r="AA37" i="39" s="1"/>
  <c r="H37" i="39"/>
  <c r="AB37" i="39" s="1"/>
  <c r="AB9" i="40"/>
  <c r="U9" i="40"/>
  <c r="BL576" i="3"/>
  <c r="AZ576" i="3" s="1"/>
  <c r="BA573" i="3"/>
  <c r="BA571" i="3"/>
  <c r="AZ571" i="3" s="1"/>
  <c r="BL570" i="3"/>
  <c r="BA567" i="3"/>
  <c r="BA565" i="3"/>
  <c r="BL563" i="3"/>
  <c r="BA563" i="3"/>
  <c r="BL561" i="3"/>
  <c r="AZ561" i="3" s="1"/>
  <c r="BA559" i="3"/>
  <c r="BA555" i="3"/>
  <c r="BA553" i="3"/>
  <c r="BA547" i="3"/>
  <c r="BA545" i="3"/>
  <c r="BA543" i="3"/>
  <c r="BA539" i="3"/>
  <c r="BA537" i="3"/>
  <c r="BA535" i="3"/>
  <c r="BA531" i="3"/>
  <c r="BA529" i="3"/>
  <c r="BA527" i="3"/>
  <c r="BA523" i="3"/>
  <c r="BL521" i="3"/>
  <c r="AZ521" i="3" s="1"/>
  <c r="BA521" i="3"/>
  <c r="BL520" i="3"/>
  <c r="AZ520" i="3" s="1"/>
  <c r="BA520" i="3"/>
  <c r="BL518" i="3"/>
  <c r="BA518" i="3"/>
  <c r="BA516" i="3"/>
  <c r="AZ516" i="3" s="1"/>
  <c r="BL514" i="3"/>
  <c r="AZ514" i="3" s="1"/>
  <c r="BL512" i="3"/>
  <c r="BA512" i="3"/>
  <c r="BL510" i="3"/>
  <c r="BA510" i="3"/>
  <c r="BA508" i="3"/>
  <c r="AZ508" i="3" s="1"/>
  <c r="BA506" i="3"/>
  <c r="AZ506" i="3" s="1"/>
  <c r="BA504" i="3"/>
  <c r="AZ504" i="3" s="1"/>
  <c r="BA501" i="3"/>
  <c r="BA499" i="3"/>
  <c r="BL498" i="3"/>
  <c r="BA498" i="3"/>
  <c r="AZ498" i="3" s="1"/>
  <c r="BL496" i="3"/>
  <c r="BA496" i="3"/>
  <c r="AZ496" i="3" s="1"/>
  <c r="BS5" i="3"/>
  <c r="BA495" i="3"/>
  <c r="BI5" i="3"/>
  <c r="BA494" i="3"/>
  <c r="AZ494" i="3" s="1"/>
  <c r="BT5" i="3"/>
  <c r="G28" i="6" s="1"/>
  <c r="BJ5" i="3"/>
  <c r="G493" i="3"/>
  <c r="H5" i="3"/>
  <c r="H34" i="33"/>
  <c r="U34" i="33" s="1"/>
  <c r="U10" i="21"/>
  <c r="AC5" i="3"/>
  <c r="AZ195" i="3"/>
  <c r="U26" i="21"/>
  <c r="H32" i="40"/>
  <c r="AB32" i="40" s="1"/>
  <c r="BL515" i="3"/>
  <c r="AZ515" i="3" s="1"/>
  <c r="BL559" i="3"/>
  <c r="AZ559" i="3" s="1"/>
  <c r="BL567" i="3"/>
  <c r="BL573" i="3"/>
  <c r="AZ573" i="3" s="1"/>
  <c r="BL577" i="3"/>
  <c r="AZ577" i="3" s="1"/>
  <c r="BL557" i="3"/>
  <c r="AC35" i="40"/>
  <c r="W35" i="40"/>
  <c r="J38" i="37"/>
  <c r="AC38" i="37" s="1"/>
  <c r="AC31" i="34"/>
  <c r="W31" i="34"/>
  <c r="U13" i="34"/>
  <c r="AB13" i="34"/>
  <c r="S44" i="33"/>
  <c r="AA44" i="33"/>
  <c r="F46" i="21"/>
  <c r="AA46" i="21" s="1"/>
  <c r="H30" i="21"/>
  <c r="S41" i="33"/>
  <c r="AB33" i="37"/>
  <c r="U33" i="37"/>
  <c r="AA39" i="37"/>
  <c r="AC16" i="35"/>
  <c r="W16" i="35"/>
  <c r="S34" i="39"/>
  <c r="S41" i="39"/>
  <c r="AA41" i="39"/>
  <c r="H9" i="34"/>
  <c r="AB9" i="34" s="1"/>
  <c r="F9" i="34"/>
  <c r="J9" i="34"/>
  <c r="J27" i="34"/>
  <c r="W27" i="34" s="1"/>
  <c r="H27" i="34"/>
  <c r="AB27" i="34" s="1"/>
  <c r="F27" i="34"/>
  <c r="AA27" i="34" s="1"/>
  <c r="S12" i="35"/>
  <c r="AA12" i="35"/>
  <c r="AC28" i="36"/>
  <c r="W28" i="36"/>
  <c r="J25" i="37"/>
  <c r="F26" i="37"/>
  <c r="AA26" i="37" s="1"/>
  <c r="AZ387" i="3"/>
  <c r="AZ379" i="3"/>
  <c r="AZ334" i="3"/>
  <c r="AZ326" i="3"/>
  <c r="AZ372" i="3"/>
  <c r="AZ313" i="3"/>
  <c r="AZ305" i="3"/>
  <c r="S25" i="21"/>
  <c r="AA25" i="21"/>
  <c r="BL495" i="3"/>
  <c r="BL499" i="3"/>
  <c r="BL503" i="3"/>
  <c r="BL525" i="3"/>
  <c r="AZ525" i="3" s="1"/>
  <c r="BL529" i="3"/>
  <c r="AZ529" i="3" s="1"/>
  <c r="BL533" i="3"/>
  <c r="AZ533" i="3" s="1"/>
  <c r="BL537" i="3"/>
  <c r="BL541" i="3"/>
  <c r="AZ541" i="3" s="1"/>
  <c r="BL545" i="3"/>
  <c r="AZ545" i="3" s="1"/>
  <c r="BL553" i="3"/>
  <c r="AZ553" i="3" s="1"/>
  <c r="AZ580" i="3"/>
  <c r="AA11" i="36"/>
  <c r="S11" i="36"/>
  <c r="W45" i="33"/>
  <c r="AC45" i="33"/>
  <c r="S13" i="33"/>
  <c r="AA13" i="33"/>
  <c r="AC33" i="37"/>
  <c r="W33" i="37"/>
  <c r="BL587" i="3"/>
  <c r="BA587" i="3"/>
  <c r="BA586" i="3"/>
  <c r="AC34" i="35"/>
  <c r="W34" i="35"/>
  <c r="J29" i="33"/>
  <c r="AC29" i="33" s="1"/>
  <c r="F29" i="33"/>
  <c r="S29" i="33" s="1"/>
  <c r="H45" i="33"/>
  <c r="F45" i="33"/>
  <c r="AA45" i="33" s="1"/>
  <c r="J12" i="34"/>
  <c r="W12" i="34" s="1"/>
  <c r="H12" i="34"/>
  <c r="AB12" i="34" s="1"/>
  <c r="H30" i="34"/>
  <c r="J30" i="34"/>
  <c r="H46" i="34"/>
  <c r="U46" i="34" s="1"/>
  <c r="J46" i="34"/>
  <c r="W46" i="34" s="1"/>
  <c r="H12" i="35"/>
  <c r="U12" i="35" s="1"/>
  <c r="J12" i="35"/>
  <c r="W12" i="35" s="1"/>
  <c r="AC11" i="35"/>
  <c r="W11" i="35"/>
  <c r="J24" i="35"/>
  <c r="AC24" i="35" s="1"/>
  <c r="F24" i="35"/>
  <c r="AA24" i="35" s="1"/>
  <c r="H34" i="35"/>
  <c r="AB34" i="35" s="1"/>
  <c r="F34" i="35"/>
  <c r="H36" i="35"/>
  <c r="AB36" i="35" s="1"/>
  <c r="F36" i="35"/>
  <c r="S36" i="35" s="1"/>
  <c r="W27" i="35"/>
  <c r="AC27" i="35"/>
  <c r="H23" i="36"/>
  <c r="AB23" i="36" s="1"/>
  <c r="J23" i="36"/>
  <c r="AC23" i="36" s="1"/>
  <c r="F32" i="36"/>
  <c r="H32" i="36"/>
  <c r="AB32" i="36" s="1"/>
  <c r="S31" i="36"/>
  <c r="AA31" i="36"/>
  <c r="H13" i="37"/>
  <c r="J13" i="37"/>
  <c r="W13" i="37" s="1"/>
  <c r="U27" i="37"/>
  <c r="AB27" i="37"/>
  <c r="J39" i="37"/>
  <c r="AC39" i="37" s="1"/>
  <c r="H39" i="37"/>
  <c r="J31" i="40"/>
  <c r="F31" i="40"/>
  <c r="AA31" i="40" s="1"/>
  <c r="J33" i="40"/>
  <c r="H33" i="40"/>
  <c r="U33" i="40" s="1"/>
  <c r="F38" i="40"/>
  <c r="J38" i="40"/>
  <c r="AC38" i="40" s="1"/>
  <c r="J40" i="40"/>
  <c r="F40" i="40"/>
  <c r="U42" i="34"/>
  <c r="AB42" i="34"/>
  <c r="W31" i="35"/>
  <c r="AC31" i="35"/>
  <c r="AC35" i="39"/>
  <c r="W35" i="39"/>
  <c r="BL584" i="3"/>
  <c r="AZ584" i="3" s="1"/>
  <c r="BA583" i="3"/>
  <c r="BA582" i="3"/>
  <c r="BL581" i="3"/>
  <c r="BL579" i="3"/>
  <c r="BA579" i="3"/>
  <c r="BL578" i="3"/>
  <c r="BA578" i="3"/>
  <c r="AZ115" i="3"/>
  <c r="AZ376" i="3"/>
  <c r="AZ360" i="3"/>
  <c r="AZ343" i="3"/>
  <c r="AZ324" i="3"/>
  <c r="BQ5" i="3"/>
  <c r="BL497" i="3"/>
  <c r="AZ497" i="3" s="1"/>
  <c r="BL501" i="3"/>
  <c r="AZ501" i="3" s="1"/>
  <c r="BL507" i="3"/>
  <c r="AZ507" i="3" s="1"/>
  <c r="BL513" i="3"/>
  <c r="BL517" i="3"/>
  <c r="AZ517" i="3" s="1"/>
  <c r="BL523" i="3"/>
  <c r="AZ523" i="3" s="1"/>
  <c r="BL527" i="3"/>
  <c r="AZ527" i="3" s="1"/>
  <c r="BL531" i="3"/>
  <c r="BL535" i="3"/>
  <c r="AZ535" i="3" s="1"/>
  <c r="BL539" i="3"/>
  <c r="AZ539" i="3" s="1"/>
  <c r="BL543" i="3"/>
  <c r="AZ543" i="3" s="1"/>
  <c r="BL547" i="3"/>
  <c r="BL551" i="3"/>
  <c r="AZ551" i="3" s="1"/>
  <c r="BL555" i="3"/>
  <c r="BL565" i="3"/>
  <c r="AZ565" i="3" s="1"/>
  <c r="BL569" i="3"/>
  <c r="BL575" i="3"/>
  <c r="AZ575" i="3" s="1"/>
  <c r="BL583" i="3"/>
  <c r="G557" i="3"/>
  <c r="G582" i="3"/>
  <c r="G556" i="3"/>
  <c r="G552" i="3"/>
  <c r="G551" i="3"/>
  <c r="F7" i="1"/>
  <c r="G7" i="1" s="1"/>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AZ434" i="3" s="1"/>
  <c r="BL434" i="3"/>
  <c r="BL436" i="3"/>
  <c r="G437" i="3"/>
  <c r="G439" i="3"/>
  <c r="BL440" i="3"/>
  <c r="G441" i="3"/>
  <c r="G443" i="3"/>
  <c r="BA444" i="3"/>
  <c r="AZ444" i="3" s="1"/>
  <c r="BA446" i="3"/>
  <c r="BL446" i="3"/>
  <c r="AZ446" i="3" s="1"/>
  <c r="BA447" i="3"/>
  <c r="AZ447" i="3" s="1"/>
  <c r="BA448" i="3"/>
  <c r="AZ448" i="3" s="1"/>
  <c r="BA450" i="3"/>
  <c r="BL450" i="3"/>
  <c r="AZ450" i="3" s="1"/>
  <c r="BL452" i="3"/>
  <c r="G453" i="3"/>
  <c r="G455" i="3"/>
  <c r="BL456" i="3"/>
  <c r="G457" i="3"/>
  <c r="G459" i="3"/>
  <c r="G462" i="3"/>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G327" i="3"/>
  <c r="BA335" i="3"/>
  <c r="AZ335" i="3" s="1"/>
  <c r="BA339" i="3"/>
  <c r="AZ339" i="3" s="1"/>
  <c r="G347" i="3"/>
  <c r="BA348" i="3"/>
  <c r="AZ348" i="3" s="1"/>
  <c r="BA349" i="3"/>
  <c r="BL363" i="3"/>
  <c r="AZ363" i="3" s="1"/>
  <c r="G364" i="3"/>
  <c r="BA366" i="3"/>
  <c r="AZ366" i="3" s="1"/>
  <c r="BL368" i="3"/>
  <c r="G369" i="3"/>
  <c r="G384" i="3"/>
  <c r="BL385" i="3"/>
  <c r="G396" i="3"/>
  <c r="G209" i="3"/>
  <c r="G212" i="3"/>
  <c r="BA213" i="3"/>
  <c r="AZ213" i="3" s="1"/>
  <c r="BL213" i="3"/>
  <c r="BA215" i="3"/>
  <c r="AZ215" i="3" s="1"/>
  <c r="BL215" i="3"/>
  <c r="BA216" i="3"/>
  <c r="AZ216" i="3" s="1"/>
  <c r="BA218" i="3"/>
  <c r="BL218" i="3"/>
  <c r="BA219" i="3"/>
  <c r="AZ219" i="3" s="1"/>
  <c r="BL221" i="3"/>
  <c r="G222" i="3"/>
  <c r="BL223" i="3"/>
  <c r="G224" i="3"/>
  <c r="G227" i="3"/>
  <c r="G231" i="3"/>
  <c r="BL232" i="3"/>
  <c r="G233" i="3"/>
  <c r="BA234" i="3"/>
  <c r="AZ234" i="3" s="1"/>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G196" i="3"/>
  <c r="BA198" i="3"/>
  <c r="BL198" i="3"/>
  <c r="BA200" i="3"/>
  <c r="AZ200" i="3" s="1"/>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AZ107" i="3" s="1"/>
  <c r="BL108" i="3"/>
  <c r="G109" i="3"/>
  <c r="BL110" i="3"/>
  <c r="G111" i="3"/>
  <c r="K100" i="43"/>
  <c r="U13" i="33"/>
  <c r="W40" i="33"/>
  <c r="U32" i="33"/>
  <c r="S26" i="33"/>
  <c r="U40" i="33"/>
  <c r="U23" i="35"/>
  <c r="AB23" i="35"/>
  <c r="AB9" i="36"/>
  <c r="U9" i="36"/>
  <c r="AC24" i="36"/>
  <c r="W24" i="36"/>
  <c r="AC43" i="39"/>
  <c r="W43" i="39"/>
  <c r="U45" i="39"/>
  <c r="AB45" i="39"/>
  <c r="AC12" i="34"/>
  <c r="AB12" i="35"/>
  <c r="U34" i="35"/>
  <c r="W12" i="36"/>
  <c r="AC12" i="36"/>
  <c r="U44" i="39"/>
  <c r="AC37" i="39"/>
  <c r="W37" i="39"/>
  <c r="W12" i="40"/>
  <c r="AZ362" i="3"/>
  <c r="AZ581" i="3"/>
  <c r="BA551" i="3"/>
  <c r="BL550" i="3"/>
  <c r="BA550" i="3"/>
  <c r="BL548" i="3"/>
  <c r="AZ548" i="3" s="1"/>
  <c r="BL15" i="3"/>
  <c r="AZ15" i="3" s="1"/>
  <c r="BA398" i="3"/>
  <c r="AZ398" i="3" s="1"/>
  <c r="G401" i="3"/>
  <c r="BL401" i="3"/>
  <c r="AZ401" i="3" s="1"/>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H82" i="43"/>
  <c r="H49" i="43"/>
  <c r="S15" i="37"/>
  <c r="AZ327" i="3"/>
  <c r="AZ310" i="3"/>
  <c r="AZ371" i="3"/>
  <c r="AZ336" i="3"/>
  <c r="AZ329" i="3"/>
  <c r="AZ321" i="3"/>
  <c r="AZ304" i="3"/>
  <c r="W14" i="37"/>
  <c r="F123" i="33"/>
  <c r="G123" i="33" s="1"/>
  <c r="H123" i="33" s="1"/>
  <c r="I123" i="33" s="1"/>
  <c r="J123" i="33" s="1"/>
  <c r="K123" i="33" s="1"/>
  <c r="L123" i="33" s="1"/>
  <c r="M123" i="33" s="1"/>
  <c r="AA41" i="34"/>
  <c r="F42" i="33"/>
  <c r="AA42" i="33" s="1"/>
  <c r="AZ569" i="3"/>
  <c r="AZ557" i="3"/>
  <c r="AZ524" i="3"/>
  <c r="AZ532" i="3"/>
  <c r="AZ536" i="3"/>
  <c r="AZ544" i="3"/>
  <c r="AZ554" i="3"/>
  <c r="AZ582" i="3"/>
  <c r="U31" i="33"/>
  <c r="AA14" i="34"/>
  <c r="AA14" i="33"/>
  <c r="AA13" i="35"/>
  <c r="U23" i="40"/>
  <c r="AA29" i="35"/>
  <c r="U33" i="35"/>
  <c r="S34" i="34"/>
  <c r="BL586" i="3"/>
  <c r="AZ586" i="3" s="1"/>
  <c r="BL585" i="3"/>
  <c r="AZ585" i="3" s="1"/>
  <c r="F9" i="33"/>
  <c r="F15" i="33"/>
  <c r="AA15" i="33" s="1"/>
  <c r="F12" i="34"/>
  <c r="J23" i="35"/>
  <c r="J36" i="35"/>
  <c r="H12" i="36"/>
  <c r="H24" i="36"/>
  <c r="AB24" i="36" s="1"/>
  <c r="H39" i="40"/>
  <c r="G574" i="3"/>
  <c r="G558" i="3"/>
  <c r="AZ402" i="3"/>
  <c r="AZ418" i="3"/>
  <c r="AZ443" i="3"/>
  <c r="AZ449" i="3"/>
  <c r="AZ459" i="3"/>
  <c r="AZ461" i="3"/>
  <c r="AZ462" i="3"/>
  <c r="AZ477" i="3"/>
  <c r="AZ481" i="3"/>
  <c r="BA466" i="3"/>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BA222" i="3"/>
  <c r="AZ222" i="3" s="1"/>
  <c r="BA223" i="3"/>
  <c r="G226" i="3"/>
  <c r="BL226" i="3"/>
  <c r="AZ226" i="3" s="1"/>
  <c r="G229" i="3"/>
  <c r="G230" i="3"/>
  <c r="BL230" i="3"/>
  <c r="AZ230" i="3" s="1"/>
  <c r="BA231" i="3"/>
  <c r="AZ231" i="3" s="1"/>
  <c r="BA232" i="3"/>
  <c r="AZ232" i="3" s="1"/>
  <c r="BA233" i="3"/>
  <c r="AZ233" i="3" s="1"/>
  <c r="BL235" i="3"/>
  <c r="AZ235" i="3" s="1"/>
  <c r="BA236" i="3"/>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G204" i="3"/>
  <c r="G206" i="3"/>
  <c r="G207" i="3"/>
  <c r="BL207" i="3"/>
  <c r="AZ207" i="3" s="1"/>
  <c r="BA18" i="3"/>
  <c r="AZ18" i="3" s="1"/>
  <c r="BL20" i="3"/>
  <c r="AZ20" i="3" s="1"/>
  <c r="G23" i="3"/>
  <c r="BL23" i="3"/>
  <c r="AZ23" i="3" s="1"/>
  <c r="G26" i="3"/>
  <c r="BL26" i="3"/>
  <c r="BA27" i="3"/>
  <c r="AZ27" i="3" s="1"/>
  <c r="BA28" i="3"/>
  <c r="BA29" i="3"/>
  <c r="AZ29" i="3" s="1"/>
  <c r="BL31" i="3"/>
  <c r="AZ31" i="3" s="1"/>
  <c r="BL33" i="3"/>
  <c r="AZ33" i="3" s="1"/>
  <c r="G35" i="3"/>
  <c r="BL35" i="3"/>
  <c r="G37" i="3"/>
  <c r="G38" i="3"/>
  <c r="BL38" i="3"/>
  <c r="AZ38" i="3" s="1"/>
  <c r="G41" i="3"/>
  <c r="BL41" i="3"/>
  <c r="BL43" i="3"/>
  <c r="AZ43" i="3" s="1"/>
  <c r="BA44" i="3"/>
  <c r="BA45" i="3"/>
  <c r="AZ45" i="3" s="1"/>
  <c r="BL47" i="3"/>
  <c r="AZ47" i="3" s="1"/>
  <c r="BA48" i="3"/>
  <c r="BL50" i="3"/>
  <c r="AZ50" i="3" s="1"/>
  <c r="G53" i="3"/>
  <c r="G54" i="3"/>
  <c r="BL54" i="3"/>
  <c r="AZ54" i="3" s="1"/>
  <c r="G57" i="3"/>
  <c r="BL57" i="3"/>
  <c r="AZ57" i="3" s="1"/>
  <c r="BL59" i="3"/>
  <c r="AZ59" i="3" s="1"/>
  <c r="BA60" i="3"/>
  <c r="AZ60" i="3" s="1"/>
  <c r="BA61" i="3"/>
  <c r="BL63" i="3"/>
  <c r="AZ63"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I20" i="66"/>
  <c r="A2" i="9"/>
  <c r="A4" i="52"/>
  <c r="B41" i="72" s="1"/>
  <c r="A118" i="9"/>
  <c r="U43" i="33"/>
  <c r="J41" i="33"/>
  <c r="W44" i="33"/>
  <c r="U46" i="33"/>
  <c r="U35" i="33"/>
  <c r="U33" i="33"/>
  <c r="AB26" i="33"/>
  <c r="H48" i="43"/>
  <c r="H50" i="43"/>
  <c r="H75" i="43"/>
  <c r="A15" i="62"/>
  <c r="B61" i="72" s="1"/>
  <c r="D93" i="9"/>
  <c r="E15" i="6"/>
  <c r="E60" i="40" s="1"/>
  <c r="K6" i="1"/>
  <c r="E13" i="6"/>
  <c r="E58" i="40" s="1"/>
  <c r="G29" i="6"/>
  <c r="AC26" i="33"/>
  <c r="W26" i="33"/>
  <c r="AC27" i="34"/>
  <c r="AB34" i="36"/>
  <c r="U34" i="36"/>
  <c r="AB33" i="36"/>
  <c r="U33" i="36"/>
  <c r="AC12" i="39"/>
  <c r="W12" i="39"/>
  <c r="AC39" i="40"/>
  <c r="W39" i="40"/>
  <c r="AZ417"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2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35" i="33"/>
  <c r="S27" i="33"/>
  <c r="S32"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F25" i="33"/>
  <c r="J23" i="33"/>
  <c r="F85" i="33"/>
  <c r="H23" i="33"/>
  <c r="F81" i="33"/>
  <c r="F19" i="33"/>
  <c r="S19" i="33" s="1"/>
  <c r="W19" i="33"/>
  <c r="J17" i="33"/>
  <c r="F79"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6" i="43"/>
  <c r="K105" i="43"/>
  <c r="C102" i="43"/>
  <c r="F105" i="43"/>
  <c r="J106" i="43"/>
  <c r="N104" i="43"/>
  <c r="N107" i="43"/>
  <c r="AR12" i="1"/>
  <c r="T12"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E7"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56"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AA11"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16" i="15"/>
  <c r="M8" i="67"/>
  <c r="M29" i="67"/>
  <c r="F9" i="15"/>
  <c r="M23" i="15"/>
  <c r="F43" i="15"/>
  <c r="M23" i="67"/>
  <c r="M28" i="67"/>
  <c r="F26" i="15"/>
  <c r="M8" i="15"/>
  <c r="F6" i="15"/>
  <c r="L47" i="67"/>
  <c r="F43" i="67"/>
  <c r="M29" i="15"/>
  <c r="F8" i="67"/>
  <c r="M9" i="15"/>
  <c r="M24" i="15"/>
  <c r="M28" i="15"/>
  <c r="L48" i="67"/>
  <c r="F37" i="15"/>
  <c r="F42" i="67"/>
  <c r="F37" i="67"/>
  <c r="L47" i="15"/>
  <c r="F26" i="67"/>
  <c r="G1" i="73"/>
  <c r="L48" i="15"/>
  <c r="F42" i="15"/>
  <c r="F13" i="15"/>
  <c r="M26" i="15"/>
  <c r="W29" i="33" l="1"/>
  <c r="AZ61" i="3"/>
  <c r="AZ44" i="3"/>
  <c r="AZ28" i="3"/>
  <c r="AB46" i="34"/>
  <c r="AZ513" i="3"/>
  <c r="AZ578" i="3"/>
  <c r="AZ499" i="3"/>
  <c r="AZ567" i="3"/>
  <c r="G30" i="6"/>
  <c r="G31" i="6" s="1"/>
  <c r="AZ502" i="3"/>
  <c r="AZ511" i="3"/>
  <c r="AZ546" i="3"/>
  <c r="AZ556" i="3"/>
  <c r="AZ562" i="3"/>
  <c r="AZ572" i="3"/>
  <c r="AZ574" i="3"/>
  <c r="AZ105" i="3"/>
  <c r="AZ85" i="3"/>
  <c r="AZ62" i="3"/>
  <c r="AZ58" i="3"/>
  <c r="AZ274" i="3"/>
  <c r="AZ270" i="3"/>
  <c r="AZ256" i="3"/>
  <c r="AZ415" i="3"/>
  <c r="F30" i="6"/>
  <c r="F31" i="6" s="1"/>
  <c r="E29" i="6"/>
  <c r="AA40" i="40"/>
  <c r="S40" i="40"/>
  <c r="AB39" i="37"/>
  <c r="U39" i="37"/>
  <c r="AA34" i="35"/>
  <c r="S34" i="35"/>
  <c r="W30" i="34"/>
  <c r="AC30" i="34"/>
  <c r="AC25" i="37"/>
  <c r="W25" i="37"/>
  <c r="AC9" i="34"/>
  <c r="W9" i="34"/>
  <c r="U30" i="21"/>
  <c r="AB30" i="21"/>
  <c r="AC26" i="37"/>
  <c r="W26" i="37"/>
  <c r="AC44" i="21"/>
  <c r="W44" i="21"/>
  <c r="AC32" i="40"/>
  <c r="W32" i="40"/>
  <c r="S12" i="40"/>
  <c r="AA12" i="40"/>
  <c r="AC44" i="39"/>
  <c r="W44" i="39"/>
  <c r="AC14" i="39"/>
  <c r="W14" i="39"/>
  <c r="AB14" i="37"/>
  <c r="U14" i="37"/>
  <c r="W46" i="21"/>
  <c r="AC46" i="21"/>
  <c r="AB12" i="21"/>
  <c r="U12" i="21"/>
  <c r="S12" i="21"/>
  <c r="AA12" i="21"/>
  <c r="S24" i="35"/>
  <c r="S31" i="40"/>
  <c r="E51" i="40"/>
  <c r="C109" i="43"/>
  <c r="F103" i="43"/>
  <c r="I116" i="43"/>
  <c r="J116" i="43" s="1"/>
  <c r="K116" i="43" s="1"/>
  <c r="L116" i="43" s="1"/>
  <c r="M116" i="43" s="1"/>
  <c r="B118" i="43"/>
  <c r="C118" i="43" s="1"/>
  <c r="G118" i="43"/>
  <c r="H118" i="43" s="1"/>
  <c r="D116" i="43"/>
  <c r="E116" i="43" s="1"/>
  <c r="F116" i="43" s="1"/>
  <c r="G116" i="43" s="1"/>
  <c r="H116" i="43" s="1"/>
  <c r="C103" i="43"/>
  <c r="C107" i="43"/>
  <c r="F102" i="43"/>
  <c r="E28" i="6"/>
  <c r="I109" i="43"/>
  <c r="I115" i="43"/>
  <c r="J115" i="43" s="1"/>
  <c r="K115" i="43" s="1"/>
  <c r="L115" i="43" s="1"/>
  <c r="M115" i="43" s="1"/>
  <c r="C106" i="43"/>
  <c r="E11" i="6"/>
  <c r="E61" i="39" s="1"/>
  <c r="BA5" i="3"/>
  <c r="E27" i="6" s="1"/>
  <c r="S15" i="33"/>
  <c r="AA29" i="33"/>
  <c r="W42" i="33"/>
  <c r="W38" i="40"/>
  <c r="E12" i="6"/>
  <c r="S45" i="33"/>
  <c r="AZ48" i="3"/>
  <c r="AZ273" i="3"/>
  <c r="AZ253" i="3"/>
  <c r="AZ236" i="3"/>
  <c r="AZ223" i="3"/>
  <c r="AZ221" i="3"/>
  <c r="AZ466" i="3"/>
  <c r="AC28" i="21"/>
  <c r="AB33" i="40"/>
  <c r="AZ95" i="3"/>
  <c r="AZ71" i="3"/>
  <c r="AZ67" i="3"/>
  <c r="AZ65" i="3"/>
  <c r="AZ39" i="3"/>
  <c r="AZ198" i="3"/>
  <c r="AZ193" i="3"/>
  <c r="AZ166" i="3"/>
  <c r="AZ161" i="3"/>
  <c r="AZ122" i="3"/>
  <c r="AZ300" i="3"/>
  <c r="AZ287" i="3"/>
  <c r="AZ277" i="3"/>
  <c r="AZ263" i="3"/>
  <c r="AZ259" i="3"/>
  <c r="AZ243" i="3"/>
  <c r="AZ218" i="3"/>
  <c r="AZ431" i="3"/>
  <c r="AZ425" i="3"/>
  <c r="AZ421" i="3"/>
  <c r="AZ583" i="3"/>
  <c r="AZ555" i="3"/>
  <c r="AZ547" i="3"/>
  <c r="AZ531" i="3"/>
  <c r="AZ579" i="3"/>
  <c r="W40" i="40"/>
  <c r="AC40" i="40"/>
  <c r="AA38" i="40"/>
  <c r="S38" i="40"/>
  <c r="W33" i="40"/>
  <c r="AC33" i="40"/>
  <c r="AC31" i="40"/>
  <c r="W31" i="40"/>
  <c r="AB13" i="37"/>
  <c r="U13" i="37"/>
  <c r="U45" i="33"/>
  <c r="AB45" i="33"/>
  <c r="AZ587" i="3"/>
  <c r="AZ537" i="3"/>
  <c r="AZ503" i="3"/>
  <c r="AZ495" i="3"/>
  <c r="AA9" i="34"/>
  <c r="S9" i="34"/>
  <c r="AZ510" i="3"/>
  <c r="AZ512" i="3"/>
  <c r="AZ518" i="3"/>
  <c r="AZ563" i="3"/>
  <c r="U25" i="37"/>
  <c r="AB25" i="37"/>
  <c r="AB26" i="37"/>
  <c r="U26" i="37"/>
  <c r="AZ509" i="3"/>
  <c r="AZ528" i="3"/>
  <c r="AZ530" i="3"/>
  <c r="AZ538" i="3"/>
  <c r="AZ540" i="3"/>
  <c r="AZ570" i="3"/>
  <c r="AB14" i="40"/>
  <c r="U14" i="40"/>
  <c r="AB12" i="40"/>
  <c r="U12" i="40"/>
  <c r="S14" i="37"/>
  <c r="AA14" i="37"/>
  <c r="E56" i="40"/>
  <c r="T10" i="1"/>
  <c r="AR10" i="1"/>
  <c r="C7" i="43"/>
  <c r="U39" i="40"/>
  <c r="AB39" i="40"/>
  <c r="U12" i="36"/>
  <c r="AB12" i="36"/>
  <c r="AC23" i="35"/>
  <c r="W23" i="35"/>
  <c r="AC36" i="35"/>
  <c r="W36" i="35"/>
  <c r="S12" i="34"/>
  <c r="AA12" i="34"/>
  <c r="AA9" i="33"/>
  <c r="S9" i="33"/>
  <c r="W41" i="33"/>
  <c r="AC41" i="33"/>
  <c r="C58" i="33"/>
  <c r="D58" i="33" s="1"/>
  <c r="E58" i="33" s="1"/>
  <c r="F58" i="33" s="1"/>
  <c r="G58" i="33" s="1"/>
  <c r="H58" i="33" s="1"/>
  <c r="I58" i="33" s="1"/>
  <c r="J58" i="33" s="1"/>
  <c r="K58" i="33" s="1"/>
  <c r="L58" i="33" s="1"/>
  <c r="M58" i="33" s="1"/>
  <c r="N58" i="33" s="1"/>
  <c r="O58" i="33" s="1"/>
  <c r="I7" i="33"/>
  <c r="G7" i="33"/>
  <c r="D22" i="43"/>
  <c r="C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3"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L27" i="6"/>
  <c r="G16" i="1"/>
  <c r="H10" i="40" s="1"/>
  <c r="U10" i="40" s="1"/>
  <c r="C27" i="67"/>
  <c r="L56" i="67"/>
  <c r="J57" i="67"/>
  <c r="J55" i="67" s="1"/>
  <c r="J58" i="67" s="1"/>
  <c r="Q50" i="67" s="1"/>
  <c r="F70" i="67"/>
  <c r="F51" i="67"/>
  <c r="F71" i="67"/>
  <c r="F65" i="67"/>
  <c r="F71" i="15"/>
  <c r="C27" i="15"/>
  <c r="F65" i="15"/>
  <c r="J57" i="15"/>
  <c r="J55" i="15" s="1"/>
  <c r="J58" i="15" s="1"/>
  <c r="Q5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67"/>
  <c r="F31" i="15"/>
  <c r="M17" i="67"/>
  <c r="M17" i="15"/>
  <c r="F59" i="67"/>
  <c r="M24" i="67"/>
  <c r="F40" i="15"/>
  <c r="F40" i="67"/>
  <c r="F8" i="15"/>
  <c r="C76" i="15"/>
  <c r="J15" i="15"/>
  <c r="F36" i="15"/>
  <c r="M6" i="15"/>
  <c r="F13" i="67"/>
  <c r="J15" i="67"/>
  <c r="C76" i="67"/>
  <c r="F38" i="67"/>
  <c r="M6" i="67"/>
  <c r="M9" i="67"/>
  <c r="F38" i="15"/>
  <c r="M22" i="15"/>
  <c r="M26" i="67"/>
  <c r="C17" i="15"/>
  <c r="F36" i="67"/>
  <c r="C16" i="15"/>
  <c r="F6" i="67"/>
  <c r="F7" i="15"/>
  <c r="F9" i="67"/>
  <c r="M22" i="67"/>
  <c r="F7" i="67"/>
  <c r="F16" i="67"/>
  <c r="E30" i="6" l="1"/>
  <c r="E31" i="6" s="1"/>
  <c r="F68" i="67"/>
  <c r="F66" i="67"/>
  <c r="Q71" i="67"/>
  <c r="F51" i="15"/>
  <c r="C6" i="15"/>
  <c r="C10" i="15" s="1"/>
  <c r="F66" i="15"/>
  <c r="F64" i="15"/>
  <c r="M7" i="15"/>
  <c r="J6" i="15" s="1"/>
  <c r="J10" i="15" s="1"/>
  <c r="F50" i="15"/>
  <c r="M7" i="67"/>
  <c r="J6" i="67" s="1"/>
  <c r="F50" i="67"/>
  <c r="Q71" i="15"/>
  <c r="F64" i="67"/>
  <c r="F68" i="15"/>
  <c r="C6" i="67"/>
  <c r="C5" i="67" s="1"/>
  <c r="C32" i="67" s="1"/>
  <c r="E57" i="40"/>
  <c r="E62" i="39"/>
  <c r="K25" i="6"/>
  <c r="M25" i="6" s="1"/>
  <c r="I25" i="6" s="1"/>
  <c r="S25" i="6" s="1"/>
  <c r="K22" i="6"/>
  <c r="M22" i="6" s="1"/>
  <c r="I22" i="6" s="1"/>
  <c r="S22" i="6" s="1"/>
  <c r="K21" i="6"/>
  <c r="M21" i="6" s="1"/>
  <c r="I21" i="6" s="1"/>
  <c r="S21" i="6" s="1"/>
  <c r="K14" i="1"/>
  <c r="D113" i="43"/>
  <c r="J22" i="43" s="1"/>
  <c r="K20" i="6"/>
  <c r="E16" i="6"/>
  <c r="E66" i="39"/>
  <c r="S5" i="43"/>
  <c r="S7" i="43"/>
  <c r="S4" i="43"/>
  <c r="S6" i="43"/>
  <c r="S2" i="43"/>
  <c r="S3" i="43"/>
  <c r="C23" i="43"/>
  <c r="C21" i="43" s="1"/>
  <c r="C30" i="69"/>
  <c r="B73" i="72"/>
  <c r="B4" i="72"/>
  <c r="F11" i="33"/>
  <c r="H11" i="33"/>
  <c r="J11" i="33"/>
  <c r="B4" i="62"/>
  <c r="C48" i="68"/>
  <c r="M19" i="6"/>
  <c r="AR6"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F10" i="40"/>
  <c r="AA10" i="40" s="1"/>
  <c r="I19" i="6"/>
  <c r="L18" i="9" s="1"/>
  <c r="H10" i="39"/>
  <c r="J10" i="39"/>
  <c r="Q60" i="15"/>
  <c r="Q60" i="67"/>
  <c r="Q73" i="67"/>
  <c r="F27" i="11"/>
  <c r="Q61" i="67"/>
  <c r="Q74" i="67"/>
  <c r="C49" i="67"/>
  <c r="F1" i="67"/>
  <c r="Q52" i="67"/>
  <c r="C16" i="67"/>
  <c r="C5" i="15" l="1"/>
  <c r="C32" i="15" s="1"/>
  <c r="C49" i="15"/>
  <c r="S7" i="1"/>
  <c r="M20" i="6"/>
  <c r="M14" i="1"/>
  <c r="K16" i="1"/>
  <c r="B43" i="72"/>
  <c r="B71" i="72"/>
  <c r="AB11" i="33"/>
  <c r="U11" i="33"/>
  <c r="W11" i="33"/>
  <c r="AC11" i="33"/>
  <c r="AA11" i="33"/>
  <c r="S11"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W10" i="39"/>
  <c r="AC10" i="39"/>
  <c r="U10" i="39"/>
  <c r="AB10" i="39"/>
  <c r="C47" i="11"/>
  <c r="D45" i="11" s="1"/>
  <c r="C29" i="11"/>
  <c r="D27" i="11" s="1"/>
  <c r="C28" i="11"/>
  <c r="C27" i="11" s="1"/>
  <c r="B2" i="74" l="1"/>
  <c r="I20" i="6"/>
  <c r="M27" i="6"/>
  <c r="O14" i="1"/>
  <c r="M16" i="1"/>
  <c r="E7" i="70"/>
  <c r="AQ7" i="1"/>
  <c r="AR7" i="1"/>
  <c r="T7" i="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A10" i="51"/>
  <c r="D27" i="6"/>
  <c r="D19" i="68"/>
  <c r="C10"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E6" i="76"/>
  <c r="N16" i="1" l="1"/>
  <c r="L16" i="1"/>
  <c r="C34" i="11"/>
  <c r="S20" i="6"/>
  <c r="S27" i="6" s="1"/>
  <c r="H20" i="6"/>
  <c r="I27" i="6"/>
  <c r="C34" i="68"/>
  <c r="C35" i="68" s="1"/>
  <c r="P14" i="1"/>
  <c r="P16" i="1" s="1"/>
  <c r="C11" i="12" s="1"/>
  <c r="O16" i="1"/>
  <c r="B45" i="72"/>
  <c r="B9" i="72"/>
  <c r="B7" i="72"/>
  <c r="D31" i="6"/>
  <c r="I6" i="6" s="1"/>
  <c r="E2" i="76"/>
  <c r="B2" i="43"/>
  <c r="R49" i="21"/>
  <c r="C48" i="21" s="1"/>
  <c r="G54" i="34"/>
  <c r="H54" i="34" s="1"/>
  <c r="I53" i="21"/>
  <c r="J53" i="21" s="1"/>
  <c r="C37" i="36"/>
  <c r="C36" i="36"/>
  <c r="G40" i="36"/>
  <c r="H40" i="36" s="1"/>
  <c r="E41" i="36"/>
  <c r="F41" i="36" s="1"/>
  <c r="G41" i="36"/>
  <c r="H41" i="36" s="1"/>
  <c r="C19" i="68"/>
  <c r="D37" i="68"/>
  <c r="C37" i="68" s="1"/>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F35" i="15"/>
  <c r="F35" i="67"/>
  <c r="M21" i="15"/>
  <c r="B6" i="76"/>
  <c r="C38" i="68" l="1"/>
  <c r="C38" i="11"/>
  <c r="C35" i="11"/>
  <c r="C12" i="12"/>
  <c r="C15" i="12"/>
  <c r="R20" i="6"/>
  <c r="H27" i="6"/>
  <c r="F50" i="69"/>
  <c r="F50" i="11"/>
  <c r="F50" i="68"/>
  <c r="I5" i="6"/>
  <c r="B2" i="76"/>
  <c r="B3" i="76" s="1"/>
  <c r="B3" i="43"/>
  <c r="C49" i="21"/>
  <c r="F63" i="67"/>
  <c r="C62" i="67" s="1"/>
  <c r="C34" i="67"/>
  <c r="J20" i="67"/>
  <c r="C24" i="68"/>
  <c r="C20" i="68"/>
  <c r="C28" i="68" s="1"/>
  <c r="C27" i="68" s="1"/>
  <c r="J20" i="15"/>
  <c r="F63" i="15"/>
  <c r="C62" i="15" s="1"/>
  <c r="C34" i="15"/>
  <c r="C33" i="68"/>
  <c r="I63" i="40"/>
  <c r="H65" i="40"/>
  <c r="I70" i="39"/>
  <c r="C16" i="12" l="1"/>
  <c r="C21" i="12" s="1"/>
  <c r="C22" i="12" s="1"/>
  <c r="C30" i="12" s="1"/>
  <c r="C28" i="12" s="1"/>
  <c r="C33" i="11"/>
  <c r="C42" i="11" s="1"/>
  <c r="C39" i="11"/>
  <c r="C43" i="11" s="1"/>
  <c r="R7" i="1"/>
  <c r="R16" i="1" s="1"/>
  <c r="R27" i="6"/>
  <c r="C25" i="68"/>
  <c r="C22" i="68" s="1"/>
  <c r="C31" i="68" s="1"/>
  <c r="C39" i="68"/>
  <c r="C43" i="68" s="1"/>
  <c r="C42" i="68"/>
  <c r="J63" i="40"/>
  <c r="I65" i="40"/>
  <c r="C46" i="11"/>
  <c r="C45" i="11" s="1"/>
  <c r="J70" i="39"/>
  <c r="C27" i="12" l="1"/>
  <c r="C25" i="12" s="1"/>
  <c r="C32" i="12" s="1"/>
  <c r="B2" i="12" s="1"/>
  <c r="B3" i="12" s="1"/>
  <c r="C41" i="11"/>
  <c r="C49" i="11" s="1"/>
  <c r="C51" i="11" s="1"/>
  <c r="C52" i="11" s="1"/>
  <c r="B2" i="11" s="1"/>
  <c r="B3" i="11" s="1"/>
  <c r="C41" i="68"/>
  <c r="C46" i="68"/>
  <c r="C45" i="68" s="1"/>
  <c r="K63" i="40"/>
  <c r="J65" i="40"/>
  <c r="K70" i="39"/>
  <c r="C56" i="11" l="1"/>
  <c r="C57" i="11" s="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F41" i="67"/>
  <c r="M27" i="67"/>
  <c r="M27"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D2" i="36"/>
  <c r="D2" i="37"/>
  <c r="D2" i="21"/>
  <c r="D2" i="34"/>
  <c r="D2" i="33"/>
  <c r="F20" i="31"/>
  <c r="D2" i="35"/>
  <c r="C19" i="9"/>
  <c r="E2" i="68"/>
  <c r="B2" i="36" l="1"/>
  <c r="B3" i="36" s="1"/>
  <c r="B2" i="35"/>
  <c r="B3" i="35" s="1"/>
  <c r="B2" i="37"/>
  <c r="B3" i="37" s="1"/>
  <c r="B2" i="34"/>
  <c r="B3" i="34" s="1"/>
  <c r="B2" i="21"/>
  <c r="B3" i="21" s="1"/>
  <c r="B2" i="70"/>
  <c r="B3" i="70" s="1"/>
  <c r="C102" i="9"/>
  <c r="C21" i="9"/>
  <c r="B3" i="68"/>
  <c r="C20" i="9"/>
  <c r="C103" i="9" l="1"/>
  <c r="D34" i="9"/>
  <c r="H109" i="9" l="1"/>
  <c r="H110" i="9" l="1"/>
  <c r="D18" i="53" s="1"/>
  <c r="D124" i="9"/>
  <c r="D16" i="53"/>
  <c r="B34" i="72" s="1"/>
  <c r="B35" i="72" l="1"/>
  <c r="D10" i="52"/>
  <c r="H14" i="74"/>
  <c r="D17" i="53"/>
  <c r="B36" i="72" s="1"/>
  <c r="D125" i="9"/>
  <c r="D11" i="52" s="1"/>
  <c r="B7" i="74" l="1"/>
  <c r="D7" i="74" s="1"/>
  <c r="J7" i="33" l="1"/>
  <c r="W7" i="33" s="1"/>
  <c r="F7" i="33"/>
  <c r="S7" i="33" s="1"/>
  <c r="H7" i="33"/>
  <c r="AB7" i="33" s="1"/>
  <c r="T48" i="33" s="1"/>
  <c r="G48" i="33" s="1"/>
  <c r="F62" i="78" s="1"/>
  <c r="G52" i="33" l="1"/>
  <c r="H52" i="33" s="1"/>
  <c r="AA7" i="33"/>
  <c r="R48" i="33" s="1"/>
  <c r="U7" i="33"/>
  <c r="AC7" i="33"/>
  <c r="V48" i="33" s="1"/>
  <c r="I48" i="33" s="1"/>
  <c r="H62" i="78" s="1"/>
  <c r="I52" i="33" l="1"/>
  <c r="J52" i="33" s="1"/>
  <c r="R49" i="33"/>
  <c r="E48" i="33"/>
  <c r="D62" i="78" s="1"/>
  <c r="G53" i="33"/>
  <c r="H53" i="33" s="1"/>
  <c r="E53" i="33" l="1"/>
  <c r="F53" i="33" s="1"/>
  <c r="E52" i="33"/>
  <c r="F52" i="33" s="1"/>
  <c r="I53" i="33"/>
  <c r="J53" i="33" s="1"/>
  <c r="C48" i="33"/>
  <c r="C49" i="33"/>
  <c r="B2" i="33" s="1"/>
  <c r="J7" i="39"/>
  <c r="AC7" i="39" s="1"/>
  <c r="V47" i="39" s="1"/>
  <c r="I47" i="39" s="1"/>
  <c r="F7" i="39"/>
  <c r="S7" i="39" s="1"/>
  <c r="H7" i="39"/>
  <c r="AB7" i="39" s="1"/>
  <c r="T47" i="39" s="1"/>
  <c r="G47" i="39" s="1"/>
  <c r="D19" i="9"/>
  <c r="D102" i="9" l="1"/>
  <c r="D21" i="9"/>
  <c r="D22" i="9"/>
  <c r="G19" i="9"/>
  <c r="B3" i="33"/>
  <c r="G52" i="39"/>
  <c r="H52" i="39" s="1"/>
  <c r="G51" i="39"/>
  <c r="H51" i="39" s="1"/>
  <c r="I51" i="39"/>
  <c r="J51" i="39" s="1"/>
  <c r="W7" i="39"/>
  <c r="U7" i="39"/>
  <c r="AA7" i="39"/>
  <c r="R47" i="39" s="1"/>
  <c r="D20" i="9"/>
  <c r="D103" i="9" l="1"/>
  <c r="G20" i="9"/>
  <c r="R24" i="31" s="1"/>
  <c r="G21" i="9"/>
  <c r="C32" i="9"/>
  <c r="R48" i="39"/>
  <c r="E47" i="39"/>
  <c r="R379" i="31" l="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89" i="31"/>
  <c r="S289"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S24" i="3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D15" i="74" l="1"/>
  <c r="G15" i="74" s="1"/>
  <c r="R22" i="31"/>
  <c r="B20" i="31"/>
  <c r="F66" i="39"/>
  <c r="B2" i="39" s="1"/>
  <c r="B3" i="39" s="1"/>
  <c r="D35" i="9"/>
  <c r="E15" i="74" l="1"/>
  <c r="F15" i="74"/>
  <c r="B21" i="31"/>
  <c r="C35" i="9"/>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3" i="9"/>
  <c r="M63" i="9" s="1"/>
  <c r="L66" i="9"/>
  <c r="M66" i="9" s="1"/>
  <c r="D45" i="9"/>
  <c r="D53" i="9" s="1"/>
  <c r="I4" i="52"/>
  <c r="D5" i="53"/>
  <c r="H102" i="9"/>
  <c r="D7" i="53" s="1"/>
  <c r="E118" i="9"/>
  <c r="E4" i="52" s="1"/>
  <c r="D122" i="9"/>
  <c r="H108" i="9"/>
  <c r="D15" i="53" s="1"/>
  <c r="D13" i="53"/>
  <c r="E14" i="74"/>
  <c r="F14" i="74"/>
  <c r="B31" i="72" l="1"/>
  <c r="B48" i="72"/>
  <c r="B20" i="72"/>
  <c r="B21" i="72"/>
  <c r="M69" i="9"/>
  <c r="N69" i="9" s="1"/>
  <c r="C93" i="9"/>
  <c r="C86" i="9" s="1"/>
  <c r="D52" i="9"/>
  <c r="C78" i="9"/>
  <c r="C73" i="9" s="1"/>
  <c r="C85" i="9"/>
  <c r="C72" i="9"/>
  <c r="D55" i="9"/>
  <c r="M53" i="9" s="1"/>
  <c r="C64" i="9"/>
  <c r="C63" i="9" s="1"/>
  <c r="D6" i="53"/>
  <c r="D14" i="53"/>
  <c r="B30" i="72"/>
  <c r="G14" i="74"/>
  <c r="B6" i="74" s="1"/>
  <c r="D123" i="9"/>
  <c r="D9" i="52" s="1"/>
  <c r="D8" i="52"/>
  <c r="B22" i="72" l="1"/>
  <c r="B32" i="72"/>
  <c r="C95" i="9"/>
  <c r="C67" i="9"/>
  <c r="C68" i="9" s="1"/>
  <c r="D54" i="9" s="1"/>
  <c r="C79" i="9"/>
  <c r="D6" i="74"/>
  <c r="C96" i="9" l="1"/>
  <c r="E96" i="9" s="1"/>
  <c r="E97" i="9" s="1"/>
  <c r="C80" i="9"/>
  <c r="E80" i="9" s="1"/>
  <c r="E81" i="9" s="1"/>
  <c r="C81" i="9" l="1"/>
  <c r="C97" i="9"/>
  <c r="D58" i="9" s="1"/>
  <c r="D56" i="9" s="1"/>
  <c r="M54" i="9" s="1"/>
  <c r="N57" i="9" s="1"/>
  <c r="N58" i="9" l="1"/>
  <c r="N59" i="9"/>
  <c r="P57" i="9"/>
  <c r="AD3" i="71"/>
  <c r="P21" i="43" s="1"/>
  <c r="N61" i="9" l="1"/>
  <c r="N60" i="9"/>
  <c r="P22" i="43"/>
  <c r="P23" i="43"/>
  <c r="B71" i="39" s="1"/>
  <c r="P24" i="43"/>
  <c r="B66" i="40" s="1"/>
  <c r="P25" i="43"/>
  <c r="D16" i="74" l="1"/>
  <c r="E16" i="74" s="1"/>
  <c r="B1" i="74"/>
  <c r="F16" i="74" l="1"/>
  <c r="B5" i="74"/>
  <c r="D5" i="74" s="1"/>
  <c r="C7" i="74"/>
  <c r="C8"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<sst xmlns="http://schemas.openxmlformats.org/spreadsheetml/2006/main" count="8363" uniqueCount="3422">
  <si>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</si>
  <si>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</si>
  <si>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</si>
  <si>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</si>
  <si>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</si>
  <si>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</si>
  <si>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</si>
  <si>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</si>
  <si>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</si>
  <si>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</si>
  <si>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</si>
  <si>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</si>
  <si>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</si>
  <si>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</si>
  <si>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</si>
  <si>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</si>
  <si>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</si>
  <si>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</si>
  <si>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</si>
  <si>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</si>
  <si>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</si>
  <si>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</si>
  <si>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</si>
  <si>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</si>
  <si>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</si>
  <si>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</si>
  <si>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</si>
  <si>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</si>
  <si>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</si>
  <si>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</si>
  <si>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</si>
  <si>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</si>
  <si>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</si>
  <si>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</si>
  <si>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</si>
  <si>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</si>
  <si>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</si>
  <si>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</si>
  <si>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</si>
  <si>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</si>
  <si>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</si>
  <si>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</si>
  <si>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</si>
  <si>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</si>
  <si>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</si>
  <si>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</si>
  <si>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</si>
  <si>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</si>
  <si>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</si>
  <si>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</si>
  <si>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</si>
  <si>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</si>
  <si>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</si>
  <si>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</si>
  <si>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</si>
  <si>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</si>
  <si>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</si>
  <si>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</si>
  <si>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</si>
  <si>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</si>
  <si>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</si>
  <si>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</si>
  <si>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</si>
  <si>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</si>
  <si>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</si>
  <si>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</si>
  <si>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</si>
  <si>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</si>
  <si>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</si>
  <si>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</si>
  <si>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</si>
  <si>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</si>
  <si>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</si>
  <si>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</si>
  <si>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</si>
  <si>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</si>
  <si>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</si>
  <si>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</si>
  <si>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</si>
  <si>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</si>
  <si>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</si>
  <si>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</si>
  <si>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</si>
  <si>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</si>
  <si>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</si>
  <si>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</si>
  <si>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</si>
  <si>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</si>
  <si>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</si>
  <si>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</si>
  <si>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</si>
  <si>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</si>
  <si>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</si>
  <si>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</si>
  <si>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</si>
  <si>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</si>
  <si>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</si>
  <si>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</si>
  <si>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</si>
  <si>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</si>
  <si>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</si>
  <si>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</si>
  <si>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</si>
  <si>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</si>
  <si>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</si>
  <si>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</si>
  <si>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</si>
  <si>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</si>
  <si>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</si>
  <si>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</si>
  <si>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</si>
  <si>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</si>
  <si>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</si>
  <si>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</si>
  <si>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</si>
  <si>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</si>
  <si>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</si>
  <si>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</si>
  <si>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</si>
  <si>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</si>
  <si>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</si>
  <si>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</si>
  <si>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</si>
  <si>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</si>
  <si>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</si>
  <si>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</si>
  <si>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</si>
  <si>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</si>
  <si>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</si>
  <si>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</si>
  <si>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</si>
  <si>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</si>
  <si>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</si>
  <si>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</si>
  <si>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</si>
  <si>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</si>
  <si>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</si>
  <si>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</si>
  <si>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</si>
  <si>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</si>
  <si>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</si>
  <si>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</si>
  <si>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</si>
  <si>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</si>
  <si>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</si>
  <si>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</si>
  <si>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</si>
  <si>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</si>
  <si>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</si>
  <si>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</si>
  <si>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</si>
  <si>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</si>
  <si>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</si>
  <si>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</si>
  <si>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</si>
  <si>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</si>
  <si>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</si>
  <si>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</si>
  <si>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</si>
  <si>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</si>
  <si>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</si>
  <si>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</si>
  <si>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</si>
  <si>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</si>
  <si>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</si>
  <si>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</si>
  <si>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</si>
  <si>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</si>
  <si>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</si>
  <si>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</si>
  <si>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</si>
  <si>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</si>
  <si>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</si>
  <si>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</si>
  <si>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</si>
  <si>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</si>
  <si>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</si>
  <si>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</si>
  <si>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</si>
  <si>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</si>
  <si>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</si>
  <si>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</si>
  <si>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</si>
  <si>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</si>
  <si>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</si>
  <si>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</si>
  <si>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</si>
  <si>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</si>
  <si>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</si>
  <si>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</si>
  <si>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</si>
  <si>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</si>
  <si>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</si>
  <si>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</si>
  <si>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</si>
  <si>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</si>
  <si>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</si>
  <si>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</si>
  <si>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</si>
  <si>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</si>
  <si>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</si>
  <si>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</si>
  <si>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</si>
  <si>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</si>
  <si>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</si>
  <si>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</si>
  <si>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</si>
  <si>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</si>
  <si>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</si>
  <si>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</si>
  <si>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</si>
  <si>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</si>
  <si>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</si>
  <si>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</si>
  <si>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</si>
  <si>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</si>
  <si>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</si>
  <si>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</si>
  <si>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</si>
  <si>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</si>
  <si>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</si>
  <si>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</si>
  <si>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</si>
  <si>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</si>
  <si>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</si>
  <si>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</si>
  <si>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</si>
  <si>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</si>
  <si>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</si>
  <si>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</si>
  <si>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</si>
  <si>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</si>
  <si>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</si>
  <si>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</si>
  <si>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</si>
  <si>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</si>
  <si>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</si>
  <si>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</si>
  <si>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</si>
  <si>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</si>
  <si>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</si>
  <si>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</si>
  <si>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</si>
  <si>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</si>
  <si>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</si>
  <si>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</si>
  <si>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</si>
  <si>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</si>
  <si>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</si>
  <si>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</si>
  <si>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</si>
  <si>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</si>
  <si>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</si>
  <si>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</si>
  <si>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</si>
  <si>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</si>
  <si>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</si>
  <si>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</si>
  <si>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</si>
  <si>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</si>
  <si>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</si>
  <si>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</si>
  <si>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</si>
  <si>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</si>
  <si>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</si>
  <si>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</si>
  <si>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</si>
  <si>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</si>
  <si>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</si>
  <si>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</si>
  <si>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</si>
  <si>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</si>
  <si>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</si>
  <si>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</si>
  <si>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</si>
  <si>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</si>
  <si>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</si>
  <si>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</si>
  <si>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</si>
  <si>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</si>
  <si>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</si>
  <si>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</si>
  <si>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</si>
  <si>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</si>
  <si>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</si>
  <si>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</si>
  <si>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</si>
  <si>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</si>
  <si>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</si>
  <si>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</si>
  <si>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</si>
  <si>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</si>
  <si>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</si>
  <si>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</si>
  <si>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</si>
  <si>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</si>
  <si>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</si>
  <si>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</si>
  <si>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</si>
  <si>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</si>
  <si>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</si>
  <si>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</si>
  <si>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</si>
  <si>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</si>
  <si>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</si>
  <si>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</si>
  <si>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</si>
  <si>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</si>
  <si>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</si>
  <si>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</si>
  <si>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</si>
  <si>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</si>
  <si>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</si>
  <si>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</si>
  <si>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</si>
  <si>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</si>
  <si>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</si>
  <si>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</si>
  <si>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</si>
  <si>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</si>
  <si>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</si>
  <si>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</si>
  <si>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</si>
  <si>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</si>
  <si>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</si>
  <si>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</si>
  <si>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</si>
  <si>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</si>
  <si>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</si>
  <si>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</si>
  <si>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</si>
  <si>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</si>
  <si>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</si>
  <si>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</si>
  <si>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</si>
  <si>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</si>
  <si>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</si>
  <si>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</si>
  <si>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</si>
  <si>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</si>
  <si>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</si>
  <si>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</si>
  <si>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</si>
  <si>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</si>
  <si>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</si>
  <si>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</si>
  <si>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</si>
  <si>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</si>
  <si>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</si>
  <si>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</si>
  <si>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</si>
  <si>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</si>
  <si>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</si>
  <si>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</si>
  <si>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</si>
  <si>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</si>
  <si>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</si>
  <si>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</si>
  <si>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</si>
  <si>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</si>
  <si>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</si>
  <si>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</si>
  <si>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</si>
  <si>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</si>
  <si>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</si>
  <si>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</si>
  <si>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</si>
  <si>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</si>
  <si>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</si>
  <si>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</si>
  <si>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</si>
  <si>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</si>
  <si>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</si>
  <si>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</si>
  <si>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</si>
  <si>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</si>
  <si>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</si>
  <si>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</si>
  <si>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</si>
  <si>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</si>
  <si>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</si>
  <si>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</si>
  <si>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</si>
  <si>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</si>
  <si>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</si>
  <si>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</si>
  <si>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</si>
  <si>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</si>
  <si>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</si>
  <si>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</si>
  <si>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</si>
  <si>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</si>
  <si>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</si>
  <si>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</si>
  <si>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</si>
  <si>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</si>
  <si>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</si>
  <si>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</si>
  <si>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</si>
  <si>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</si>
  <si>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</si>
  <si>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</si>
  <si>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</si>
  <si>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</si>
  <si>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</si>
  <si>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</si>
  <si>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</si>
  <si>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</si>
  <si>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</si>
  <si>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</si>
  <si>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</si>
  <si>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</si>
  <si>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</si>
  <si>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</si>
  <si>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</si>
  <si>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</si>
  <si>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</si>
  <si>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</si>
  <si>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</si>
  <si>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</si>
  <si>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</si>
  <si>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</si>
  <si>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</si>
  <si>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</si>
  <si>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</si>
  <si>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</si>
  <si>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</si>
  <si>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</si>
  <si>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</si>
  <si>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</si>
  <si>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</si>
  <si>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</si>
  <si>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</si>
  <si>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</si>
  <si>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</si>
  <si>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</si>
  <si>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</si>
  <si>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</si>
  <si>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</si>
  <si>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</si>
  <si>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</si>
  <si>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</si>
  <si>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</si>
  <si>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</si>
  <si>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</si>
  <si>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</si>
  <si>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</si>
  <si>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</si>
  <si>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</si>
  <si>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</si>
  <si>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</si>
  <si>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</si>
  <si>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</si>
  <si>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</si>
  <si>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</si>
  <si>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</si>
  <si>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</si>
  <si>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</si>
  <si>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</si>
  <si>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</si>
  <si>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</si>
  <si>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</si>
  <si>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</si>
  <si>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</si>
  <si>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</si>
  <si>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</si>
  <si>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</si>
  <si>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</si>
  <si>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</si>
  <si>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</si>
  <si>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</si>
  <si>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</si>
  <si>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</si>
  <si>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</si>
  <si>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</si>
  <si>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</si>
  <si>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</si>
  <si>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</si>
  <si>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</si>
  <si>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</si>
  <si>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</si>
  <si>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</si>
  <si>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</si>
  <si>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</si>
  <si>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</si>
  <si>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</si>
  <si>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</si>
  <si>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</si>
  <si>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</si>
  <si>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</si>
  <si>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</si>
  <si>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</si>
  <si>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</si>
  <si>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</si>
  <si>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</si>
  <si>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</si>
  <si>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</si>
  <si>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</si>
  <si>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</si>
  <si>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</si>
  <si>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</si>
  <si>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</si>
  <si>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</si>
  <si>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</si>
  <si>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</si>
  <si>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</si>
  <si>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</si>
  <si>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</si>
  <si>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</si>
  <si>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</si>
  <si>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</si>
  <si>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</si>
  <si>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</si>
  <si>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</si>
  <si>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</si>
  <si>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</si>
  <si>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</si>
  <si>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</si>
  <si>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</si>
  <si>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</si>
  <si>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</si>
  <si>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</si>
  <si>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</si>
  <si>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</si>
  <si>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</si>
  <si>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</si>
  <si>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</si>
  <si>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</si>
  <si>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</si>
  <si>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</si>
  <si>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</si>
  <si>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</si>
  <si>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</si>
  <si>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</si>
  <si>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</si>
  <si>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</si>
  <si>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</si>
  <si>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</si>
  <si>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</si>
  <si>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</si>
  <si>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</si>
  <si>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</si>
  <si>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</si>
  <si>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</si>
  <si>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</si>
  <si>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</si>
  <si>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</si>
  <si>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</si>
  <si>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</si>
  <si>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</si>
  <si>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</si>
  <si>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</si>
  <si>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</si>
  <si>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</si>
  <si>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</si>
  <si>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</si>
  <si>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</si>
  <si>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</si>
  <si>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</si>
  <si>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</si>
  <si>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</si>
  <si>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</si>
  <si>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</si>
  <si>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</si>
  <si>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</si>
  <si>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</si>
  <si>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</si>
  <si>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</si>
  <si>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</si>
  <si>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</si>
  <si>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</si>
  <si>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</si>
  <si>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</si>
  <si>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</si>
  <si>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</si>
  <si>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</si>
  <si>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</si>
  <si>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</si>
  <si>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</si>
  <si>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</si>
  <si>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</si>
  <si>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</si>
  <si>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</si>
  <si>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</si>
  <si>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</si>
  <si>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</si>
  <si>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</si>
  <si>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</si>
  <si>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</si>
  <si>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</si>
  <si>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</si>
  <si>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</si>
  <si>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</si>
  <si>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</si>
  <si>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</si>
  <si>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</si>
  <si>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</si>
  <si>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</si>
  <si>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</si>
  <si>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</si>
  <si>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</si>
  <si>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</si>
  <si>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</si>
  <si>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</si>
  <si>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</si>
  <si>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</si>
  <si>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</si>
  <si>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</si>
  <si>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</si>
  <si>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</si>
  <si>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</si>
  <si>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</si>
  <si>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</si>
  <si>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</si>
  <si>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</si>
  <si>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</si>
  <si>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</si>
  <si>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</si>
  <si>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</si>
  <si>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</si>
  <si>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</si>
  <si>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</si>
  <si>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</si>
  <si>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</si>
  <si>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</si>
  <si>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</si>
  <si>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</si>
  <si>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</si>
  <si>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</si>
  <si>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</si>
  <si>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</si>
  <si>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</si>
  <si>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</si>
  <si>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</si>
  <si>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</si>
  <si>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</si>
  <si>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</si>
  <si>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</si>
  <si>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</si>
  <si>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</si>
  <si>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</si>
  <si>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</si>
  <si>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</si>
  <si>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</si>
  <si>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</si>
  <si>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</si>
  <si>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</si>
  <si>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</si>
  <si>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</si>
  <si>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</si>
  <si>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</si>
  <si>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</si>
  <si>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</si>
  <si>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</si>
  <si>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</si>
  <si>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</si>
  <si>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</si>
  <si>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</si>
  <si>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</si>
  <si>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</si>
  <si>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</si>
  <si>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</si>
  <si>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</si>
  <si>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</si>
  <si>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</si>
  <si>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</si>
  <si>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</si>
  <si>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</si>
  <si>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</si>
  <si>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</si>
  <si>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</si>
  <si>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</si>
  <si>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</si>
  <si>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</si>
  <si>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</si>
  <si>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</si>
  <si>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</si>
  <si>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</si>
  <si>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</si>
  <si>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</si>
  <si>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</si>
  <si>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</si>
  <si>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</si>
  <si>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</si>
  <si>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</si>
  <si>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</si>
  <si>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</si>
  <si>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</si>
  <si>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</si>
  <si>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</si>
  <si>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</si>
  <si>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</si>
  <si>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</si>
  <si>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</si>
  <si>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</si>
  <si>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</si>
  <si>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</si>
  <si>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</si>
  <si>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</si>
  <si>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</si>
  <si>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</si>
  <si>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</si>
  <si>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</si>
  <si>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</si>
  <si>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</si>
  <si>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</si>
  <si>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</si>
  <si>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</si>
  <si>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</si>
  <si>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</si>
  <si>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</si>
  <si>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</si>
  <si>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</si>
  <si>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</si>
  <si>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</si>
  <si>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</si>
  <si>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</si>
  <si>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</si>
  <si>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</si>
  <si>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</si>
  <si>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</si>
  <si>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</si>
  <si>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</si>
  <si>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</si>
  <si>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</si>
  <si>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</si>
  <si>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</si>
  <si>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</si>
  <si>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</si>
  <si>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</si>
  <si>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</si>
  <si>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</si>
  <si>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</si>
  <si>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</si>
  <si>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</si>
  <si>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</si>
  <si>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</si>
  <si>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</si>
  <si>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</si>
  <si>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</si>
  <si>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</si>
  <si>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</si>
  <si>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</si>
  <si>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</si>
  <si>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</si>
  <si>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</si>
  <si>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</si>
  <si>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</si>
  <si>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</si>
  <si>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</si>
  <si>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</si>
  <si>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</si>
  <si>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</si>
  <si>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</si>
  <si>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</si>
  <si>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</si>
  <si>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</si>
  <si>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</si>
  <si>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</si>
  <si>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</si>
  <si>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</si>
  <si>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</si>
  <si>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</si>
  <si>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</si>
  <si>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</si>
  <si>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</si>
  <si>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</si>
  <si>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</si>
  <si>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</si>
  <si>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</si>
  <si>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</si>
  <si>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</si>
  <si>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</si>
  <si>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</si>
  <si>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</si>
  <si>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</si>
  <si>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</si>
  <si>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</si>
  <si>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</si>
  <si>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</si>
  <si>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</si>
  <si>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</si>
  <si>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</si>
  <si>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</si>
  <si>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</si>
  <si>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</si>
  <si>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</si>
  <si>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</si>
  <si>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</si>
  <si>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</si>
  <si>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</si>
  <si>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</si>
  <si>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</si>
  <si>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</si>
  <si>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</si>
  <si>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</si>
  <si>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</si>
  <si>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</si>
  <si>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</si>
  <si>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</si>
  <si>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</si>
  <si>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</si>
  <si>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</si>
  <si>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</si>
  <si>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</si>
  <si>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</si>
  <si>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</si>
  <si>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</si>
  <si>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</si>
  <si>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</si>
  <si>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</si>
  <si>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</si>
  <si>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</si>
  <si>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</si>
  <si>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</si>
  <si>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</si>
  <si>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</si>
  <si>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</si>
  <si>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</si>
  <si>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</si>
  <si>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</si>
  <si>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</si>
  <si>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</si>
  <si>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</si>
  <si>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</si>
  <si>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</si>
  <si>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</si>
  <si>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</si>
  <si>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</si>
  <si>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</si>
  <si>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</si>
  <si>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</si>
  <si>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</si>
  <si>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</si>
  <si>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</si>
  <si>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</si>
  <si>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</si>
  <si>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</si>
  <si>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</si>
  <si>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</si>
  <si>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</si>
  <si>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</si>
  <si>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</si>
  <si>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</si>
  <si>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</si>
  <si>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</si>
  <si>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</si>
  <si>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</si>
  <si>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</si>
  <si>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</si>
  <si>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</si>
  <si>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</si>
  <si>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</si>
  <si>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</si>
  <si>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</si>
  <si>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</si>
  <si>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</si>
  <si>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</si>
  <si>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</si>
  <si>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</si>
  <si>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</si>
  <si>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</si>
  <si>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</si>
  <si>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</si>
  <si>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</si>
  <si>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</si>
  <si>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</si>
  <si>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</si>
  <si>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</si>
  <si>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</si>
  <si>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</si>
  <si>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</si>
  <si>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</si>
  <si>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</si>
  <si>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</si>
  <si>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</si>
  <si>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</si>
  <si>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</si>
  <si>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</si>
  <si>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</si>
  <si>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</si>
  <si>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</si>
  <si>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</si>
  <si>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</si>
  <si>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</si>
  <si>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</si>
  <si>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</si>
  <si>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</si>
  <si>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</si>
  <si>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</si>
  <si>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</si>
  <si>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</si>
  <si>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</si>
  <si>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</si>
  <si>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</si>
  <si>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</si>
  <si>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</si>
  <si>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</si>
  <si>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</si>
  <si>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</si>
  <si>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</si>
  <si>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</si>
  <si>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</si>
  <si>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</si>
  <si>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</si>
  <si>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</si>
  <si>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</si>
  <si>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</si>
  <si>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</si>
  <si>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</si>
  <si>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</si>
  <si>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</si>
  <si>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</si>
  <si>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</si>
  <si>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</si>
  <si>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</si>
  <si>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</si>
  <si>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</si>
  <si>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</si>
  <si>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</si>
  <si>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</si>
  <si>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</si>
  <si>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</si>
  <si>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</si>
  <si>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</si>
  <si>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</si>
  <si>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</si>
  <si>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</si>
  <si>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</si>
  <si>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</si>
  <si>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</si>
  <si>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</si>
  <si>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</si>
  <si>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</si>
  <si>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</si>
  <si>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</si>
  <si>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</si>
  <si>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</si>
  <si>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</si>
  <si>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</si>
  <si>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</si>
  <si>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</si>
  <si>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</si>
  <si>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</si>
  <si>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</si>
  <si>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</si>
  <si>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</si>
  <si>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</si>
  <si>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</si>
  <si>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</si>
  <si>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</si>
  <si>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</si>
  <si>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</si>
  <si>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</si>
  <si>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</si>
  <si>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</si>
  <si>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</si>
  <si>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</si>
  <si>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</si>
  <si>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</si>
  <si>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</si>
  <si>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</si>
  <si>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</si>
  <si>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</si>
  <si>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</si>
  <si>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</si>
  <si>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</si>
  <si>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</si>
  <si>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</si>
  <si>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</si>
  <si>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</si>
  <si>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</si>
  <si>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</si>
  <si>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</si>
  <si>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</si>
  <si>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</si>
  <si>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</si>
  <si>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</si>
  <si>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</si>
  <si>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</si>
  <si>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</si>
  <si>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</si>
  <si>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</si>
  <si>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</si>
  <si>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</si>
  <si>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</si>
  <si>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</si>
  <si>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</si>
  <si>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</si>
  <si>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</si>
  <si>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</si>
  <si>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</si>
  <si>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</si>
  <si>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</si>
  <si>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</si>
  <si>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</si>
  <si>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</si>
  <si>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</si>
  <si>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</si>
  <si>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</si>
  <si>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</si>
  <si>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</si>
  <si>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</si>
  <si>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</si>
  <si>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</si>
  <si>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</si>
  <si>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</si>
  <si>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</si>
  <si>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</si>
  <si>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</si>
  <si>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</si>
  <si>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</si>
  <si>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</si>
  <si>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</si>
  <si>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</si>
  <si>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</si>
  <si>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</si>
  <si>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</si>
  <si>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</si>
  <si>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</si>
  <si>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</si>
  <si>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</si>
  <si>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</si>
  <si>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</si>
  <si>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</si>
  <si>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</si>
  <si>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</si>
  <si>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</si>
  <si>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</si>
  <si>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</si>
  <si>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</si>
  <si>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</si>
  <si>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</si>
  <si>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</si>
  <si>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</si>
  <si>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</si>
  <si>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</si>
  <si>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</si>
  <si>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</si>
  <si>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</si>
  <si>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</si>
  <si>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</si>
  <si>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</si>
  <si>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</si>
  <si>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</si>
  <si>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</si>
  <si>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</si>
  <si>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</si>
  <si>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</si>
  <si>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</si>
  <si>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</si>
  <si>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</si>
  <si>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</si>
  <si>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</si>
  <si>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</si>
  <si>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</si>
  <si>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</si>
  <si>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</si>
  <si>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</si>
  <si>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</si>
  <si>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</si>
  <si>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</si>
  <si>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</si>
  <si>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</si>
  <si>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</si>
  <si>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</si>
  <si>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</si>
  <si>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</si>
  <si>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</si>
  <si>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</si>
  <si>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</si>
  <si>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</si>
  <si>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</si>
  <si>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</si>
  <si>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</si>
  <si>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</si>
  <si>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</si>
  <si>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</si>
  <si>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</si>
  <si>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</si>
  <si>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</si>
  <si>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</si>
  <si>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</si>
  <si>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</si>
  <si>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</si>
  <si>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</si>
  <si>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</si>
  <si>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</si>
  <si>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</si>
  <si>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</si>
  <si>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</si>
  <si>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</si>
  <si>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</si>
  <si>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</si>
  <si>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</si>
  <si>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</si>
  <si>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</si>
  <si>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</si>
  <si>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</si>
  <si>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</si>
  <si>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</si>
  <si>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</si>
  <si>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</si>
  <si>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</si>
  <si>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</si>
  <si>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</si>
  <si>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</si>
  <si>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</si>
  <si>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</si>
  <si>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</si>
  <si>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</si>
  <si>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</si>
  <si>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</si>
  <si>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</si>
  <si>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</si>
  <si>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</si>
  <si>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</si>
  <si>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</si>
  <si>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</si>
  <si>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</si>
  <si>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</si>
  <si>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</si>
  <si>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</si>
  <si>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</si>
  <si>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</si>
  <si>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</si>
  <si>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</si>
  <si>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</si>
  <si>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</si>
  <si>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</si>
  <si>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</si>
  <si>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</si>
  <si>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</si>
  <si>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</si>
  <si>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</si>
  <si>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</si>
  <si>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</si>
  <si>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</si>
  <si>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</si>
  <si>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</si>
  <si>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</si>
  <si>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</si>
  <si>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</si>
  <si>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</si>
  <si>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</si>
  <si>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</si>
  <si>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</si>
  <si>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</si>
  <si>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</si>
  <si>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</si>
  <si>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</si>
  <si>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</si>
  <si>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</si>
  <si>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</si>
  <si>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</si>
  <si>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</si>
  <si>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</si>
  <si>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</si>
  <si>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</si>
  <si>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</si>
  <si>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</si>
  <si>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</si>
  <si>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</si>
  <si>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</si>
  <si>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</si>
  <si>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</si>
  <si>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</si>
  <si>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</si>
  <si>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</si>
  <si>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</si>
  <si>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</si>
  <si>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</si>
  <si>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</si>
  <si>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</si>
  <si>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</si>
  <si>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</si>
  <si>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</si>
  <si>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</si>
  <si>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</si>
  <si>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</si>
  <si>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</si>
  <si>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</si>
  <si>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</si>
  <si>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</si>
  <si>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</si>
  <si>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</si>
  <si>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</si>
  <si>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</si>
  <si>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</si>
  <si>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</si>
  <si>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</si>
  <si>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</si>
  <si>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</si>
  <si>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</si>
  <si>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</si>
  <si>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</si>
  <si>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</si>
  <si>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</si>
  <si>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</si>
  <si>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</si>
  <si>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</si>
  <si>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</si>
  <si>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</si>
  <si>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</si>
  <si>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</si>
  <si>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</si>
  <si>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</si>
  <si>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</si>
  <si>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</si>
  <si>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</si>
  <si>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</si>
  <si>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</si>
  <si>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</si>
  <si>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</si>
  <si>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</si>
  <si>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</si>
  <si>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</si>
  <si>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</si>
  <si>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</si>
  <si>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</si>
  <si>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</si>
  <si>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</si>
  <si>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</si>
  <si>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</si>
  <si>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</si>
  <si>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</si>
  <si>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</si>
  <si>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</si>
  <si>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</si>
  <si>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</si>
  <si>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</si>
  <si>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</si>
  <si>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</si>
  <si>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</si>
  <si>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</si>
  <si>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</si>
  <si>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</si>
  <si>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</si>
  <si>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</si>
  <si>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</si>
  <si>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</si>
  <si>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</si>
  <si>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</si>
  <si>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</si>
  <si>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</si>
  <si>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</si>
  <si>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</si>
  <si>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</si>
  <si>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</si>
  <si>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</si>
  <si>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</si>
  <si>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</si>
  <si>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</si>
  <si>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</si>
  <si>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</si>
  <si>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</si>
  <si>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</si>
  <si>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</si>
  <si>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</si>
  <si>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</si>
  <si>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</si>
  <si>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</si>
  <si>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</si>
  <si>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</si>
  <si>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</si>
  <si>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</si>
  <si>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</si>
  <si>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</si>
  <si>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</si>
  <si>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</si>
  <si>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</si>
  <si>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</si>
  <si>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</si>
  <si>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</si>
  <si>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</si>
  <si>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</si>
  <si>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</si>
  <si>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</si>
  <si>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</si>
  <si>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</si>
  <si>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</si>
  <si>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</si>
  <si>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</si>
  <si>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</si>
  <si>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</si>
  <si>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</si>
  <si>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</si>
  <si>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</si>
  <si>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</si>
  <si>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</si>
  <si>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</si>
  <si>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</si>
  <si>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</si>
  <si>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</si>
  <si>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</si>
  <si>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</si>
  <si>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</si>
  <si>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</si>
  <si>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</si>
  <si>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</si>
  <si>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</si>
  <si>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</si>
  <si>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</si>
  <si>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</si>
  <si>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</si>
  <si>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</si>
  <si>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</si>
  <si>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</si>
  <si>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</si>
  <si>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</si>
  <si>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</si>
  <si>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</si>
  <si>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</si>
  <si>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</si>
  <si>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</si>
  <si>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</si>
  <si>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</si>
  <si>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</si>
  <si>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</si>
  <si>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</si>
  <si>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</si>
  <si>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</si>
  <si>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</si>
  <si>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</si>
  <si>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</si>
  <si>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</si>
  <si>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</si>
  <si>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</si>
  <si>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</si>
  <si>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</si>
  <si>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</si>
  <si>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</si>
  <si>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</si>
  <si>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</si>
  <si>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</si>
  <si>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</si>
  <si>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</si>
  <si>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</si>
  <si>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</si>
  <si>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</si>
  <si>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</si>
  <si>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</si>
  <si>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</si>
  <si>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</si>
  <si>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</si>
  <si>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</si>
  <si>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</si>
  <si>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</si>
  <si>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</si>
  <si>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</si>
  <si>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</si>
  <si>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</si>
  <si>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</si>
  <si>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</si>
  <si>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</si>
  <si>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</si>
  <si>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</si>
  <si>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</si>
  <si>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</si>
  <si>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</si>
  <si>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</si>
  <si>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</si>
  <si>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</si>
  <si>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</si>
  <si>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</si>
  <si>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</si>
  <si>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</si>
  <si>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</si>
  <si>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</si>
  <si>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</si>
  <si>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</si>
  <si>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</si>
  <si>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</si>
  <si>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</si>
  <si>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</si>
  <si>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</si>
  <si>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</si>
  <si>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</si>
  <si>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</si>
  <si>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</si>
  <si>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</si>
  <si>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</si>
  <si>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</si>
  <si>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</si>
  <si>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</si>
  <si>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</si>
  <si>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</si>
  <si>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</si>
  <si>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</si>
  <si>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</si>
  <si>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</si>
  <si>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</si>
  <si>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</si>
  <si>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</si>
  <si>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</si>
  <si>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</si>
  <si>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</si>
  <si>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</si>
  <si>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</si>
  <si>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</si>
  <si>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</si>
  <si>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</si>
  <si>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</si>
  <si>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</si>
  <si>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</si>
  <si>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</si>
  <si>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</si>
  <si>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</si>
  <si>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</si>
  <si>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</si>
  <si>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</si>
  <si>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</si>
  <si>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</si>
  <si>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</si>
  <si>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</si>
  <si>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</si>
  <si>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</si>
  <si>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</si>
  <si>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</si>
  <si>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</si>
  <si>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</si>
  <si>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</si>
  <si>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</si>
  <si>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</si>
  <si>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</si>
  <si>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</si>
  <si>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</si>
  <si>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</si>
  <si>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</si>
  <si>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</si>
  <si>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</si>
  <si>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</si>
  <si>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</si>
  <si>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</si>
  <si>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</si>
  <si>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</si>
  <si>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</si>
  <si>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</si>
  <si>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</si>
  <si>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</si>
  <si>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</si>
  <si>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</si>
  <si>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</si>
  <si>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</si>
  <si>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</si>
  <si>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</si>
  <si>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</si>
  <si>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</si>
  <si>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</si>
  <si>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</si>
  <si>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</si>
  <si>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</si>
  <si>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</si>
  <si>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</si>
  <si>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</si>
  <si>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</si>
  <si>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</si>
  <si>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</si>
  <si>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</si>
  <si>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</si>
  <si>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</si>
  <si>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</si>
  <si>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</si>
  <si>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</si>
  <si>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</si>
  <si>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</si>
  <si>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</si>
  <si>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</si>
  <si>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</si>
  <si>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</si>
  <si>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</si>
  <si>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</si>
  <si>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</si>
  <si>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</si>
  <si>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</si>
  <si>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</si>
  <si>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</si>
  <si>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</si>
  <si>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</si>
  <si>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</si>
  <si>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</si>
  <si>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</si>
  <si>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</si>
  <si>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</si>
  <si>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</si>
  <si>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</si>
  <si>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</si>
  <si>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</si>
  <si>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</si>
  <si>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</si>
  <si>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</si>
  <si>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</si>
  <si>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</si>
  <si>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</si>
  <si>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</si>
  <si>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</si>
  <si>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</si>
  <si>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</si>
  <si>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</si>
  <si>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</si>
  <si>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</si>
  <si>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</si>
  <si>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</si>
  <si>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</si>
  <si>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</si>
  <si>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</si>
  <si>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</si>
  <si>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</si>
  <si>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</si>
  <si>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</si>
  <si>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</si>
  <si>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</si>
  <si>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</si>
  <si>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</si>
  <si>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</si>
  <si>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</si>
  <si>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</si>
  <si>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</si>
  <si>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</si>
  <si>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</si>
  <si>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</si>
  <si>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</si>
  <si>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</si>
  <si>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</si>
  <si>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</si>
  <si>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</si>
  <si>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</si>
  <si>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</si>
  <si>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</si>
  <si>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</si>
  <si>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</si>
  <si>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</si>
  <si>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</si>
  <si>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</si>
  <si>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</si>
  <si>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</si>
  <si>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</si>
  <si>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</si>
  <si>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</si>
  <si>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</si>
  <si>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</si>
  <si>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</si>
  <si>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</si>
  <si>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</si>
  <si>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</si>
  <si>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</si>
  <si>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</si>
  <si>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</si>
  <si>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</si>
  <si>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</si>
  <si>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</si>
  <si>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</si>
  <si>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</si>
  <si>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</si>
  <si>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</si>
  <si>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</si>
  <si>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</si>
  <si>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</si>
  <si>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</si>
  <si>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</si>
  <si>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</si>
  <si>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</si>
  <si>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</si>
  <si>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</si>
  <si>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</si>
  <si>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</si>
  <si>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</si>
  <si>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</si>
  <si>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</si>
  <si>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</si>
  <si>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</si>
  <si>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</si>
  <si>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</si>
  <si>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</si>
  <si>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</si>
  <si>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</si>
  <si>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</si>
  <si>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</si>
  <si>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</si>
  <si>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</si>
  <si>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</si>
  <si>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</si>
  <si>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</si>
  <si>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</si>
  <si>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</si>
  <si>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</si>
  <si>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</si>
  <si>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</si>
  <si>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</si>
  <si>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</si>
  <si>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</si>
  <si>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</si>
  <si>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</si>
  <si>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</si>
  <si>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</si>
  <si>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</si>
  <si>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</si>
  <si>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</si>
  <si>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</si>
  <si>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</si>
  <si>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</si>
  <si>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</si>
  <si>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</si>
  <si>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</si>
  <si>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</si>
  <si>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</si>
  <si>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</si>
  <si>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</si>
  <si>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</si>
  <si>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</si>
  <si>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</si>
  <si>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</si>
  <si>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</si>
  <si>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</si>
  <si>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</si>
  <si>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</si>
  <si>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</si>
  <si>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</si>
  <si>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</si>
  <si>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</si>
  <si>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</si>
  <si>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</si>
  <si>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</si>
  <si>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</si>
  <si>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</si>
  <si>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</si>
  <si>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</si>
  <si>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</si>
  <si>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</si>
  <si>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</si>
  <si>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</si>
  <si>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</si>
  <si>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</si>
  <si>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</si>
  <si>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</si>
  <si>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</si>
  <si>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</si>
  <si>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</si>
  <si>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</si>
  <si>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</si>
  <si>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</si>
  <si>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</si>
  <si>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</si>
  <si>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</si>
  <si>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</si>
  <si>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</si>
  <si>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</si>
  <si>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</si>
  <si>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</si>
  <si>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</si>
  <si>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</si>
  <si>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</si>
  <si>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</si>
  <si>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</si>
  <si>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</si>
  <si>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</si>
  <si>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</si>
  <si>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</si>
  <si>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</si>
  <si>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</si>
  <si>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</si>
  <si>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</si>
  <si>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</si>
  <si>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</si>
  <si>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</si>
  <si>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</si>
  <si>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</si>
  <si>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</si>
  <si>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</si>
  <si>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</si>
  <si>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</si>
  <si>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</si>
  <si>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</si>
  <si>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</si>
  <si>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</si>
  <si>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</si>
  <si>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</si>
  <si>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</si>
  <si>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</si>
  <si>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</si>
  <si>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</si>
  <si>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</si>
  <si>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</si>
  <si>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</si>
  <si>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</si>
  <si>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</si>
  <si>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</si>
  <si>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</si>
  <si>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</si>
  <si>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</si>
  <si>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</si>
  <si>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</si>
  <si>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</si>
  <si>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</si>
  <si>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</si>
  <si>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</si>
  <si>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</si>
  <si>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</si>
  <si>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</si>
  <si>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</si>
  <si>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</si>
  <si>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</si>
  <si>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</si>
  <si>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</si>
  <si>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</si>
  <si>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</si>
  <si>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</si>
  <si>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</si>
  <si>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</si>
  <si>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</si>
  <si>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</si>
  <si>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</si>
  <si>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</si>
  <si>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</si>
  <si>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</si>
  <si>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</si>
  <si>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</si>
  <si>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</si>
  <si>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</si>
  <si>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</si>
  <si>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</si>
  <si>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</si>
  <si>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</si>
  <si>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</si>
  <si>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</si>
  <si>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</si>
  <si>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</si>
  <si>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</si>
  <si>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</si>
  <si>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</si>
  <si>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</si>
  <si>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</si>
  <si>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</si>
  <si>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</si>
  <si>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</si>
  <si>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</si>
  <si>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</si>
  <si>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</si>
  <si>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</si>
  <si>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</si>
  <si>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</si>
  <si>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</si>
  <si>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</si>
  <si>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</si>
  <si>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</si>
  <si>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</si>
  <si>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</si>
  <si>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</si>
  <si>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</si>
  <si>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</si>
  <si>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</si>
  <si>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</si>
  <si>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</si>
  <si>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</si>
  <si>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</si>
  <si>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</si>
  <si>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</si>
  <si>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</si>
  <si>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</si>
  <si>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</si>
  <si>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</si>
  <si>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</si>
  <si>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</si>
  <si>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</si>
  <si>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</si>
  <si>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</si>
  <si>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</si>
  <si>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</si>
  <si>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</si>
  <si>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</si>
  <si>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</si>
  <si>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</si>
  <si>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</si>
  <si>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</si>
  <si>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</si>
  <si>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</si>
  <si>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</si>
  <si>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</si>
  <si>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</si>
  <si>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</si>
  <si>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</si>
  <si>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</si>
  <si>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</si>
  <si>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</si>
  <si>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</si>
  <si>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</si>
  <si>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</si>
  <si>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</si>
  <si>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</si>
  <si>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</si>
  <si>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</si>
  <si>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</si>
  <si>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</si>
  <si>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</si>
  <si>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</si>
  <si>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</si>
  <si>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</si>
  <si>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</si>
  <si>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</si>
  <si>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</si>
  <si>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</si>
  <si>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</si>
  <si>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</si>
  <si>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</si>
  <si>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</si>
  <si>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</si>
  <si>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</si>
  <si>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</si>
  <si>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</si>
  <si>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</si>
  <si>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</si>
  <si>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</si>
  <si>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</si>
  <si>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</si>
  <si>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</si>
  <si>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</si>
  <si>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</si>
  <si>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</si>
  <si>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</si>
  <si>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</si>
  <si>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</si>
  <si>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</si>
  <si>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</si>
  <si>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</si>
  <si>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</si>
  <si>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</si>
  <si>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</si>
  <si>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</si>
  <si>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</si>
  <si>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</si>
  <si>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</si>
  <si>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</si>
  <si>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</si>
  <si>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</si>
  <si>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</si>
  <si>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</si>
  <si>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</si>
  <si>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</si>
  <si>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</si>
  <si>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</si>
  <si>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</si>
  <si>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</si>
  <si>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</si>
  <si>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</si>
  <si>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</si>
  <si>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</si>
  <si>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</si>
  <si>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</si>
  <si>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</si>
  <si>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</si>
  <si>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</si>
  <si>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</si>
  <si>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</si>
  <si>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</si>
  <si>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</si>
  <si>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</si>
  <si>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</si>
  <si>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</si>
  <si>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</si>
  <si>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</si>
  <si>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</si>
  <si>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</si>
  <si>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</si>
  <si>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</si>
  <si>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</si>
  <si>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</si>
  <si>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</si>
  <si>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</si>
  <si>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</si>
  <si>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</si>
  <si>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</si>
  <si>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</si>
  <si>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</si>
  <si>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</si>
  <si>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</si>
  <si>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</si>
  <si>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</si>
  <si>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</si>
  <si>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</si>
  <si>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</si>
  <si>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</si>
  <si>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</si>
  <si>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</si>
  <si>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</si>
  <si>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</si>
  <si>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</si>
  <si>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</si>
  <si>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</si>
  <si>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</si>
  <si>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</si>
  <si>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</si>
  <si>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</si>
  <si>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</si>
  <si>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</si>
  <si>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</si>
  <si>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</si>
  <si>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</si>
  <si>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</si>
  <si>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</si>
  <si>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</si>
  <si>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</si>
  <si>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</si>
  <si>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</si>
  <si>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</si>
  <si>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</si>
  <si>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</si>
  <si>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</si>
  <si>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</si>
  <si>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</si>
  <si>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</si>
  <si>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</si>
  <si>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</si>
  <si>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</si>
  <si>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</si>
  <si>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</si>
  <si>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</si>
  <si>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</si>
  <si>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</si>
  <si>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</si>
  <si>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</si>
  <si>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</si>
  <si>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</si>
  <si>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</si>
  <si>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</si>
  <si>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</si>
  <si>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</si>
  <si>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</si>
  <si>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</si>
  <si>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</si>
  <si>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</si>
  <si>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</si>
  <si>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</si>
  <si>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</si>
  <si>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</si>
  <si>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</si>
  <si>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</si>
  <si>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</si>
  <si>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</si>
  <si>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</si>
  <si>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</si>
  <si>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</si>
  <si>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</si>
  <si>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</si>
  <si>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</si>
  <si>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</si>
  <si>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</si>
  <si>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</si>
  <si>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</si>
  <si>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</si>
  <si>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</si>
  <si>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</si>
  <si>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</si>
  <si>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</si>
  <si>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</si>
  <si>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</si>
  <si>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</si>
  <si>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</si>
  <si>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</si>
  <si>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</si>
  <si>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</si>
  <si>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</si>
  <si>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</si>
  <si>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</si>
  <si>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</si>
  <si>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</si>
  <si>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</si>
  <si>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</si>
  <si>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</si>
  <si>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</si>
  <si>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</si>
  <si>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</si>
  <si>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</si>
  <si>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</si>
  <si>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</si>
  <si>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</si>
  <si>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</si>
  <si>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</si>
  <si>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</si>
  <si>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</si>
  <si>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</si>
  <si>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</si>
  <si>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</si>
  <si>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</si>
  <si>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</si>
  <si>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</si>
  <si>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</si>
  <si>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</si>
  <si>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</si>
  <si>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</si>
  <si>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</si>
  <si>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</si>
  <si>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</si>
  <si>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</si>
  <si>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</si>
  <si>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</si>
  <si>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</si>
  <si>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</si>
  <si>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</si>
  <si>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</si>
  <si>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</si>
  <si>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</si>
  <si>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</si>
  <si>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</si>
  <si>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</si>
  <si>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</si>
  <si>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</si>
  <si>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</si>
  <si>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</si>
  <si>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</si>
  <si>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</si>
  <si>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</si>
  <si>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</si>
  <si>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</si>
  <si>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</si>
  <si>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</si>
  <si>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</si>
  <si>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</si>
  <si>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</si>
  <si>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</si>
  <si>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</si>
  <si>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</si>
  <si>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</si>
  <si>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</si>
  <si>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</si>
  <si>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</si>
  <si>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</si>
  <si>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</si>
  <si>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</si>
  <si>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</si>
  <si>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</si>
  <si>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</si>
  <si>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</si>
  <si>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</si>
  <si>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</si>
  <si>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</si>
  <si>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</si>
  <si>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</si>
  <si>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</si>
  <si>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</si>
  <si>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</si>
  <si>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</si>
  <si>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</si>
  <si>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</si>
  <si>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</si>
  <si>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</si>
  <si>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</si>
  <si>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</si>
  <si>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</si>
  <si>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</si>
  <si>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</si>
  <si>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</si>
  <si>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</si>
  <si>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</si>
  <si>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</si>
  <si>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</si>
  <si>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</si>
  <si>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</si>
  <si>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</si>
  <si>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</si>
  <si>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</si>
  <si>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</si>
  <si>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</si>
  <si>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</si>
  <si>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</si>
  <si>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</si>
  <si>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</si>
  <si>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</si>
  <si>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</si>
  <si>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</si>
  <si>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</si>
  <si>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</si>
  <si>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</si>
  <si>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</si>
  <si>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</si>
  <si>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</si>
  <si>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</si>
  <si>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</si>
  <si>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</si>
  <si>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</si>
  <si>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</si>
  <si>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</si>
  <si>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</si>
  <si>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</si>
  <si>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</si>
  <si>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</si>
  <si>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</si>
  <si>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</si>
  <si>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</si>
  <si>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</si>
  <si>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</si>
  <si>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</si>
  <si>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</si>
  <si>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</si>
  <si>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</si>
  <si>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</si>
  <si>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</si>
  <si>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</si>
  <si>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</si>
  <si>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</si>
  <si>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</si>
  <si>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</si>
  <si>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</si>
  <si>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</si>
  <si>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</si>
  <si>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</si>
  <si>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</si>
  <si>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</si>
  <si>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</si>
  <si>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</si>
  <si>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</si>
  <si>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</si>
  <si>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</si>
  <si>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</si>
  <si>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</si>
  <si>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</si>
  <si>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</si>
  <si>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</si>
  <si>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</si>
  <si>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</si>
  <si>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</si>
  <si>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</si>
  <si>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</si>
  <si>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</si>
  <si>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</si>
  <si>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</si>
  <si>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</si>
  <si>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</si>
  <si>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</si>
  <si>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</si>
  <si>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</si>
  <si>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</si>
  <si>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</si>
  <si>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</si>
  <si>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</si>
  <si>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</si>
  <si>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</si>
  <si>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</si>
  <si>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</si>
  <si>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</si>
  <si>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</si>
  <si>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</si>
  <si>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</si>
  <si>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</si>
  <si>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</si>
  <si>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</si>
  <si>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</si>
  <si>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</si>
  <si>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</si>
  <si>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</si>
  <si>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</si>
  <si>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</si>
  <si>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</si>
  <si>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</si>
  <si>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</si>
  <si>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</si>
  <si>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</si>
  <si>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</si>
  <si>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</si>
  <si>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</si>
  <si>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</si>
  <si>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</si>
  <si>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</si>
  <si>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</si>
  <si>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</si>
  <si>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</si>
  <si>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</si>
  <si>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</si>
  <si>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</si>
  <si>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</si>
  <si>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</si>
  <si>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</si>
  <si>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</si>
  <si>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</si>
  <si>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</si>
  <si>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</si>
  <si>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</si>
  <si>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</si>
  <si>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</si>
  <si>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</si>
  <si>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</si>
  <si>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</si>
  <si>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</si>
  <si>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</si>
  <si>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</si>
  <si>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</si>
  <si>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</si>
  <si>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</si>
  <si>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</si>
  <si>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</si>
  <si>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</si>
  <si>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</si>
  <si>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</si>
  <si>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</si>
  <si>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</si>
  <si>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</si>
  <si>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</si>
  <si>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</si>
  <si>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</si>
  <si>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</si>
  <si>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</si>
  <si>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</si>
  <si>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</si>
  <si>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</si>
  <si>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</si>
  <si>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</si>
  <si>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</si>
  <si>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</si>
  <si>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</si>
  <si>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</si>
  <si>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</si>
  <si>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</si>
  <si>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</si>
  <si>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</si>
  <si>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</si>
  <si>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</si>
  <si>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</si>
  <si>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</si>
  <si>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</si>
  <si>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</si>
  <si>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</si>
  <si>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</si>
  <si>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</si>
  <si>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</si>
  <si>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</si>
  <si>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</si>
  <si>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</si>
  <si>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</si>
  <si>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</si>
  <si>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</si>
  <si>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</si>
  <si>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</si>
  <si>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</si>
  <si>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</si>
  <si>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</si>
  <si>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</si>
  <si>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</si>
  <si>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</si>
  <si>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</si>
  <si>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</si>
  <si>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</si>
  <si>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</si>
  <si>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</si>
  <si>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</si>
  <si>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</si>
  <si>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</si>
  <si>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</si>
  <si>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</si>
  <si>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</si>
  <si>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</si>
  <si>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</si>
  <si>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</si>
  <si>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</si>
  <si>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</si>
  <si>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</si>
  <si>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</si>
  <si>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</si>
  <si>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</si>
  <si>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</si>
  <si>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</si>
  <si>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</si>
  <si>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</si>
  <si>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</si>
  <si>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</si>
  <si>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</si>
  <si>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</si>
  <si>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</si>
  <si>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</si>
  <si>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</si>
  <si>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</si>
  <si>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</si>
  <si>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</si>
  <si>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</si>
  <si>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</si>
  <si>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</si>
  <si>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</si>
  <si>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</si>
  <si>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</si>
  <si>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</si>
  <si>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</si>
  <si>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</si>
  <si>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</si>
  <si>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</si>
  <si>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</si>
  <si>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</si>
  <si>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</si>
  <si>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</si>
  <si>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</si>
  <si>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</si>
  <si>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</si>
  <si>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</si>
  <si>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</si>
  <si>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</si>
  <si>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</si>
  <si>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</si>
  <si>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</si>
  <si>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</si>
  <si>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</si>
  <si>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</si>
  <si>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</si>
  <si>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</si>
  <si>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</si>
  <si>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</si>
  <si>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</si>
  <si>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</si>
  <si>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</si>
  <si>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</si>
  <si>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</si>
  <si>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</si>
  <si>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</si>
  <si>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</si>
  <si>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</si>
  <si>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</si>
  <si>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</si>
  <si>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</si>
  <si>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</si>
  <si>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</si>
  <si>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</si>
  <si>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</si>
  <si>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</si>
  <si>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</si>
  <si>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</si>
  <si>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</si>
  <si>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</si>
  <si>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</si>
  <si>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</si>
  <si>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</si>
  <si>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</si>
  <si>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</si>
  <si>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</si>
  <si>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</si>
  <si>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</si>
  <si>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</si>
  <si>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</si>
  <si>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</si>
  <si>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</si>
  <si>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</si>
  <si>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</si>
  <si>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</si>
  <si>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</si>
  <si>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</si>
  <si>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</si>
  <si>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</si>
  <si>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</si>
  <si>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</si>
  <si>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</si>
  <si>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</si>
  <si>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</si>
  <si>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</si>
  <si>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</si>
  <si>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</si>
  <si>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</si>
  <si>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</si>
  <si>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</si>
  <si>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</si>
  <si>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</si>
  <si>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</si>
  <si>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</si>
  <si>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</si>
  <si>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</si>
  <si>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</si>
  <si>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</si>
  <si>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</si>
  <si>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</si>
  <si>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</si>
  <si>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</si>
  <si>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</si>
  <si>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</si>
  <si>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</si>
  <si>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</si>
  <si>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</si>
  <si>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</si>
  <si>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</si>
  <si>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</si>
  <si>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</si>
  <si>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</si>
  <si>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</si>
  <si>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</si>
  <si>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</si>
  <si>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</si>
  <si>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</si>
  <si>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</si>
  <si>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</si>
  <si>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</si>
  <si>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</si>
  <si>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</si>
  <si>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</si>
  <si>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</si>
  <si>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</si>
  <si>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</si>
  <si>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</si>
  <si>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</si>
  <si>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</si>
  <si>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</si>
  <si>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</si>
  <si>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</si>
  <si>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</si>
  <si>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</si>
  <si>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</si>
  <si>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</si>
  <si>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</si>
  <si>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</si>
  <si>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</si>
  <si>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</si>
  <si>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</si>
  <si>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</si>
  <si>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</si>
  <si>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</si>
  <si>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</si>
  <si>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</si>
  <si>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</si>
  <si>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</si>
  <si>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</si>
  <si>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</si>
  <si>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</si>
  <si>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</si>
  <si>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</si>
  <si>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</si>
  <si>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</si>
  <si>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</si>
  <si>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</si>
  <si>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</si>
  <si>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</si>
  <si>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</si>
  <si>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</si>
  <si>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</si>
  <si>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</si>
  <si>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</si>
  <si>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</si>
  <si>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</si>
  <si>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</si>
  <si>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</si>
  <si>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</si>
  <si>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</si>
  <si>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</si>
  <si>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</si>
  <si>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</si>
  <si>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</si>
  <si>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</si>
  <si>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</si>
  <si>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</si>
  <si>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</si>
  <si>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</si>
  <si>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</si>
  <si>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</si>
  <si>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</si>
  <si>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</si>
  <si>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</si>
  <si>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</si>
  <si>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</si>
  <si>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</si>
  <si>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</si>
  <si>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</si>
  <si>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</si>
  <si>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</si>
  <si>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</si>
  <si>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</si>
  <si>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</si>
  <si>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</si>
  <si>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</si>
  <si>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</si>
  <si>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</si>
  <si>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</si>
  <si>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</si>
  <si>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</si>
  <si>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</si>
  <si>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</si>
  <si>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</si>
  <si>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</si>
  <si>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</si>
  <si>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</si>
  <si>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</si>
  <si>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</si>
  <si>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</si>
  <si>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</si>
  <si>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</si>
  <si>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</si>
  <si>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</si>
  <si>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</si>
  <si>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</si>
  <si>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</si>
  <si>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</si>
  <si>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</si>
  <si>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</si>
  <si>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</si>
  <si>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</si>
  <si>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</si>
  <si>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</si>
  <si>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</si>
  <si>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</si>
  <si>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</si>
  <si>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</si>
  <si>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</si>
  <si>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</si>
  <si>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</si>
  <si>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</si>
  <si>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</si>
  <si>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</si>
  <si>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</si>
  <si>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</si>
  <si>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</si>
  <si>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</si>
  <si>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</si>
  <si>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</si>
  <si>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</si>
  <si>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</si>
  <si>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</si>
  <si>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</si>
  <si>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</si>
  <si>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</si>
  <si>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</si>
  <si>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</si>
  <si>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</si>
  <si>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</si>
  <si>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</si>
  <si>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</si>
  <si>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</si>
  <si>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</si>
  <si>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</si>
  <si>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</si>
  <si>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</si>
  <si>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</si>
  <si>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</si>
  <si>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</si>
  <si>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</si>
  <si>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</si>
  <si>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</si>
  <si>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</si>
  <si>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</si>
  <si>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</si>
  <si>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</si>
  <si>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</si>
  <si>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</si>
  <si>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</si>
  <si>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</si>
  <si>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</si>
  <si>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</si>
  <si>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</si>
  <si>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</si>
  <si>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</si>
  <si>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</si>
  <si>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</si>
  <si>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</si>
  <si>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</si>
  <si>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</si>
  <si>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</si>
  <si>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</si>
  <si>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</si>
  <si>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</si>
  <si>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</si>
  <si>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</si>
  <si>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</si>
  <si>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</si>
  <si>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</si>
  <si>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</si>
  <si>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</si>
  <si>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</si>
  <si>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</si>
  <si>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</si>
  <si>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</si>
  <si>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</si>
  <si>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</si>
  <si>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</si>
  <si>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</si>
  <si>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</si>
  <si>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</si>
  <si>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</si>
  <si>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</si>
  <si>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</si>
  <si>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</si>
  <si>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</si>
  <si>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</si>
  <si>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</si>
  <si>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</si>
  <si>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</si>
  <si>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</si>
  <si>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</si>
  <si>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</si>
  <si>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</si>
  <si>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</si>
  <si>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</si>
  <si>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</si>
  <si>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</si>
  <si>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</si>
  <si>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</si>
  <si>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</si>
  <si>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</si>
  <si>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</si>
  <si>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</si>
  <si>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</si>
  <si>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</si>
  <si>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</si>
  <si>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</si>
  <si>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</si>
  <si>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</si>
  <si>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</si>
  <si>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</si>
  <si>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</si>
  <si>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</si>
  <si>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</si>
  <si>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</si>
  <si>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</si>
  <si>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</si>
  <si>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</si>
  <si>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</si>
  <si>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</si>
  <si>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</si>
  <si>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</si>
  <si>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</si>
  <si>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</si>
  <si>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</si>
  <si>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</si>
  <si>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</si>
  <si>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</si>
  <si>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</si>
  <si>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</si>
  <si>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</si>
  <si>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</si>
  <si>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</si>
  <si>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</si>
  <si>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</si>
  <si>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</si>
  <si>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</si>
  <si>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</si>
  <si>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</si>
  <si>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</si>
  <si>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</si>
  <si>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</si>
  <si>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</si>
  <si>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</si>
  <si>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</si>
  <si>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</si>
  <si>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</si>
  <si>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</si>
  <si>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</si>
  <si>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</si>
  <si>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</si>
  <si>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</si>
  <si>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</si>
  <si>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</si>
  <si>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</si>
  <si>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</si>
  <si>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</si>
  <si>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</si>
  <si>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</si>
  <si>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</si>
  <si>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</si>
  <si>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</si>
  <si>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</si>
  <si>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</si>
  <si>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</si>
  <si>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</si>
  <si>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</si>
  <si>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</si>
  <si>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</si>
  <si>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</si>
  <si>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</si>
  <si>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</si>
  <si>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</si>
  <si>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</si>
  <si>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</si>
  <si>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</si>
  <si>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</si>
  <si>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</si>
  <si>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</si>
  <si>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</si>
  <si>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</si>
  <si>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</si>
  <si>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</si>
  <si>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</si>
  <si>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</si>
  <si>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</si>
  <si>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</si>
  <si>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</si>
  <si>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</si>
  <si>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</si>
  <si>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</si>
  <si>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</si>
  <si>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</si>
  <si>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</si>
  <si>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</si>
  <si>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</si>
  <si>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</si>
  <si>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</si>
  <si>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</si>
  <si>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</si>
  <si>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</si>
  <si>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</si>
  <si>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</si>
  <si>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</si>
  <si>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</si>
  <si>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</si>
  <si>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</si>
  <si>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</si>
  <si>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</si>
  <si>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</si>
  <si>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</si>
  <si>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</si>
  <si>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</si>
  <si>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</si>
  <si>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</si>
  <si>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</si>
  <si>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</si>
  <si>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</si>
  <si>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</si>
  <si>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</si>
  <si>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</si>
  <si>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</si>
  <si>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</si>
  <si>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</si>
  <si>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</si>
  <si>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</si>
  <si>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</si>
  <si>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</si>
  <si>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</si>
  <si>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</si>
  <si>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</si>
  <si>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</si>
  <si>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</si>
  <si>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</si>
  <si>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</si>
  <si>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</si>
  <si>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</si>
  <si>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</si>
  <si>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</si>
  <si>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</si>
  <si>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</si>
  <si>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</si>
  <si>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</si>
  <si>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</si>
  <si>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</si>
  <si>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</si>
  <si>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</si>
  <si>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</si>
  <si>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</si>
  <si>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</si>
  <si>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</si>
  <si>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</si>
  <si>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</si>
  <si>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</si>
  <si>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</si>
  <si>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</si>
  <si>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</si>
  <si>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</si>
  <si>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</si>
  <si>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</si>
  <si>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</si>
  <si>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</si>
  <si>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</si>
  <si>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</si>
  <si>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</si>
  <si>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</si>
  <si>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</si>
  <si>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</si>
  <si>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</si>
  <si>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</si>
  <si>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</si>
  <si>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</si>
  <si>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</si>
  <si>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</si>
  <si>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</si>
  <si>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</si>
  <si>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</si>
  <si>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</si>
  <si>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</si>
  <si>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</si>
  <si>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</si>
  <si>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</si>
  <si>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</si>
  <si>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</si>
  <si>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</si>
  <si>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</si>
  <si>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</si>
  <si>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</si>
  <si>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</si>
  <si>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</si>
  <si>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</si>
  <si>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</si>
  <si>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</si>
  <si>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</si>
  <si>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</si>
  <si>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</si>
  <si>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</si>
  <si>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</si>
  <si>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</si>
  <si>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</si>
  <si>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</si>
  <si>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</si>
  <si>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</si>
  <si>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</si>
  <si>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</si>
  <si>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</si>
  <si>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</si>
  <si>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</si>
  <si>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</si>
  <si>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</si>
  <si>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</si>
  <si>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</si>
  <si>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</si>
  <si>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</si>
  <si>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</si>
  <si>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</si>
  <si>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</si>
  <si>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</si>
  <si>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</si>
  <si>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</si>
  <si>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</si>
  <si>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</si>
  <si>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</si>
  <si>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</si>
  <si>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</si>
  <si>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</si>
  <si>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</si>
  <si>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</si>
  <si>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</si>
  <si>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</si>
  <si>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</si>
  <si>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</si>
  <si>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</si>
  <si>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</si>
  <si>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</si>
  <si>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</si>
  <si>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</si>
  <si>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</si>
  <si>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</si>
  <si>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</si>
  <si>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</si>
  <si>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</si>
  <si>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</si>
  <si>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</si>
  <si>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</si>
  <si>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</si>
  <si>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</si>
  <si>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</si>
  <si>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</si>
  <si>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</si>
  <si>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</si>
  <si>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</si>
  <si>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</si>
  <si>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</si>
  <si>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</si>
  <si>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</si>
  <si>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</si>
  <si>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</si>
  <si>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</si>
  <si>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</si>
  <si>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</si>
  <si>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</si>
  <si>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</si>
  <si>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</si>
  <si>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</si>
  <si>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</si>
  <si>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</si>
  <si>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</si>
  <si>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</si>
  <si>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</si>
  <si>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</si>
  <si>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</si>
  <si>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</si>
  <si>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</si>
  <si>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</si>
  <si>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</si>
  <si>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</si>
  <si>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</si>
  <si>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</si>
  <si>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</si>
  <si>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</si>
  <si>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</si>
  <si>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</si>
  <si>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</si>
  <si>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</si>
  <si>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</si>
  <si>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</si>
  <si>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</si>
  <si>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</si>
  <si>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</si>
  <si>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</si>
  <si>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</si>
  <si>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</si>
  <si>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</si>
  <si>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</si>
  <si>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</si>
  <si>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</si>
  <si>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</si>
  <si>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</si>
  <si>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</si>
  <si>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</si>
  <si>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</si>
  <si>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</si>
  <si>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</si>
  <si>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</si>
  <si>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</si>
  <si>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</si>
  <si>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</si>
  <si>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</si>
  <si>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</si>
  <si>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</si>
  <si>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</si>
  <si>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</si>
  <si>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</si>
  <si>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</si>
  <si>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</si>
  <si>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</si>
  <si>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</si>
  <si>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</si>
  <si>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</si>
  <si>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</si>
  <si>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</si>
  <si>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</si>
  <si>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</si>
  <si>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</si>
  <si>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</si>
  <si>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</si>
  <si>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</si>
  <si>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</si>
  <si>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</si>
  <si>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</si>
  <si>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</si>
  <si>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</si>
  <si>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</si>
  <si>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</si>
  <si>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</si>
  <si>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</si>
  <si>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</si>
  <si>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</si>
  <si>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</si>
  <si>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</si>
  <si>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</si>
  <si>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</si>
  <si>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</si>
  <si>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</si>
  <si>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</si>
  <si>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</si>
  <si>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</si>
  <si>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</si>
  <si>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</si>
  <si>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</si>
  <si>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</si>
  <si>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</si>
  <si>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</si>
  <si>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</si>
  <si>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</si>
  <si>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</si>
  <si>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</si>
  <si>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</si>
  <si>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</si>
  <si>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</si>
  <si>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</si>
  <si>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</si>
  <si>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</si>
  <si>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</si>
  <si>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</si>
  <si>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</si>
  <si>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</si>
  <si>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</si>
  <si>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</si>
  <si>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</si>
  <si>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</si>
  <si>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</si>
  <si>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</si>
  <si>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</si>
  <si>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</si>
  <si>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</si>
  <si>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</si>
  <si>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</si>
  <si>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</si>
  <si>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</si>
  <si>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</si>
  <si>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</si>
  <si>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</si>
  <si>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</si>
  <si>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</si>
  <si>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</si>
  <si>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</si>
  <si>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</si>
  <si>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</si>
  <si>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</si>
  <si>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</si>
  <si>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</si>
  <si>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</si>
  <si>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</si>
  <si>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</si>
  <si>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</si>
  <si>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</si>
  <si>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</si>
  <si>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</si>
  <si>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</si>
  <si>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</si>
  <si>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</si>
  <si>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</si>
  <si>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</si>
  <si>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</si>
  <si>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</si>
  <si>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</si>
  <si>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</si>
  <si>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</si>
  <si>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</si>
  <si>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</si>
  <si>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</si>
  <si>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</si>
  <si>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</si>
  <si>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</si>
  <si>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</si>
  <si>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</si>
  <si>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</si>
  <si>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</si>
  <si>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</si>
  <si>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</si>
  <si>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</si>
  <si>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</si>
  <si>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</si>
  <si>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</si>
  <si>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</si>
  <si>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</si>
  <si>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</si>
  <si>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</si>
  <si>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</si>
  <si>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</si>
  <si>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</si>
  <si>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</si>
  <si>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</si>
  <si>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</si>
  <si>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</si>
  <si>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</si>
  <si>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</si>
  <si>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</si>
  <si>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</si>
  <si>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</si>
  <si>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</si>
  <si>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</si>
  <si>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</si>
  <si>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</si>
  <si>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</si>
  <si>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</si>
  <si>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</si>
  <si>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</si>
  <si>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</si>
  <si>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</si>
  <si>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</si>
  <si>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</si>
  <si>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</si>
  <si>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</si>
  <si>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</si>
  <si>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</si>
  <si>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</si>
  <si>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</si>
  <si>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</si>
  <si>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</si>
  <si>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</si>
  <si>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</si>
  <si>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</si>
  <si>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</si>
  <si>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</si>
  <si>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</si>
  <si>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</si>
  <si>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</si>
  <si>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</si>
  <si>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</si>
  <si>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</si>
  <si>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</si>
  <si>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</si>
  <si>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</si>
  <si>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</si>
  <si>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</si>
  <si>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</si>
  <si>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</si>
  <si>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</si>
  <si>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</si>
  <si>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</si>
  <si>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</si>
  <si>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</si>
  <si>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</si>
  <si>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</si>
  <si>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</si>
  <si>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</si>
  <si>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</si>
  <si>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</si>
  <si>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</si>
  <si>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</si>
  <si>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</si>
  <si>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</si>
  <si>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</si>
  <si>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</si>
  <si>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</si>
  <si>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</si>
  <si>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</si>
  <si>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</si>
  <si>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</si>
  <si>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</si>
  <si>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</si>
  <si>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</si>
  <si>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</si>
  <si>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</si>
  <si>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</si>
  <si>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</si>
  <si>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</si>
  <si>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</si>
  <si>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</si>
  <si>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</si>
  <si>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</si>
  <si>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</si>
  <si>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</si>
  <si>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</si>
  <si>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</si>
  <si>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</si>
  <si>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</si>
  <si>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</si>
  <si>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</si>
  <si>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</si>
  <si>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</si>
  <si>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</si>
  <si>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</si>
  <si>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</si>
  <si>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</si>
  <si>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</si>
  <si>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</si>
  <si>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</si>
  <si>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</si>
  <si>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</si>
  <si>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</si>
  <si>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</si>
  <si>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</si>
  <si>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</si>
  <si>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</si>
  <si>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</si>
  <si>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</si>
  <si>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</si>
  <si>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</si>
  <si>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</si>
  <si>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</si>
  <si>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</si>
  <si>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</si>
  <si>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</si>
  <si>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</si>
  <si>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</si>
  <si>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</si>
  <si>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</si>
  <si>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</si>
  <si>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</si>
  <si>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</si>
  <si>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</si>
  <si>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</si>
  <si>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</si>
  <si>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</si>
  <si>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</si>
  <si>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</si>
  <si>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</si>
  <si>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</si>
  <si>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</si>
  <si>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</si>
  <si>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</si>
  <si>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</si>
  <si>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</si>
  <si>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权益状况</t>
  </si>
  <si>
    <t>容积率</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</si>
  <si>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</si>
  <si>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</si>
  <si>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</si>
  <si>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</si>
  <si>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</si>
  <si>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</si>
  <si>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</si>
  <si>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</si>
  <si>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</si>
  <si>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</si>
  <si>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</si>
  <si>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</si>
  <si>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</si>
  <si>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</si>
  <si>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</si>
  <si>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</si>
  <si>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</si>
  <si>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</si>
  <si>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</si>
  <si>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</si>
  <si>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</si>
  <si>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</si>
  <si>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</si>
  <si>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</si>
  <si>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</si>
  <si>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新干线未售资产统计表</t>
  </si>
  <si>
    <t>新干线</t>
  </si>
  <si>
    <t>4#一层商11</t>
  </si>
  <si>
    <t>4#一层商12</t>
  </si>
  <si>
    <t>4#一层商13</t>
  </si>
  <si>
    <t>4#一层商14</t>
  </si>
  <si>
    <t>4#一层商15</t>
  </si>
  <si>
    <t>4#一层商16</t>
  </si>
  <si>
    <t>4#二层商8</t>
  </si>
  <si>
    <t>4#二层商9</t>
  </si>
  <si>
    <t>4#二层商10</t>
  </si>
  <si>
    <t>4#二层商11</t>
  </si>
  <si>
    <t>4#二层商12</t>
  </si>
  <si>
    <t>4#二层商13</t>
  </si>
  <si>
    <t>4#二层商14</t>
  </si>
  <si>
    <t>4#四层商1</t>
  </si>
  <si>
    <t>4#四层商2</t>
  </si>
  <si>
    <t>4#四层商3</t>
  </si>
  <si>
    <t>4#四层商4</t>
  </si>
  <si>
    <t>4#四层商5</t>
  </si>
  <si>
    <t>4#四层商6</t>
  </si>
  <si>
    <t>4#四层商7</t>
  </si>
  <si>
    <t>4#四层商8</t>
  </si>
  <si>
    <t>4#四层商9</t>
  </si>
  <si>
    <t>2#一层商1</t>
  </si>
  <si>
    <t>2#一层商2</t>
  </si>
  <si>
    <t>2#一层商3</t>
  </si>
  <si>
    <t>2#一层商4</t>
  </si>
  <si>
    <t>2#一层商5</t>
  </si>
  <si>
    <t>2#一层商6</t>
  </si>
  <si>
    <t>2#一层商7</t>
  </si>
  <si>
    <t>2#一层商8</t>
  </si>
  <si>
    <t>2#一层商9</t>
  </si>
  <si>
    <t>2#二层商1</t>
  </si>
  <si>
    <t>2#二层商2</t>
  </si>
  <si>
    <t>2#二层商3</t>
  </si>
  <si>
    <t>2#二层商4</t>
  </si>
  <si>
    <t>2#二层商5</t>
  </si>
  <si>
    <t>2#二层商6</t>
  </si>
  <si>
    <t>2#二层商7</t>
  </si>
  <si>
    <t>1#一层商1</t>
  </si>
  <si>
    <t>1#一层商2</t>
  </si>
  <si>
    <t>1#一层商3</t>
  </si>
  <si>
    <t>1#一层商4</t>
  </si>
  <si>
    <t>1#一层商5</t>
  </si>
  <si>
    <t>1#一层商6</t>
  </si>
  <si>
    <t>1#一层商7</t>
  </si>
  <si>
    <t>1#一层商8</t>
  </si>
  <si>
    <t>1#一层商9</t>
  </si>
  <si>
    <t>1#二层商1</t>
  </si>
  <si>
    <t>1#二层商2</t>
  </si>
  <si>
    <t>1#二层商3</t>
  </si>
  <si>
    <t>1#二层商4</t>
  </si>
  <si>
    <t>1#二层商5</t>
  </si>
  <si>
    <t>1#二层商6</t>
  </si>
  <si>
    <t>1#二层商7</t>
  </si>
  <si>
    <t>1#二层商8</t>
  </si>
  <si>
    <t>1#二层商9</t>
  </si>
  <si>
    <t>新干线</t>
    <phoneticPr fontId="3" type="noConversion"/>
  </si>
  <si>
    <t>百步亭安居苑</t>
    <phoneticPr fontId="3" type="noConversion"/>
  </si>
  <si>
    <t>武汉市江岸区百步亭安居小路26号</t>
    <phoneticPr fontId="3" type="noConversion"/>
  </si>
  <si>
    <t>幸福里</t>
    <phoneticPr fontId="3" type="noConversion"/>
  </si>
  <si>
    <t>武汉市江岸区百步亭花园路与后湖大道交汇处</t>
    <phoneticPr fontId="3" type="noConversion"/>
  </si>
  <si>
    <t>挑高层高</t>
    <phoneticPr fontId="25" type="noConversion"/>
  </si>
  <si>
    <t>标准层高</t>
  </si>
  <si>
    <t>标准层高</t>
    <phoneticPr fontId="25" type="noConversion"/>
  </si>
  <si>
    <t>福星惠誉红桥城</t>
    <phoneticPr fontId="3" type="noConversion"/>
  </si>
  <si>
    <t>武汉市江岸区解放大道新荣轻轨站</t>
    <phoneticPr fontId="3" type="noConversion"/>
  </si>
  <si>
    <t>办公楼一层商1</t>
    <phoneticPr fontId="143" type="noConversion"/>
  </si>
  <si>
    <t>办公楼二层商1</t>
    <phoneticPr fontId="143" type="noConversion"/>
  </si>
  <si>
    <t>办公楼三层商1</t>
    <phoneticPr fontId="143" type="noConversion"/>
  </si>
  <si>
    <t>办公楼一层商2</t>
    <phoneticPr fontId="143" type="noConversion"/>
  </si>
  <si>
    <t>办公楼二层商2</t>
    <phoneticPr fontId="143" type="noConversion"/>
  </si>
  <si>
    <t>办公楼三层商2</t>
    <phoneticPr fontId="143" type="noConversion"/>
  </si>
  <si>
    <t>办公楼一层商3</t>
    <phoneticPr fontId="143" type="noConversion"/>
  </si>
  <si>
    <t>办公楼二层商3</t>
    <phoneticPr fontId="143" type="noConversion"/>
  </si>
  <si>
    <t>办公楼三层商3</t>
    <phoneticPr fontId="143" type="noConversion"/>
  </si>
  <si>
    <t>4#一层商10</t>
    <phoneticPr fontId="143" type="noConversion"/>
  </si>
  <si>
    <r>
      <t>湖北省武汉市洪山区天成美雅项目</t>
    </r>
    <r>
      <rPr>
        <sz val="9"/>
        <color theme="1"/>
        <rFont val="Arial"/>
        <family val="2"/>
      </rPr>
      <t>8</t>
    </r>
    <r>
      <rPr>
        <sz val="9"/>
        <color theme="1"/>
        <rFont val="华文细黑"/>
        <family val="3"/>
        <charset val="134"/>
      </rPr>
      <t>号楼</t>
    </r>
    <r>
      <rPr>
        <sz val="9"/>
        <color theme="1"/>
        <rFont val="Arial"/>
        <family val="2"/>
      </rPr>
      <t>-</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41</t>
    </r>
    <r>
      <rPr>
        <sz val="9"/>
        <color theme="1"/>
        <rFont val="华文细黑"/>
        <family val="3"/>
        <charset val="134"/>
      </rPr>
      <t>套商业用房房地产</t>
    </r>
  </si>
  <si>
    <r>
      <t>30-40</t>
    </r>
    <r>
      <rPr>
        <sz val="9"/>
        <color theme="1"/>
        <rFont val="华文细黑"/>
        <family val="3"/>
        <charset val="134"/>
      </rPr>
      <t>（含）</t>
    </r>
  </si>
  <si>
    <t>容积率</t>
  </si>
  <si>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</si>
  <si>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</si>
  <si>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</si>
  <si>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</si>
  <si>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</si>
  <si>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</si>
  <si>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</si>
  <si>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</si>
  <si>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</si>
  <si>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</si>
  <si>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</si>
  <si>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</si>
  <si>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</si>
  <si>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统建.新干线</t>
    <phoneticPr fontId="143" type="noConversion"/>
  </si>
  <si>
    <t>百步亭安居苑</t>
    <phoneticPr fontId="143" type="noConversion"/>
  </si>
  <si>
    <t>武汉市江岸区百步亭安居小路26号</t>
    <phoneticPr fontId="143" type="noConversion"/>
  </si>
  <si>
    <t>福星惠誉红桥城</t>
    <phoneticPr fontId="143" type="noConversion"/>
  </si>
  <si>
    <t>武汉市江岸区解放大道新荣轻轨站</t>
    <phoneticPr fontId="143" type="noConversion"/>
  </si>
  <si>
    <t>幸福里</t>
    <phoneticPr fontId="143" type="noConversion"/>
  </si>
  <si>
    <t>武汉市江岸区百步亭花园路与后湖大道交汇处</t>
    <phoneticPr fontId="143" type="noConversion"/>
  </si>
  <si>
    <t>周边有百步亭安居苑、福星惠誉红桥城幸福里等项目，商业繁华度一般；</t>
    <phoneticPr fontId="143" type="noConversion"/>
  </si>
  <si>
    <t>周边有统建.新干线、汉口城市广场、福星惠誉红桥城幸福里等项目，商业繁华度较好；</t>
    <phoneticPr fontId="143" type="noConversion"/>
  </si>
  <si>
    <t>估价对象周边路网密集度一般、停车较便捷、周边有313、319、321、555、622路等多条公共线路经过，交通状况好；</t>
    <phoneticPr fontId="143" type="noConversion"/>
  </si>
  <si>
    <t>估价对象周边路网密集度一般、停车较便捷、周边有211、212、232、355、592路等多条公共线路经过，紧临轨道交通1号线堤角站，交通状况好；</t>
    <phoneticPr fontId="143" type="noConversion"/>
  </si>
  <si>
    <t>估价对象周边路网密集度一般、停车较便捷、周边有4、230、509、620路等多条公共线路经过，交通状况好；</t>
    <phoneticPr fontId="143" type="noConversion"/>
  </si>
  <si>
    <t>估价对象周边路网密集度一般、停车较便捷、周边有265、303、508、516路等多条公共线路经过，紧临轨道交通阳逻线线百步亭花园路站，交通状况好；</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</si>
  <si>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公里内的公共服务配套设施齐备，有超市（中百超市、中百仓储超市等）、银行（工商银行、邮储银行等）、学校（金利幼儿园、堤角小学、堤角中学等）、餐饮（湖锦酒楼等）；</t>
    </r>
    <phoneticPr fontId="143" type="noConversion"/>
  </si>
  <si>
    <r>
      <t>估价对象周边</t>
    </r>
    <r>
      <rPr>
        <sz val="9"/>
        <color theme="1"/>
        <rFont val="Arial"/>
        <family val="2"/>
      </rPr>
      <t>1</t>
    </r>
    <r>
      <rPr>
        <sz val="9"/>
        <color theme="1"/>
        <rFont val="华文细黑"/>
        <family val="3"/>
        <charset val="134"/>
      </rPr>
      <t>公里内的公共服务配套设施齐备，有超市（兴隆超市等）、银行（华夏银行、汉口银行等）、学校（武汉市育才实验小学等）、餐饮（彭胖子火锅虾庄等）；</t>
    </r>
    <phoneticPr fontId="143" type="noConversion"/>
  </si>
  <si>
    <t>周边有堤角公园等设施，环境状况较好；</t>
    <phoneticPr fontId="143" type="noConversion"/>
  </si>
  <si>
    <t>较好</t>
    <phoneticPr fontId="143" type="noConversion"/>
  </si>
  <si>
    <t>商业街商业</t>
    <phoneticPr fontId="143" type="noConversion"/>
  </si>
  <si>
    <t>综合性商业</t>
    <phoneticPr fontId="143" type="noConversion"/>
  </si>
  <si>
    <t>序号</t>
    <phoneticPr fontId="143" type="noConversion"/>
  </si>
  <si>
    <t>坐落</t>
    <phoneticPr fontId="143" type="noConversion"/>
  </si>
  <si>
    <t>不动产权证号</t>
    <phoneticPr fontId="143" type="noConversion"/>
  </si>
  <si>
    <t>建筑面积（㎡）</t>
    <phoneticPr fontId="143" type="noConversion"/>
  </si>
  <si>
    <t>分摊土地面积（㎡）</t>
    <phoneticPr fontId="143" type="noConversion"/>
  </si>
  <si>
    <t>江岸区解放大道2068号统建·新干线4号楼、商2号楼商2号楼单元1层（1）商号</t>
    <phoneticPr fontId="143" type="noConversion"/>
  </si>
  <si>
    <t>鄂（2018）武汉市江岸不动产权第0057817号</t>
    <phoneticPr fontId="143" type="noConversion"/>
  </si>
  <si>
    <t>江岸区解放大道2068号统建·新干线4号楼、商2号楼商2号楼单元1层（2）商号</t>
  </si>
  <si>
    <t>鄂（2018）武汉市江岸不动产权第0058102号</t>
    <phoneticPr fontId="143" type="noConversion"/>
  </si>
  <si>
    <t>江岸区解放大道2068号统建·新干线4号楼、商2号楼商2号楼单元1层（3）商号</t>
  </si>
  <si>
    <t>鄂（2018）武汉市江岸不动产权第0058280号</t>
    <phoneticPr fontId="143" type="noConversion"/>
  </si>
  <si>
    <t>江岸区解放大道2068号统建·新干线4号楼、商2号楼商2号楼单元1层（4）商号</t>
  </si>
  <si>
    <t>鄂（2018）武汉市江岸不动产权第0057958号</t>
    <phoneticPr fontId="143" type="noConversion"/>
  </si>
  <si>
    <t>江岸区解放大道2068号统建·新干线4号楼、商2号楼商2号楼单元1层（5）商号</t>
  </si>
  <si>
    <t>鄂（2018）武汉市江岸不动产权第0058257号</t>
    <phoneticPr fontId="143" type="noConversion"/>
  </si>
  <si>
    <t>江岸区解放大道2068号统建·新干线4号楼、商2号楼商2号楼单元1层（6）商号</t>
  </si>
  <si>
    <t>鄂（2018）武汉市江岸不动产权第0058237号</t>
    <phoneticPr fontId="143" type="noConversion"/>
  </si>
  <si>
    <t>江岸区解放大道2068号统建·新干线4号楼、商2号楼商2号楼单元1层（7）商号</t>
  </si>
  <si>
    <t>鄂（2018）武汉市江岸不动产权第0058255号</t>
    <phoneticPr fontId="143" type="noConversion"/>
  </si>
  <si>
    <t>江岸区解放大道2068号统建·新干线4号楼、商2号楼商2号楼单元1层（8）商号</t>
  </si>
  <si>
    <t>鄂（2018）武汉市江岸不动产权第0058232号</t>
    <phoneticPr fontId="143" type="noConversion"/>
  </si>
  <si>
    <t>江岸区解放大道2068号统建·新干线4号楼、商2号楼商2号楼单元1层（9）商号</t>
  </si>
  <si>
    <t>鄂（2018）武汉市江岸不动产权第0058319号</t>
    <phoneticPr fontId="143" type="noConversion"/>
  </si>
  <si>
    <t>江岸区解放大道2068号统建·新干线4号楼、商2号楼商2号楼单元2层（1）商号</t>
    <phoneticPr fontId="143" type="noConversion"/>
  </si>
  <si>
    <t>鄂（2018）武汉市江岸不动产权第0058360号</t>
    <phoneticPr fontId="143" type="noConversion"/>
  </si>
  <si>
    <t>江岸区解放大道2068号统建·新干线4号楼、商2号楼商2号楼单元2层（2）商号</t>
  </si>
  <si>
    <t>鄂（2018）武汉市江岸不动产权第0057495号</t>
    <phoneticPr fontId="143" type="noConversion"/>
  </si>
  <si>
    <t>江岸区解放大道2068号统建·新干线4号楼、商2号楼商2号楼单元2层（3）商号</t>
  </si>
  <si>
    <t>鄂（2018）武汉市江岸不动产权第0058355号</t>
    <phoneticPr fontId="143" type="noConversion"/>
  </si>
  <si>
    <t>江岸区解放大道2068号统建·新干线4号楼、商2号楼商2号楼单元2层（4）商号</t>
  </si>
  <si>
    <t>鄂（2018）武汉市江岸不动产权第0058103号</t>
    <phoneticPr fontId="143" type="noConversion"/>
  </si>
  <si>
    <t>江岸区解放大道2068号统建·新干线4号楼、商2号楼商2号楼单元2层（5）商号</t>
  </si>
  <si>
    <t>鄂（2018）武汉市江岸不动产权第0058099号</t>
    <phoneticPr fontId="143" type="noConversion"/>
  </si>
  <si>
    <t>江岸区解放大道2068号统建·新干线4号楼、商2号楼商2号楼单元2层（6）商号</t>
  </si>
  <si>
    <t>鄂（2018）武汉市江岸不动产权第0058223号</t>
    <phoneticPr fontId="143" type="noConversion"/>
  </si>
  <si>
    <t>江岸区解放大道2068号统建·新干线4号楼、商2号楼商2号楼单元2层（7）商号</t>
  </si>
  <si>
    <t>鄂（2018）武汉市江岸不动产权第0057823号</t>
    <phoneticPr fontId="143" type="noConversion"/>
  </si>
  <si>
    <t>江岸区解放大道2066号统建·新干线办公楼栋/单元1-4层（1）商（复式）号</t>
    <phoneticPr fontId="143" type="noConversion"/>
  </si>
  <si>
    <t>鄂（2018）武汉市江岸不动产权第0058039号</t>
    <phoneticPr fontId="143" type="noConversion"/>
  </si>
  <si>
    <t>江岸区解放大道2066号统建·新干线办公楼栋/单元1层（2）商号</t>
    <phoneticPr fontId="143" type="noConversion"/>
  </si>
  <si>
    <t>鄂（2018）武汉市江岸不动产权第0057939号</t>
    <phoneticPr fontId="143" type="noConversion"/>
  </si>
  <si>
    <t>江岸区解放大道2066号统建·新干线办公楼栋/单元1层（3）商号</t>
  </si>
  <si>
    <t>鄂（2018）武汉市江岸不动产权第0057496号</t>
    <phoneticPr fontId="143" type="noConversion"/>
  </si>
  <si>
    <t>江岸区解放大道2068号统建·新干线商1号楼/单元1层（1）商号</t>
    <phoneticPr fontId="143" type="noConversion"/>
  </si>
  <si>
    <t>鄂（2018）武汉市江岸不动产权第0058317号</t>
    <phoneticPr fontId="143" type="noConversion"/>
  </si>
  <si>
    <t>江岸区解放大道2068号统建·新干线商1号楼/单元1层（2）商号</t>
  </si>
  <si>
    <t>鄂（2018）武汉市江岸不动产权第0058354号</t>
    <phoneticPr fontId="143" type="noConversion"/>
  </si>
  <si>
    <t>江岸区解放大道2068号统建·新干线商1号楼/单元1层（3）商号</t>
  </si>
  <si>
    <t>鄂（2018）武汉市江岸不动产权第0057488号</t>
    <phoneticPr fontId="143" type="noConversion"/>
  </si>
  <si>
    <t>江岸区解放大道2068号统建·新干线商1号楼/单元1层（4）商号</t>
  </si>
  <si>
    <t>鄂（2018）武汉市江岸不动产权第0057814号</t>
    <phoneticPr fontId="143" type="noConversion"/>
  </si>
  <si>
    <t>江岸区解放大道2068号统建·新干线商1号楼/单元1层（5）商号</t>
  </si>
  <si>
    <t>鄂（2018）武汉市江岸不动产权第0057498号</t>
    <phoneticPr fontId="143" type="noConversion"/>
  </si>
  <si>
    <t>江岸区解放大道2068号统建·新干线商1号楼/单元1层（6）商号</t>
  </si>
  <si>
    <t>鄂（2018）武汉市江岸不动产权第0057816号</t>
    <phoneticPr fontId="143" type="noConversion"/>
  </si>
  <si>
    <t>江岸区解放大道2068号统建·新干线商1号楼/单元1层（7）商号</t>
  </si>
  <si>
    <t>鄂（2018）武汉市江岸不动产权第0058034号</t>
    <phoneticPr fontId="143" type="noConversion"/>
  </si>
  <si>
    <t>江岸区解放大道2068号统建·新干线商1号楼/单元1层（8）商号</t>
  </si>
  <si>
    <t>鄂（2018）武汉市江岸不动产权第0057997号</t>
    <phoneticPr fontId="143" type="noConversion"/>
  </si>
  <si>
    <t>江岸区解放大道2068号统建·新干线商1号楼/单元1层（9）商号</t>
  </si>
  <si>
    <t>鄂（2018）武汉市江岸不动产权第0057996号</t>
    <phoneticPr fontId="143" type="noConversion"/>
  </si>
  <si>
    <t>江岸区解放大道2068号统建·新干线商1号楼/单元2层（1）商号</t>
    <phoneticPr fontId="143" type="noConversion"/>
  </si>
  <si>
    <t>鄂（2018）武汉市江岸不动产权第0058357号</t>
    <phoneticPr fontId="143" type="noConversion"/>
  </si>
  <si>
    <t>江岸区解放大道2068号统建·新干线商1号楼/单元2层（2）商号</t>
  </si>
  <si>
    <t>鄂（2018）武汉市江岸不动产权第0057479号</t>
    <phoneticPr fontId="143" type="noConversion"/>
  </si>
  <si>
    <t>江岸区解放大道2068号统建·新干线商1号楼/单元2层（3）商号</t>
  </si>
  <si>
    <t>鄂（2018）武汉市江岸不动产权第0057940号</t>
    <phoneticPr fontId="143" type="noConversion"/>
  </si>
  <si>
    <t>江岸区解放大道2068号统建·新干线商1号楼/单元2层（4）商号</t>
  </si>
  <si>
    <t>鄂（2018）武汉市江岸不动产权第0057858号</t>
    <phoneticPr fontId="143" type="noConversion"/>
  </si>
  <si>
    <t>江岸区解放大道2068号统建·新干线商1号楼/单元2层（5）商号</t>
  </si>
  <si>
    <t>鄂（2018）武汉市江岸不动产权第0057856号</t>
    <phoneticPr fontId="143" type="noConversion"/>
  </si>
  <si>
    <t>江岸区解放大道2068号统建·新干线商1号楼/单元2层（6）商号</t>
  </si>
  <si>
    <t>鄂（2018）武汉市江岸不动产权第0058031号</t>
    <phoneticPr fontId="143" type="noConversion"/>
  </si>
  <si>
    <t>江岸区解放大道2068号统建·新干线商1号楼/单元2层（7）商号</t>
  </si>
  <si>
    <t>鄂（2018）武汉市江岸不动产权第0057998号</t>
    <phoneticPr fontId="143" type="noConversion"/>
  </si>
  <si>
    <t>江岸区解放大道2068号统建·新干线商1号楼/单元2层（8）商号</t>
  </si>
  <si>
    <t>鄂（2018）武汉市江岸不动产权第0057483号</t>
    <phoneticPr fontId="143" type="noConversion"/>
  </si>
  <si>
    <t>江岸区解放大道2068号统建·新干线商1号楼/单元2层（9）商号</t>
  </si>
  <si>
    <t>鄂（2018）武汉市江岸不动产权第0057855号</t>
    <phoneticPr fontId="143" type="noConversion"/>
  </si>
  <si>
    <t>江岸区解放大道2068号统建·新干线4号楼、商2号楼4号楼商业单元2层（8）商号</t>
    <phoneticPr fontId="143" type="noConversion"/>
  </si>
  <si>
    <t>鄂（2018）武汉市江岸不动产权第0057815号</t>
    <phoneticPr fontId="143" type="noConversion"/>
  </si>
  <si>
    <t>江岸区解放大道2068号统建·新干线4号楼、商2号楼4号楼商业单元2层（9）商号</t>
  </si>
  <si>
    <t>鄂（2018）武汉市江岸不动产权第0058359号</t>
    <phoneticPr fontId="143" type="noConversion"/>
  </si>
  <si>
    <t>江岸区解放大道2068号统建·新干线4号楼、商2号楼4号楼商业单元2层（10）商号</t>
  </si>
  <si>
    <t>鄂（2018）武汉市江岸不动产权第0058356号</t>
    <phoneticPr fontId="143" type="noConversion"/>
  </si>
  <si>
    <t>江岸区解放大道2068号统建·新干线4号楼、商2号楼4号楼商业单元2层（11）商号</t>
  </si>
  <si>
    <t>鄂（2018）武汉市江岸不动产权第0058256号</t>
    <phoneticPr fontId="143" type="noConversion"/>
  </si>
  <si>
    <t>江岸区解放大道2068号统建·新干线4号楼、商2号楼4号楼商业单元2层（12）商号</t>
  </si>
  <si>
    <t>鄂（2018）武汉市江岸不动产权第0058316号</t>
    <phoneticPr fontId="143" type="noConversion"/>
  </si>
  <si>
    <t>江岸区解放大道2068号统建·新干线4号楼、商2号楼4号楼商业单元2层（13）商号</t>
  </si>
  <si>
    <t>鄂（2018）武汉市江岸不动产权第0057820号</t>
    <phoneticPr fontId="143" type="noConversion"/>
  </si>
  <si>
    <t>江岸区解放大道2068号统建·新干线4号楼、商2号楼4号楼商业单元2层（14）商号</t>
  </si>
  <si>
    <t>鄂（2018）武汉市江岸不动产权第0058036号</t>
    <phoneticPr fontId="143" type="noConversion"/>
  </si>
  <si>
    <t>江岸区解放大道2068号统建·新干线4号楼、商2号楼4号楼商业单元4层（1）商号</t>
    <phoneticPr fontId="143" type="noConversion"/>
  </si>
  <si>
    <t>鄂（2018）武汉市江岸不动产权第0057853号</t>
    <phoneticPr fontId="143" type="noConversion"/>
  </si>
  <si>
    <t>江岸区解放大道2068号统建·新干线4号楼、商2号楼4号楼商业单元4层（2）商号</t>
  </si>
  <si>
    <t>鄂（2018）武汉市江岸不动产权第0057813号</t>
    <phoneticPr fontId="143" type="noConversion"/>
  </si>
  <si>
    <t>江岸区解放大道2068号统建·新干线4号楼、商2号楼4号楼商业单元4层（3）商号</t>
  </si>
  <si>
    <t>鄂（2018）武汉市江岸不动产权第0057822号</t>
    <phoneticPr fontId="143" type="noConversion"/>
  </si>
  <si>
    <t>江岸区解放大道2068号统建·新干线4号楼、商2号楼4号楼商业单元4层（4）商号</t>
  </si>
  <si>
    <t>鄂（2018）武汉市江岸不动产权第0058004号</t>
    <phoneticPr fontId="143" type="noConversion"/>
  </si>
  <si>
    <t>江岸区解放大道2068号统建·新干线4号楼、商2号楼4号楼商业单元4层（5）商号</t>
  </si>
  <si>
    <t>鄂（2018）武汉市江岸不动产权第0057824号</t>
    <phoneticPr fontId="143" type="noConversion"/>
  </si>
  <si>
    <t>江岸区解放大道2068号统建·新干线4号楼、商2号楼4号楼商业单元4层（6）商号</t>
  </si>
  <si>
    <t>鄂（2018）武汉市江岸不动产权第0057952号</t>
    <phoneticPr fontId="143" type="noConversion"/>
  </si>
  <si>
    <t>江岸区解放大道2068号统建·新干线4号楼、商2号楼4号楼商业单元4层（7）商号</t>
  </si>
  <si>
    <t>鄂（2018）武汉市江岸不动产权第0057847号</t>
    <phoneticPr fontId="143" type="noConversion"/>
  </si>
  <si>
    <t>江岸区解放大道2068号统建·新干线4号楼、商2号楼4号楼商业单元4层（8）商号</t>
  </si>
  <si>
    <t>鄂（2018）武汉市江岸不动产权第0058100号</t>
    <phoneticPr fontId="143" type="noConversion"/>
  </si>
  <si>
    <t>江岸区解放大道2068号统建·新干线4号楼、商2号楼4号楼商业单元4层（9）商号</t>
  </si>
  <si>
    <t>鄂（2018）武汉市江岸不动产权第0058000号</t>
    <phoneticPr fontId="143" type="noConversion"/>
  </si>
  <si>
    <t>江岸区解放大道2068号统建·新干线4号楼、商2号楼4号楼商业单元1层（10）商号</t>
    <phoneticPr fontId="143" type="noConversion"/>
  </si>
  <si>
    <t>鄂（2018）武汉市江岸不动产权第0058213号</t>
    <phoneticPr fontId="143" type="noConversion"/>
  </si>
  <si>
    <t>江岸区解放大道2068号统建·新干线4号楼、商2号楼4号楼商业单元1层（11）商号</t>
  </si>
  <si>
    <t>鄂（2018）武汉市江岸不动产权第0058259号</t>
    <phoneticPr fontId="143" type="noConversion"/>
  </si>
  <si>
    <t>江岸区解放大道2068号统建·新干线4号楼、商2号楼4号楼商业单元1层（12）商号</t>
  </si>
  <si>
    <t>鄂（2018）武汉市江岸不动产权第0058321号</t>
    <phoneticPr fontId="143" type="noConversion"/>
  </si>
  <si>
    <t>江岸区解放大道2068号统建·新干线4号楼、商2号楼4号楼商业单元1层（13）商号</t>
  </si>
  <si>
    <t>鄂（2018）武汉市江岸不动产权第0058030号</t>
    <phoneticPr fontId="143" type="noConversion"/>
  </si>
  <si>
    <t>江岸区解放大道2068号统建·新干线4号楼、商2号楼4号楼商业单元1层（14）商号</t>
  </si>
  <si>
    <t>鄂（2018）武汉市江岸不动产权第0058235号</t>
    <phoneticPr fontId="143" type="noConversion"/>
  </si>
  <si>
    <t>江岸区解放大道2068号统建·新干线4号楼、商2号楼4号楼商业单元1层（15）商号</t>
  </si>
  <si>
    <t>鄂（2018）武汉市江岸不动产权第0058101号</t>
    <phoneticPr fontId="143" type="noConversion"/>
  </si>
  <si>
    <t>江岸区解放大道2068号统建·新干线4号楼、商2号楼4号楼商业单元1层（16）商号</t>
  </si>
  <si>
    <t>鄂（2018）武汉市江岸不动产权第0057957号</t>
    <phoneticPr fontId="143" type="noConversion"/>
  </si>
  <si>
    <t>鄂（2018）武汉市江岸不动产权第0057917号</t>
  </si>
  <si>
    <t>合计</t>
    <phoneticPr fontId="143" type="noConversion"/>
  </si>
  <si>
    <t>之前合计</t>
    <phoneticPr fontId="143" type="noConversion"/>
  </si>
  <si>
    <t>之前总价</t>
    <phoneticPr fontId="25" type="noConversion"/>
  </si>
  <si>
    <t>之前面积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</si>
</sst>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1" xfId="0" applyFont="1" applyBorder="1" applyAlignment="1">
      <alignment horizontal="justify" vertical="center" wrapText="1"/>
    </xf>
    <xf numFmtId="0" fontId="254" fillId="0" borderId="161" xfId="0" applyFont="1" applyBorder="1">
      <alignment vertical="center"/>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67"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63" fillId="0" borderId="1" xfId="0" applyNumberFormat="1" applyFont="1" applyFill="1" applyBorder="1" applyAlignment="1" applyProtection="1">
      <alignment horizontal="center" vertical="center"/>
      <protection locked="0"/>
    </xf>
    <xf numFmtId="0" fontId="144" fillId="0" borderId="1" xfId="0" applyNumberFormat="1" applyFont="1" applyFill="1" applyBorder="1" applyAlignment="1">
      <alignment horizontal="center" vertical="center" wrapText="1"/>
    </xf>
    <xf numFmtId="179" fontId="144" fillId="0" borderId="1" xfId="0" applyNumberFormat="1" applyFont="1" applyBorder="1" applyAlignment="1">
      <alignment horizontal="center"/>
    </xf>
    <xf numFmtId="0" fontId="144" fillId="0" borderId="0" xfId="0" applyFont="1" applyAlignment="1">
      <alignment horizontal="center"/>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161" xfId="0" applyFont="1" applyBorder="1">
      <alignment vertical="center"/>
    </xf>
    <xf numFmtId="0" fontId="254" fillId="0" borderId="1" xfId="0" applyFont="1" applyBorder="1">
      <alignment vertical="center"/>
    </xf>
    <xf numFmtId="0" fontId="99" fillId="0" borderId="1" xfId="0" applyFont="1" applyBorder="1" applyAlignment="1">
      <alignment horizontal="center" vertical="center"/>
    </xf>
    <xf numFmtId="0" fontId="254" fillId="0" borderId="161" xfId="0" applyFont="1" applyBorder="1" applyAlignment="1">
      <alignment horizontal="justify"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0" fontId="63" fillId="5" borderId="1" xfId="0" applyNumberFormat="1" applyFont="1" applyFill="1" applyBorder="1" applyAlignment="1" applyProtection="1">
      <alignment horizontal="center" vertical="center"/>
      <protection locked="0"/>
    </xf>
    <xf numFmtId="0" fontId="0" fillId="0" borderId="0" xfId="0" applyFont="1" applyAlignment="1"/>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6"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6"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19996;&#33459;&#38597;&#33489;&#65289;&#65288;&#19968;&#23457;.0503&#65289;-&#29579;&#33804;20180530-0919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1">
          <cell r="V21">
            <v>62136</v>
          </cell>
        </row>
        <row r="22">
          <cell r="V22">
            <v>22781.280000000032</v>
          </cell>
        </row>
      </sheetData>
      <sheetData sheetId="39"/>
      <sheetData sheetId="40"/>
      <sheetData sheetId="41"/>
      <sheetData sheetId="42"/>
      <sheetData sheetId="43"/>
      <sheetData sheetId="44"/>
      <sheetData sheetId="45"/>
      <sheetData sheetId="46"/>
      <sheetData sheetId="47">
        <row r="274">
          <cell r="E274">
            <v>2677.9800000000027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估价对象为湖北省武汉市房地产，为武汉统建所有。根据，估价对象（分摊）出让国有建设用地使用权面积为3042.4平方米，建筑面积为10648.41平方米。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估价对象为湖北省武汉市房地产,属武汉统建开发建设的商业项目，该项目尚在开发建设中。根据，估价对象（分摊）出让国有建设用地使用权面积为3042.4平方米，规划建筑面积为10648.41平方米。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190</v>
      </c>
    </row>
    <row r="21" spans="1:2" s="1595" customFormat="1">
      <c r="A21" s="1593" t="s">
        <v>1235</v>
      </c>
      <c r="B21" s="1594">
        <f ca="1">'预评函-2'!D7</f>
        <v>33322</v>
      </c>
    </row>
    <row r="22" spans="1:2" s="1595" customFormat="1">
      <c r="A22" s="1593" t="s">
        <v>1236</v>
      </c>
      <c r="B22" s="1594" t="str">
        <f ca="1">'预评函-2'!D6</f>
        <v>壹佰玖拾万元整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190</v>
      </c>
    </row>
    <row r="31" spans="1:2" s="1595" customFormat="1">
      <c r="A31" s="1593" t="s">
        <v>1274</v>
      </c>
      <c r="B31" s="1594">
        <f ca="1">'预评函-2'!D15</f>
        <v>178</v>
      </c>
    </row>
    <row r="32" spans="1:2" s="1595" customFormat="1">
      <c r="A32" s="1593" t="s">
        <v>1241</v>
      </c>
      <c r="B32" s="1594" t="str">
        <f ca="1">'预评函-2'!D14</f>
        <v>壹佰玖拾万元整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10648.409999999993</v>
      </c>
    </row>
    <row r="44" spans="1:2" s="1595" customFormat="1">
      <c r="A44" s="1593" t="s">
        <v>1273</v>
      </c>
      <c r="B44" s="1594" t="str">
        <f>'预评函-3'!C2</f>
        <v>(分摊)土地面积</v>
      </c>
    </row>
    <row r="45" spans="1:2" s="1595" customFormat="1">
      <c r="A45" s="1593" t="s">
        <v>1245</v>
      </c>
      <c r="B45" s="1594">
        <f>'预评函-3'!C4</f>
        <v>3042.4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4"/>
      <c r="B54" s="2024" t="s">
        <v>864</v>
      </c>
      <c r="C54" s="2021" t="s">
        <v>1281</v>
      </c>
    </row>
    <row r="55" spans="1:4">
      <c r="A55" s="3074"/>
      <c r="B55" s="2024" t="s">
        <v>865</v>
      </c>
      <c r="C55" s="2021" t="s">
        <v>1282</v>
      </c>
    </row>
    <row r="56" spans="1:4">
      <c r="A56" s="3074"/>
      <c r="B56" s="2024" t="s">
        <v>866</v>
      </c>
      <c r="C56" s="2021" t="s">
        <v>1286</v>
      </c>
    </row>
    <row r="57" spans="1:4">
      <c r="A57" s="307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75" t="str">
        <f>IF(B10="北京市","北京市",C10)&amp;F10&amp;IF(结果表!G1="在建","出让国有建设用地使用权及在建建筑物",IF(结果表!G1="土地","出让国有建设用地使用权",))&amp;B9&amp;"预评估"</f>
        <v>湖北省武汉市房地产抵押价值预评估</v>
      </c>
      <c r="C1" s="3076"/>
      <c r="D1" s="3076"/>
      <c r="E1" s="3076"/>
      <c r="F1" s="3076"/>
      <c r="G1" s="3076"/>
      <c r="H1" s="3076"/>
      <c r="I1" s="307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3158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3158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3159</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78"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79"/>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3160</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3159</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56289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35.83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85" t="s">
        <v>3050</v>
      </c>
      <c r="C16" s="3086"/>
      <c r="D16" s="3087"/>
      <c r="E16" s="2082" t="s">
        <v>1801</v>
      </c>
      <c r="F16" s="3088"/>
      <c r="G16" s="3089"/>
      <c r="H16" s="3089"/>
      <c r="I16" s="3090"/>
      <c r="J16" s="2031"/>
      <c r="K16" s="2079"/>
      <c r="L16" s="2080"/>
      <c r="M16" s="2080"/>
      <c r="N16" s="2081"/>
      <c r="O16" s="2080"/>
      <c r="P16" s="2081"/>
      <c r="Q16" s="2031"/>
      <c r="R16" s="2031"/>
    </row>
    <row r="17" spans="1:22" ht="18" customHeight="1">
      <c r="A17" s="2083" t="s">
        <v>1802</v>
      </c>
      <c r="B17" s="2037" t="s">
        <v>1803</v>
      </c>
      <c r="C17" s="1056">
        <f>'数据-汇总表'!E3</f>
        <v>10648.409999999993</v>
      </c>
      <c r="D17" s="2084" t="s">
        <v>1804</v>
      </c>
      <c r="E17" s="3091"/>
      <c r="F17" s="3092"/>
      <c r="G17" s="3092"/>
      <c r="H17" s="3092"/>
      <c r="I17" s="3093"/>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3042.4</v>
      </c>
      <c r="D18" s="2087" t="s">
        <v>1804</v>
      </c>
      <c r="E18" s="3094"/>
      <c r="F18" s="3095"/>
      <c r="G18" s="3095"/>
      <c r="H18" s="3095"/>
      <c r="I18" s="3096"/>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81" t="s">
        <v>1811</v>
      </c>
      <c r="C20" s="3082"/>
      <c r="D20" s="3083" t="s">
        <v>1812</v>
      </c>
      <c r="E20" s="3084"/>
      <c r="F20" s="2094" t="s">
        <v>1813</v>
      </c>
      <c r="G20" s="2044"/>
      <c r="H20" s="2044"/>
      <c r="I20" s="2044"/>
      <c r="J20" s="2044"/>
      <c r="K20" s="3080"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8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8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98"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98"/>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98"/>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99"/>
      <c r="B30" s="2037" t="s">
        <v>1828</v>
      </c>
      <c r="C30" s="3100"/>
      <c r="D30" s="3101"/>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02"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03"/>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03"/>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97" t="s">
        <v>1838</v>
      </c>
      <c r="T34" s="2131" t="str">
        <f>NUMBERSTRING(7-K34,1)&amp;"通"</f>
        <v>七通</v>
      </c>
      <c r="U34" s="2031"/>
      <c r="V34" s="2031"/>
    </row>
    <row r="35" spans="1:22" ht="18" customHeight="1">
      <c r="A35" s="2132"/>
      <c r="B35" s="3104" t="s">
        <v>1839</v>
      </c>
      <c r="C35" s="3104"/>
      <c r="D35" s="3104"/>
      <c r="E35" s="3104"/>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7"/>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ROUND(I13/3.5,2)</f>
        <v>3042.4</v>
      </c>
      <c r="B3" s="14">
        <f>IF(C3="否",G5-AT5,G5)</f>
        <v>10648.409999999993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10648.409999999993</v>
      </c>
      <c r="H5" s="16">
        <f t="shared" ref="H5:AT5" si="0">SUM(H13:H656)</f>
        <v>10648.409999999993</v>
      </c>
      <c r="I5" s="16">
        <f t="shared" si="0"/>
        <v>10648.409999999993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10648.409999999993</v>
      </c>
      <c r="BA5" s="18">
        <f t="shared" si="1"/>
        <v>10648.409999999993</v>
      </c>
      <c r="BB5" s="18">
        <f t="shared" si="1"/>
        <v>10648.409999999993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3042.4</v>
      </c>
      <c r="F6" s="16" t="s">
        <v>1</v>
      </c>
      <c r="G6" s="16" t="s">
        <v>2</v>
      </c>
      <c r="H6" s="20">
        <f>SUMIF(I$12:AB$12,"总值",I6:AB6)</f>
        <v>3042.4</v>
      </c>
      <c r="I6" s="16">
        <f t="shared" ref="I6:AB6" si="2">ROUND($A$3*I5/$B$3,2)</f>
        <v>3042.4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3042.4</v>
      </c>
      <c r="AZ6" s="16" t="s">
        <v>3</v>
      </c>
      <c r="BA6" s="16">
        <f>ROUND($AY$6*BA5/$AZ$5,2)</f>
        <v>3042.4</v>
      </c>
      <c r="BB6" s="16">
        <f>ROUND($AY$6*BB5/$AZ$5,2)</f>
        <v>3042.4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3172</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95" t="s">
        <v>3237</v>
      </c>
      <c r="D13" s="2210" t="s">
        <v>3064</v>
      </c>
      <c r="E13" s="16">
        <f>IF($C$3="是",ROUND($A$3*G13/$B$3,2),ROUND($A$3*(G13-AT13)/$B$3,2))</f>
        <v>3042.4</v>
      </c>
      <c r="F13" s="32"/>
      <c r="G13" s="33">
        <f>H13+AC13+AT13</f>
        <v>10648.409999999993</v>
      </c>
      <c r="H13" s="20">
        <f>SUMIF(I$12:AB$12,"总值",I13:AB13)</f>
        <v>10648.409999999993</v>
      </c>
      <c r="I13" s="2211">
        <f>Sheet1!E69</f>
        <v>10648.409999999993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新干线</v>
      </c>
      <c r="AY13" s="1808">
        <f>ROUND($AY$6*AZ13/$AZ$5,2)</f>
        <v>3042.4</v>
      </c>
      <c r="AZ13" s="16">
        <f>BA13+BL13</f>
        <v>10648.409999999993</v>
      </c>
      <c r="BA13" s="16">
        <f>SUM(BB13:BK13)</f>
        <v>10648.409999999993</v>
      </c>
      <c r="BB13" s="16">
        <f>IF($D13="是",I13-J13,0)</f>
        <v>10648.409999999993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6" t="s">
        <v>1935</v>
      </c>
      <c r="B2" s="3116"/>
      <c r="C2" s="3116"/>
      <c r="D2" s="969" t="s">
        <v>1911</v>
      </c>
      <c r="E2" s="2224" t="s">
        <v>1912</v>
      </c>
      <c r="F2" s="1394"/>
      <c r="G2" s="2225"/>
      <c r="H2" s="2226"/>
      <c r="I2" s="2227" t="s">
        <v>1936</v>
      </c>
      <c r="J2" s="1394"/>
      <c r="K2" s="1394"/>
      <c r="L2" s="1394"/>
      <c r="M2" s="1394"/>
      <c r="N2" s="1429"/>
      <c r="O2" s="1394"/>
      <c r="P2" s="1394"/>
    </row>
    <row r="3" spans="1:16" ht="15.75" thickBot="1">
      <c r="A3" s="3117" t="s">
        <v>1909</v>
      </c>
      <c r="B3" s="3117"/>
      <c r="C3" s="3117"/>
      <c r="D3" s="46">
        <f>'数据-基础表'!AY6</f>
        <v>3042.4</v>
      </c>
      <c r="E3" s="46">
        <f>'数据-基础表'!AZ5</f>
        <v>10648.409999999993</v>
      </c>
      <c r="F3" s="1394"/>
      <c r="G3" s="1401"/>
      <c r="H3" s="1249" t="s">
        <v>1910</v>
      </c>
      <c r="I3" s="55">
        <f>ROUND('数据-基础表'!B3/'数据-基础表'!A3,2)</f>
        <v>3.5</v>
      </c>
      <c r="J3" s="1394"/>
      <c r="K3" s="1394"/>
      <c r="L3" s="1394"/>
      <c r="M3" s="1394"/>
      <c r="N3" s="1429"/>
      <c r="O3" s="1394"/>
      <c r="P3" s="1394"/>
    </row>
    <row r="4" spans="1:16" ht="15">
      <c r="A4" s="3118"/>
      <c r="B4" s="3119"/>
      <c r="C4" s="3120"/>
      <c r="D4" s="2228" t="s">
        <v>1911</v>
      </c>
      <c r="E4" s="2229" t="s">
        <v>1912</v>
      </c>
      <c r="F4" s="1394"/>
      <c r="G4" s="2230" t="s">
        <v>1937</v>
      </c>
      <c r="H4" s="1249" t="s">
        <v>1917</v>
      </c>
      <c r="I4" s="55">
        <f>ROUND(SUMIF('数据-基础表'!I9:AS9,"地上",'数据-基础表'!I5:AS5)/'数据-基础表'!A3,2)</f>
        <v>3.5</v>
      </c>
      <c r="J4" s="1394"/>
      <c r="K4" s="1394"/>
      <c r="L4" s="1394"/>
      <c r="M4" s="1394"/>
      <c r="N4" s="1429"/>
      <c r="O4" s="1394"/>
      <c r="P4" s="1394"/>
    </row>
    <row r="5" spans="1:16">
      <c r="A5" s="47" t="s">
        <v>1913</v>
      </c>
      <c r="B5" s="3121" t="s">
        <v>1914</v>
      </c>
      <c r="C5" s="3121"/>
      <c r="D5" s="48">
        <f>ROUND($D$3*E5/$E$3,2)</f>
        <v>0</v>
      </c>
      <c r="E5" s="49">
        <f>SUMIF('数据-基础表'!$11:$11,"住宅",'数据-基础表'!$5:$5)</f>
        <v>0</v>
      </c>
      <c r="F5" s="1394"/>
      <c r="G5" s="1401"/>
      <c r="H5" s="1249" t="s">
        <v>1910</v>
      </c>
      <c r="I5" s="55">
        <f>ROUND(E31/D31,2)</f>
        <v>3.5</v>
      </c>
      <c r="J5" s="1394"/>
      <c r="K5" s="1394"/>
      <c r="L5" s="1394"/>
      <c r="M5" s="1394"/>
      <c r="N5" s="1394"/>
      <c r="O5" s="1394"/>
      <c r="P5" s="1394"/>
    </row>
    <row r="6" spans="1:16" ht="15" thickBot="1">
      <c r="A6" s="2231"/>
      <c r="B6" s="3121" t="s">
        <v>1915</v>
      </c>
      <c r="C6" s="3121"/>
      <c r="D6" s="48">
        <f>ROUND($D$3*E6/$E$3,2)</f>
        <v>3042.4</v>
      </c>
      <c r="E6" s="49">
        <f>E3-E5</f>
        <v>10648.409999999993</v>
      </c>
      <c r="F6" s="1394"/>
      <c r="G6" s="2232" t="s">
        <v>1916</v>
      </c>
      <c r="H6" s="1401" t="s">
        <v>1917</v>
      </c>
      <c r="I6" s="941">
        <f>ROUND(F31/D31,2)</f>
        <v>3.5</v>
      </c>
      <c r="J6" s="1394"/>
      <c r="K6" s="1394"/>
      <c r="L6" s="1394"/>
      <c r="M6" s="1394"/>
      <c r="N6" s="1394"/>
      <c r="O6" s="1394"/>
      <c r="P6" s="1394"/>
    </row>
    <row r="7" spans="1:16" ht="15">
      <c r="A7" s="3113"/>
      <c r="B7" s="3114"/>
      <c r="C7" s="3115"/>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3042.4</v>
      </c>
      <c r="E8" s="51">
        <f>SUMIF('数据-基础表'!BB10:BK10,"地上",'数据-基础表'!BB5:BK5)</f>
        <v>10648.409999999993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3042.4</v>
      </c>
      <c r="E16" s="53">
        <f>SUM(E8:E15)</f>
        <v>10648.409999999993</v>
      </c>
      <c r="F16" s="1394"/>
      <c r="G16" s="2234"/>
      <c r="H16" s="2237" t="s">
        <v>1939</v>
      </c>
      <c r="I16" s="2238"/>
      <c r="J16" s="1394"/>
      <c r="K16" s="3110" t="s">
        <v>1939</v>
      </c>
      <c r="L16" s="3111"/>
      <c r="M16" s="3111"/>
      <c r="N16" s="3111"/>
      <c r="O16" s="3111"/>
      <c r="P16" s="3112"/>
    </row>
    <row r="17" spans="1:19" ht="15">
      <c r="A17" s="2239" t="s">
        <v>1940</v>
      </c>
      <c r="B17" s="2240" t="s">
        <v>1941</v>
      </c>
      <c r="C17" s="2241" t="s">
        <v>1942</v>
      </c>
      <c r="D17" s="2242" t="s">
        <v>1930</v>
      </c>
      <c r="E17" s="2243" t="s">
        <v>1931</v>
      </c>
      <c r="F17" s="2244"/>
      <c r="G17" s="2245"/>
      <c r="H17" s="2246" t="s">
        <v>1943</v>
      </c>
      <c r="I17" s="2247" t="s">
        <v>1928</v>
      </c>
      <c r="J17" s="1394"/>
      <c r="K17" s="3107" t="s">
        <v>1944</v>
      </c>
      <c r="L17" s="3108"/>
      <c r="M17" s="3109"/>
      <c r="N17" s="3107" t="s">
        <v>1945</v>
      </c>
      <c r="O17" s="3108"/>
      <c r="P17" s="3109"/>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3068</v>
      </c>
      <c r="D19" s="48">
        <f>ROUND($D$3*E19/$E$3,2)</f>
        <v>16.29</v>
      </c>
      <c r="E19" s="56">
        <f t="shared" ref="E19:E26" si="1">SUM(F19:G19)</f>
        <v>57.02</v>
      </c>
      <c r="F19" s="57">
        <f>Sheet1!E3</f>
        <v>57.02</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16.29</v>
      </c>
      <c r="S19" s="1250">
        <f t="shared" si="5"/>
        <v>57.02</v>
      </c>
    </row>
    <row r="20" spans="1:19">
      <c r="A20" s="2260"/>
      <c r="B20" s="50" t="s">
        <v>1957</v>
      </c>
      <c r="C20" s="2945" t="s">
        <v>3069</v>
      </c>
      <c r="D20" s="48">
        <f t="shared" ref="D20:D26" si="6">ROUND($D$3*E20/$E$3,2)</f>
        <v>3026.11</v>
      </c>
      <c r="E20" s="56">
        <f t="shared" si="1"/>
        <v>10591.389999999992</v>
      </c>
      <c r="F20" s="57">
        <f>'数据-基础表'!I13-'数据-汇总表'!F19</f>
        <v>10591.389999999992</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3026.11</v>
      </c>
      <c r="S20" s="1250">
        <f t="shared" si="5"/>
        <v>10591.389999999992</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3042.4</v>
      </c>
      <c r="E27" s="1396">
        <f>IF(SUM(E19:E26)='数据-基础表'!BA5,SUM(E19:E26),IF(F27="地上面积有误","面积有误","地下面积有误"))</f>
        <v>10648.409999999993</v>
      </c>
      <c r="F27" s="1395">
        <f>IF(SUM(F19:F26)=E8,SUM(F19:F26),"地上面积有误")</f>
        <v>10648.409999999993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3042.4</v>
      </c>
      <c r="S27" s="1249">
        <f>IF(SUM(S19:S26)=$E$3,SUM(S19:S26),SUM(S19:S26)&amp;"误差"&amp;ROUND(SUM(S19:S26)-E3,2))</f>
        <v>10648.409999999993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3042.4</v>
      </c>
      <c r="E31" s="728">
        <f>E27+E30</f>
        <v>10648.409999999993</v>
      </c>
      <c r="F31" s="729">
        <f>F27+F30</f>
        <v>10648.409999999993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4"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3070</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56289</v>
      </c>
      <c r="F6" s="72">
        <f>SUMIF(项目基本情况!D$12:I$12,C6,项目基本情况!D$15:I$15)</f>
        <v>35.83</v>
      </c>
      <c r="G6" s="73">
        <f>IF(ISERROR(ROUND(POWER(1+H6,D6-F6)*(POWER(1+H6,F6)-1)/(POWER(1+H6,D6)-1),3)),0,ROUND(POWER(1+H6,D6-F6)*(POWER(1+H6,F6)-1)/(POWER(1+H6,D6)-1),3))</f>
        <v>0.95799999999999996</v>
      </c>
      <c r="H6" s="801">
        <v>4.4999999999999998E-2</v>
      </c>
      <c r="I6" s="801">
        <v>0.05</v>
      </c>
      <c r="J6" s="74">
        <v>8.5000000000000006E-2</v>
      </c>
      <c r="K6" s="1253">
        <f>SUMIF('数据-汇总表'!C$19:C$33,A6,'数据-汇总表'!E$19:E$33)</f>
        <v>57.02</v>
      </c>
      <c r="L6" s="802">
        <v>3000</v>
      </c>
      <c r="M6" s="75">
        <f t="shared" ref="M6:M14" si="0">ROUND(K6*L6/10000,0)</f>
        <v>17</v>
      </c>
      <c r="N6" s="800">
        <f>ROUND(1-(2018-2018)/60,2)</f>
        <v>1</v>
      </c>
      <c r="O6" s="75" t="str">
        <f>IF($N$5="成新度","——",ROUND(M6*N6,0))</f>
        <v>——</v>
      </c>
      <c r="P6" s="76" t="str">
        <f>IF($N$5="成新度","——",M6-O6)</f>
        <v>——</v>
      </c>
      <c r="Q6" s="803">
        <v>0.25</v>
      </c>
      <c r="R6" s="77">
        <f ca="1">SUMIF('数据-汇总表'!C$19:C$33,A6,'数据-汇总表'!R$19:R$27)</f>
        <v>16.29</v>
      </c>
      <c r="S6" s="54">
        <f>IF('数据-汇总表'!$I$17="按面积比例",SUMIF('数据-汇总表'!C$19:C$33,A6,'数据-汇总表'!K$19:K$33),SUMIF('数据-汇总表'!C$19:C$33,A6,'数据-汇总表'!N$19:N$33))</f>
        <v>0</v>
      </c>
      <c r="T6" s="1445">
        <f>ROUND($L$14*S6/10000,0)</f>
        <v>0</v>
      </c>
      <c r="U6" s="78">
        <v>5.5</v>
      </c>
      <c r="V6" s="79">
        <v>0.03</v>
      </c>
      <c r="W6" s="79">
        <v>0.2</v>
      </c>
      <c r="X6" s="1263"/>
      <c r="Y6" s="80">
        <f>N6</f>
        <v>1</v>
      </c>
      <c r="Z6" s="81"/>
      <c r="AA6" s="74"/>
      <c r="AB6" s="74"/>
      <c r="AC6" s="1263"/>
      <c r="AD6" s="82"/>
      <c r="AE6" s="1264">
        <f ca="1">IF(AN6="",0,SUMIF(INDIRECT("'"&amp;AN6&amp;"'"&amp;"!E:E"),$AE$5,INDIRECT("'"&amp;AN6&amp;"'"&amp;"!F:F")))</f>
        <v>35.83</v>
      </c>
      <c r="AF6" s="1806"/>
      <c r="AG6" s="147">
        <f>IF(AF6="",0,AE6-AF6)</f>
        <v>0</v>
      </c>
      <c r="AH6" s="83"/>
      <c r="AI6" s="85">
        <v>365</v>
      </c>
      <c r="AJ6" s="86"/>
      <c r="AK6" s="87">
        <v>1.4999999999999999E-2</v>
      </c>
      <c r="AL6" s="88">
        <v>1.5E-3</v>
      </c>
      <c r="AM6" s="89">
        <v>0.01</v>
      </c>
      <c r="AN6" s="2306" t="s">
        <v>3071</v>
      </c>
      <c r="AO6" s="55">
        <f ca="1">SUMIF(INDIRECT("'"&amp;AN6&amp;"'"&amp;"!A:A"),"总价",INDIRECT("'"&amp;AN6&amp;"'"&amp;"!B:B"))</f>
        <v>175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56289</v>
      </c>
      <c r="F7" s="72">
        <f>SUMIF(项目基本情况!D$12:I$12,C7,项目基本情况!D$15:I$15)</f>
        <v>35.83</v>
      </c>
      <c r="G7" s="73">
        <f t="shared" ref="G7:G11" si="2">IF(ISERROR(ROUND(POWER(1+H7,D7-F7)*(POWER(1+H7,F7)-1)/(POWER(1+H7,D7)-1),3)),0,ROUND(POWER(1+H7,D7-F7)*(POWER(1+H7,F7)-1)/(POWER(1+H7,D7)-1),3))</f>
        <v>0.95799999999999996</v>
      </c>
      <c r="H7" s="801">
        <v>4.4999999999999998E-2</v>
      </c>
      <c r="I7" s="801">
        <v>0.05</v>
      </c>
      <c r="J7" s="74">
        <v>8.5000000000000006E-2</v>
      </c>
      <c r="K7" s="1253">
        <f>SUMIF('数据-汇总表'!C$19:C$33,A7,'数据-汇总表'!E$19:E$33)</f>
        <v>10591.389999999992</v>
      </c>
      <c r="L7" s="802">
        <v>3000</v>
      </c>
      <c r="M7" s="75">
        <f t="shared" si="0"/>
        <v>3177</v>
      </c>
      <c r="N7" s="800">
        <f>ROUND(1-(2018-2018)/60,2)</f>
        <v>1</v>
      </c>
      <c r="O7" s="75" t="str">
        <f t="shared" ref="O7:O14" si="3">IF($N$5="成新度","——",ROUND(M7*N7,0))</f>
        <v>——</v>
      </c>
      <c r="P7" s="76" t="str">
        <f t="shared" ref="P7:P14" si="4">IF($N$5="成新度","——",M7-O7)</f>
        <v>——</v>
      </c>
      <c r="Q7" s="803">
        <v>0.25</v>
      </c>
      <c r="R7" s="77">
        <f ca="1">SUMIF('数据-汇总表'!C$19:C$33,A7,'数据-汇总表'!R$19:R$27)</f>
        <v>3026.11</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0.95799999999999996</v>
      </c>
      <c r="H16" s="99">
        <f>ROUND(SUMPRODUCT(H6:H13,K6:K13)/SUMPRODUCT((H6:H13&gt;0)*(K6:K13)),3)</f>
        <v>4.4999999999999998E-2</v>
      </c>
      <c r="I16" s="100"/>
      <c r="J16" s="100"/>
      <c r="K16" s="101">
        <f>SUM(K6:K15)</f>
        <v>10648.409999999993</v>
      </c>
      <c r="L16" s="102">
        <f>ROUND(M16*10000/SUM(K6:K14),0)</f>
        <v>3000</v>
      </c>
      <c r="M16" s="102">
        <f>SUM(M6:M14)</f>
        <v>3194</v>
      </c>
      <c r="N16" s="103">
        <f>ROUND(SUMPRODUCT(M6:M14,N6:N14)/M16,3)</f>
        <v>1</v>
      </c>
      <c r="O16" s="102">
        <f>SUM(O6:O14)</f>
        <v>0</v>
      </c>
      <c r="P16" s="102">
        <f>SUM(P6:P14)</f>
        <v>0</v>
      </c>
      <c r="Q16" s="104">
        <f>ROUND(SUMPRODUCT(Q6:Q13,K6:K13)/SUMPRODUCT((Q6:Q13&gt;0)*(K6:K13)),2)</f>
        <v>0.25</v>
      </c>
      <c r="R16" s="1257">
        <f ca="1">SUM(R6:R13)</f>
        <v>3042.4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2" t="s">
        <v>2078</v>
      </c>
      <c r="B1" s="3123"/>
      <c r="C1" s="3123"/>
      <c r="D1" s="3123"/>
      <c r="E1" s="3123"/>
      <c r="F1" s="3123"/>
      <c r="G1" s="312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33395.620000000039</v>
      </c>
      <c r="C1" s="1744"/>
      <c r="D1" s="1744"/>
      <c r="E1" s="1744"/>
      <c r="F1" s="1744"/>
      <c r="G1" s="1742"/>
    </row>
    <row r="2" spans="1:10" ht="16.5">
      <c r="A2" s="1745" t="s">
        <v>1353</v>
      </c>
      <c r="B2" s="1745">
        <f>SUM(C14:C23)</f>
        <v>4279.8300000000027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88787</v>
      </c>
      <c r="C5" s="1745">
        <f ca="1">ROUND(B5*10000/$B$1,0)</f>
        <v>26586</v>
      </c>
      <c r="D5" s="1745">
        <f ca="1">ROUND(B5*10000/$B$2,0)</f>
        <v>207455</v>
      </c>
      <c r="E5" s="1744"/>
      <c r="F5" s="1742"/>
      <c r="G5" s="1742"/>
    </row>
    <row r="6" spans="1:10" ht="16.5">
      <c r="A6" s="1745" t="s">
        <v>1356</v>
      </c>
      <c r="B6" s="1745">
        <f ca="1">SUM(G14:G23)</f>
        <v>26651</v>
      </c>
      <c r="C6" s="1745">
        <f ca="1">ROUND(B6*10000/$B$1,0)</f>
        <v>7980</v>
      </c>
      <c r="D6" s="1745">
        <f ca="1">ROUND(B6*10000/$B$2,0)</f>
        <v>62271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57.02</v>
      </c>
      <c r="C14" s="1743">
        <f>结果表!C118</f>
        <v>16.29</v>
      </c>
      <c r="D14" s="1743">
        <f ca="1">结果表!H118</f>
        <v>190</v>
      </c>
      <c r="E14" s="1743">
        <f ca="1">ROUND(D14*10000/B14,0)</f>
        <v>33322</v>
      </c>
      <c r="F14" s="1743">
        <f ca="1">ROUND(D14*10000/C14,0)</f>
        <v>116636</v>
      </c>
      <c r="G14" s="1743">
        <f ca="1">结果表!D122</f>
        <v>190</v>
      </c>
      <c r="H14" s="1743" t="str">
        <f>结果表!D124</f>
        <v>——</v>
      </c>
      <c r="I14" s="1743" t="str">
        <f>结果表!D126</f>
        <v>——</v>
      </c>
      <c r="J14" s="1742"/>
    </row>
    <row r="15" spans="1:10" ht="16.5">
      <c r="A15" s="1741" t="s">
        <v>1349</v>
      </c>
      <c r="B15" s="1748">
        <f>Sheet3!D62-系统读取表!B14</f>
        <v>10557.320000000003</v>
      </c>
      <c r="C15" s="1748">
        <f>Sheet3!E62-系统读取表!C14</f>
        <v>1585.5599999999997</v>
      </c>
      <c r="D15" s="1748">
        <f ca="1">典型户型修正!S22-典型户型修正!S24</f>
        <v>26461</v>
      </c>
      <c r="E15" s="1743">
        <f t="shared" ref="E15:E23" ca="1" si="0">ROUND(D15*10000/B15,0)</f>
        <v>25064</v>
      </c>
      <c r="F15" s="1743">
        <f t="shared" ref="F15:F23" ca="1" si="1">ROUND(D15*10000/C15,0)</f>
        <v>166887</v>
      </c>
      <c r="G15" s="1749">
        <f ca="1">D15</f>
        <v>26461</v>
      </c>
      <c r="H15" s="1749"/>
      <c r="I15" s="1748"/>
      <c r="J15" s="1742"/>
    </row>
    <row r="16" spans="1:10" ht="16.5">
      <c r="A16" s="1741" t="s">
        <v>1348</v>
      </c>
      <c r="B16" s="1748">
        <f>[1]典型户型修正!$V$22</f>
        <v>22781.280000000032</v>
      </c>
      <c r="C16" s="1748">
        <f>[1]Sheet4!$E$274</f>
        <v>2677.9800000000027</v>
      </c>
      <c r="D16" s="1748">
        <f>[1]典型户型修正!$V$21</f>
        <v>62136</v>
      </c>
      <c r="E16" s="1743">
        <f t="shared" si="0"/>
        <v>27275</v>
      </c>
      <c r="F16" s="1743">
        <f t="shared" si="1"/>
        <v>232026</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3067</v>
      </c>
      <c r="D1" s="2416"/>
      <c r="E1" s="2416"/>
      <c r="F1" s="2418" t="s">
        <v>2116</v>
      </c>
      <c r="G1" s="2068" t="s">
        <v>3055</v>
      </c>
      <c r="H1" s="2419" t="str">
        <f>IF(G1="现房","——","估价对象范围")</f>
        <v>——</v>
      </c>
      <c r="I1" s="2420" t="s">
        <v>3124</v>
      </c>
    </row>
    <row r="2" spans="1:12" ht="21.75" customHeight="1" thickBot="1">
      <c r="A2" s="3196" t="str">
        <f>项目基本情况!S2</f>
        <v>湖北省武汉市房地产</v>
      </c>
      <c r="B2" s="3197"/>
      <c r="C2" s="3197"/>
      <c r="D2" s="3197"/>
      <c r="E2" s="3197"/>
      <c r="F2" s="3197"/>
      <c r="G2" s="3197"/>
      <c r="H2" s="3197"/>
      <c r="I2" s="3198"/>
    </row>
    <row r="3" spans="1:12" ht="12.75">
      <c r="A3" s="3199" t="s">
        <v>2117</v>
      </c>
      <c r="B3" s="3200"/>
      <c r="C3" s="3200"/>
      <c r="D3" s="3200"/>
      <c r="E3" s="3200"/>
      <c r="F3" s="3200"/>
      <c r="G3" s="3200"/>
      <c r="H3" s="3200"/>
      <c r="I3" s="3200"/>
    </row>
    <row r="4" spans="1:12" ht="14.25">
      <c r="A4" s="2423" t="s">
        <v>2118</v>
      </c>
      <c r="B4" s="2424" t="s">
        <v>2119</v>
      </c>
      <c r="C4" s="2425" t="s">
        <v>3071</v>
      </c>
      <c r="D4" s="2425" t="s">
        <v>3076</v>
      </c>
      <c r="E4" s="3180" t="s">
        <v>2120</v>
      </c>
      <c r="F4" s="3193"/>
      <c r="G4" s="3193"/>
      <c r="H4" s="3193"/>
      <c r="I4" s="3181"/>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71" t="s">
        <v>2121</v>
      </c>
      <c r="B5" s="3097">
        <v>25</v>
      </c>
      <c r="C5" s="3201"/>
      <c r="D5" s="3189"/>
      <c r="E5" s="140" t="s">
        <v>2122</v>
      </c>
      <c r="F5" s="2427"/>
      <c r="G5" s="2427"/>
      <c r="H5" s="2427"/>
      <c r="I5" s="1833"/>
    </row>
    <row r="6" spans="1:12" ht="12.75">
      <c r="A6" s="3171"/>
      <c r="B6" s="3097"/>
      <c r="C6" s="3203"/>
      <c r="D6" s="3189"/>
      <c r="E6" s="140" t="s">
        <v>2123</v>
      </c>
      <c r="F6" s="2427"/>
      <c r="G6" s="2427"/>
      <c r="H6" s="2427"/>
      <c r="I6" s="1833"/>
    </row>
    <row r="7" spans="1:12" ht="12.75">
      <c r="A7" s="3171"/>
      <c r="B7" s="3097"/>
      <c r="C7" s="3202"/>
      <c r="D7" s="3189"/>
      <c r="E7" s="140" t="s">
        <v>2124</v>
      </c>
      <c r="F7" s="2427"/>
      <c r="G7" s="2427"/>
      <c r="H7" s="2427"/>
      <c r="I7" s="1833"/>
    </row>
    <row r="8" spans="1:12" ht="12.75">
      <c r="A8" s="3171" t="s">
        <v>2125</v>
      </c>
      <c r="B8" s="3097">
        <v>15</v>
      </c>
      <c r="C8" s="3201"/>
      <c r="D8" s="3189"/>
      <c r="E8" s="140" t="s">
        <v>2126</v>
      </c>
      <c r="F8" s="2427"/>
      <c r="G8" s="2427"/>
      <c r="H8" s="2427"/>
      <c r="I8" s="1833"/>
    </row>
    <row r="9" spans="1:12" ht="12.75">
      <c r="A9" s="3171"/>
      <c r="B9" s="3097"/>
      <c r="C9" s="3202"/>
      <c r="D9" s="3189"/>
      <c r="E9" s="140" t="s">
        <v>2127</v>
      </c>
      <c r="F9" s="2427"/>
      <c r="G9" s="2427"/>
      <c r="H9" s="2427"/>
      <c r="I9" s="1833"/>
    </row>
    <row r="10" spans="1:12" ht="12.75">
      <c r="A10" s="3171" t="s">
        <v>2128</v>
      </c>
      <c r="B10" s="3097">
        <v>15</v>
      </c>
      <c r="C10" s="3201"/>
      <c r="D10" s="3189"/>
      <c r="E10" s="140" t="s">
        <v>2129</v>
      </c>
      <c r="F10" s="2427"/>
      <c r="G10" s="2427"/>
      <c r="H10" s="2427"/>
      <c r="I10" s="1833"/>
    </row>
    <row r="11" spans="1:12" ht="12.75">
      <c r="A11" s="3171"/>
      <c r="B11" s="3097"/>
      <c r="C11" s="3202"/>
      <c r="D11" s="3189"/>
      <c r="E11" s="140" t="s">
        <v>2130</v>
      </c>
      <c r="F11" s="2427"/>
      <c r="G11" s="2427"/>
      <c r="H11" s="2427"/>
      <c r="I11" s="1833"/>
    </row>
    <row r="12" spans="1:12" ht="12.75">
      <c r="A12" s="3171" t="s">
        <v>2131</v>
      </c>
      <c r="B12" s="3097">
        <v>15</v>
      </c>
      <c r="C12" s="3201"/>
      <c r="D12" s="3189"/>
      <c r="E12" s="140" t="s">
        <v>2132</v>
      </c>
      <c r="F12" s="2427"/>
      <c r="G12" s="2427"/>
      <c r="H12" s="2427"/>
      <c r="I12" s="1833"/>
    </row>
    <row r="13" spans="1:12" ht="12.75">
      <c r="A13" s="3171"/>
      <c r="B13" s="3097"/>
      <c r="C13" s="3202"/>
      <c r="D13" s="3189"/>
      <c r="E13" s="140" t="s">
        <v>2133</v>
      </c>
      <c r="F13" s="2427"/>
      <c r="G13" s="2427"/>
      <c r="H13" s="2427"/>
      <c r="I13" s="1833"/>
    </row>
    <row r="14" spans="1:12" ht="12.75">
      <c r="A14" s="3171" t="s">
        <v>2134</v>
      </c>
      <c r="B14" s="3097">
        <v>30</v>
      </c>
      <c r="C14" s="3201">
        <v>5</v>
      </c>
      <c r="D14" s="3189">
        <v>5</v>
      </c>
      <c r="E14" s="140" t="s">
        <v>2135</v>
      </c>
      <c r="F14" s="2427"/>
      <c r="G14" s="2427"/>
      <c r="H14" s="2427"/>
      <c r="I14" s="1833"/>
    </row>
    <row r="15" spans="1:12" ht="12.75">
      <c r="A15" s="3171"/>
      <c r="B15" s="3097"/>
      <c r="C15" s="3203"/>
      <c r="D15" s="3189"/>
      <c r="E15" s="140" t="s">
        <v>2136</v>
      </c>
      <c r="F15" s="2427"/>
      <c r="G15" s="2427"/>
      <c r="H15" s="2427"/>
      <c r="I15" s="1833"/>
    </row>
    <row r="16" spans="1:12" ht="12.75">
      <c r="A16" s="3171"/>
      <c r="B16" s="3097"/>
      <c r="C16" s="3202"/>
      <c r="D16" s="3189"/>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57.02</v>
      </c>
      <c r="M18" s="2426">
        <f>IF(C1="",'数据-汇总表'!E3,SUMIF(项目类型,C1,'数据-汇总表'!E17:E26))</f>
        <v>57.02</v>
      </c>
    </row>
    <row r="19" spans="1:35" ht="15">
      <c r="A19" s="2432" t="s">
        <v>2143</v>
      </c>
      <c r="B19" s="2433" t="s">
        <v>2144</v>
      </c>
      <c r="C19" s="143">
        <f ca="1">SUMIF(INDIRECT("'"&amp;C4&amp;"'"&amp;"!A:A"),结果表!B19,INDIRECT("'"&amp;C4&amp;"'"&amp;"!B:B"))</f>
        <v>175</v>
      </c>
      <c r="D19" s="144">
        <f ca="1">SUMIF(INDIRECT("'"&amp;D4&amp;"'"&amp;"!A:A"),结果表!B19,INDIRECT("'"&amp;D4&amp;"'"&amp;"!B:B"))</f>
        <v>205</v>
      </c>
      <c r="E19" s="2432" t="s">
        <v>2145</v>
      </c>
      <c r="F19" s="2433" t="s">
        <v>2144</v>
      </c>
      <c r="G19" s="145">
        <f ca="1">ROUND(C19*$C$18+D19*$D$18,0)</f>
        <v>190</v>
      </c>
      <c r="H19" s="2434" t="s">
        <v>2146</v>
      </c>
      <c r="I19" s="138"/>
      <c r="K19" s="2426" t="s">
        <v>2147</v>
      </c>
      <c r="L19" s="2426">
        <f>IF(C1="",'数据-汇总表'!D3,SUMIF(项目类型,C1,'数据-汇总表'!D17:D26)+SUMIF(项目类型,C1,'数据-汇总表'!H17:H27))</f>
        <v>16.29</v>
      </c>
      <c r="M19" s="2426">
        <f>IF(C1="",'数据-汇总表'!D3,SUMIF(项目类型,C1,'数据-汇总表'!D17:D26))</f>
        <v>16.29</v>
      </c>
    </row>
    <row r="20" spans="1:35" ht="15">
      <c r="A20" s="2435"/>
      <c r="B20" s="1249" t="s">
        <v>2148</v>
      </c>
      <c r="C20" s="146">
        <f ca="1">SUMIF(INDIRECT("'"&amp;C4&amp;"'"&amp;"!A:A"),结果表!B20,INDIRECT("'"&amp;C4&amp;"'"&amp;"!B:B"))</f>
        <v>30691</v>
      </c>
      <c r="D20" s="147">
        <f ca="1">SUMIF(INDIRECT("'"&amp;D4&amp;"'"&amp;"!A:A"),结果表!B20,INDIRECT("'"&amp;D4&amp;"'"&amp;"!B:B"))</f>
        <v>35946</v>
      </c>
      <c r="E20" s="2435"/>
      <c r="F20" s="1249" t="s">
        <v>2148</v>
      </c>
      <c r="G20" s="148">
        <f ca="1">ROUND(C20*$C$18+D20*$D$18,0)</f>
        <v>33319</v>
      </c>
      <c r="H20" s="982" t="s">
        <v>2149</v>
      </c>
      <c r="I20" s="138"/>
    </row>
    <row r="21" spans="1:35" ht="15" customHeight="1" thickBot="1">
      <c r="A21" s="1002"/>
      <c r="B21" s="2436" t="s">
        <v>2150</v>
      </c>
      <c r="C21" s="788">
        <f ca="1">ROUND(C19*10000/L19,0)</f>
        <v>107428</v>
      </c>
      <c r="D21" s="789">
        <f ca="1">ROUND(D19*10000/L19,0)</f>
        <v>125844</v>
      </c>
      <c r="E21" s="1002"/>
      <c r="F21" s="2436" t="s">
        <v>2150</v>
      </c>
      <c r="G21" s="149">
        <f ca="1">ROUND(G19*10000/L19,0)</f>
        <v>116636</v>
      </c>
      <c r="H21" s="2437" t="s">
        <v>2149</v>
      </c>
      <c r="I21" s="138"/>
    </row>
    <row r="22" spans="1:35" ht="15" thickBot="1">
      <c r="A22" s="2278" t="s">
        <v>2151</v>
      </c>
      <c r="B22" s="2438"/>
      <c r="C22" s="2439"/>
      <c r="D22" s="790">
        <f ca="1">IF(C19&lt;D19,D19/C19-1,C19/D19-1)</f>
        <v>0.17142857142857149</v>
      </c>
      <c r="E22" s="138"/>
      <c r="F22" s="138"/>
      <c r="G22" s="138"/>
      <c r="H22" s="138"/>
      <c r="I22" s="138"/>
    </row>
    <row r="23" spans="1:35" ht="13.5" thickBot="1">
      <c r="A23" s="2416"/>
      <c r="B23" s="2416"/>
      <c r="C23" s="2416"/>
      <c r="D23" s="2416"/>
      <c r="E23" s="138"/>
      <c r="F23" s="138"/>
      <c r="G23" s="138"/>
      <c r="H23" s="138"/>
      <c r="I23" s="138"/>
    </row>
    <row r="24" spans="1:35" ht="14.25">
      <c r="A24" s="3210" t="s">
        <v>2152</v>
      </c>
      <c r="B24" s="2433" t="s">
        <v>2144</v>
      </c>
      <c r="C24" s="145">
        <f>IF(B30=0,0,D30)</f>
        <v>0</v>
      </c>
      <c r="D24" s="2440"/>
      <c r="E24" s="138"/>
      <c r="F24" s="138"/>
      <c r="G24" s="138"/>
      <c r="H24" s="138"/>
      <c r="I24" s="138"/>
    </row>
    <row r="25" spans="1:35" ht="14.25">
      <c r="A25" s="3211"/>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190</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90" t="s">
        <v>2166</v>
      </c>
      <c r="B36" s="2459" t="s">
        <v>2167</v>
      </c>
      <c r="C36" s="154"/>
      <c r="D36" s="2460"/>
      <c r="E36" s="2461"/>
      <c r="F36" s="2462"/>
      <c r="G36" s="138"/>
      <c r="H36" s="138"/>
      <c r="I36" s="138"/>
    </row>
    <row r="37" spans="1:15" ht="15.75" thickBot="1">
      <c r="A37" s="3191"/>
      <c r="B37" s="2264" t="s">
        <v>2168</v>
      </c>
      <c r="C37" s="156"/>
      <c r="D37" s="1394"/>
      <c r="E37" s="1394"/>
      <c r="F37" s="2462"/>
      <c r="G37" s="138"/>
      <c r="H37" s="138"/>
      <c r="I37" s="138"/>
    </row>
    <row r="38" spans="1:15" ht="15.75" thickBot="1">
      <c r="A38" s="3192"/>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07" t="s">
        <v>2180</v>
      </c>
      <c r="B45" s="3208"/>
      <c r="C45" s="3209"/>
      <c r="D45" s="164">
        <f ca="1">ROUND(H101*F45,0)</f>
        <v>190</v>
      </c>
      <c r="E45" s="165" t="s">
        <v>2181</v>
      </c>
      <c r="F45" s="166">
        <v>1</v>
      </c>
      <c r="G45" s="167" t="s">
        <v>2182</v>
      </c>
      <c r="H45" s="138"/>
      <c r="I45" s="138"/>
      <c r="J45" s="3126" t="s">
        <v>2183</v>
      </c>
      <c r="K45" s="3126"/>
      <c r="L45" s="3126"/>
      <c r="M45" s="3126"/>
      <c r="N45" s="3126"/>
      <c r="O45" s="3126"/>
    </row>
    <row r="46" spans="1:15" ht="14.25" customHeight="1">
      <c r="A46" s="3204" t="s">
        <v>2184</v>
      </c>
      <c r="B46" s="3205"/>
      <c r="C46" s="3205"/>
      <c r="D46" s="3205"/>
      <c r="E46" s="3205"/>
      <c r="F46" s="3205"/>
      <c r="G46" s="3206"/>
      <c r="H46" s="2478"/>
      <c r="I46" s="168"/>
      <c r="J46" s="1811">
        <v>1</v>
      </c>
      <c r="K46" s="3126" t="s">
        <v>2185</v>
      </c>
      <c r="L46" s="3126"/>
      <c r="M46" s="3127"/>
      <c r="N46" s="3127"/>
      <c r="O46" s="3127"/>
    </row>
    <row r="47" spans="1:15" ht="12" customHeight="1">
      <c r="A47" s="169" t="s">
        <v>2186</v>
      </c>
      <c r="B47" s="170"/>
      <c r="C47" s="171"/>
      <c r="D47" s="172" t="s">
        <v>2187</v>
      </c>
      <c r="E47" s="24" t="s">
        <v>2188</v>
      </c>
      <c r="F47" s="173" t="s">
        <v>2189</v>
      </c>
      <c r="G47" s="174" t="s">
        <v>2190</v>
      </c>
      <c r="H47" s="2478"/>
      <c r="I47" s="168"/>
      <c r="J47" s="1811">
        <v>2</v>
      </c>
      <c r="K47" s="3126" t="s">
        <v>2191</v>
      </c>
      <c r="L47" s="3126"/>
      <c r="M47" s="3128">
        <f>'数据-取费表'!B2</f>
        <v>43209</v>
      </c>
      <c r="N47" s="3128"/>
      <c r="O47" s="3128"/>
    </row>
    <row r="48" spans="1:15" ht="25.5">
      <c r="A48" s="3194" t="s">
        <v>2192</v>
      </c>
      <c r="B48" s="3195"/>
      <c r="C48" s="3195"/>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26" t="s">
        <v>2195</v>
      </c>
      <c r="L48" s="3126"/>
      <c r="M48" s="3129">
        <f ca="1">H101</f>
        <v>190</v>
      </c>
      <c r="N48" s="3129"/>
      <c r="O48" s="3129"/>
    </row>
    <row r="49" spans="1:35" ht="25.5" customHeight="1">
      <c r="A49" s="176" t="s">
        <v>2196</v>
      </c>
      <c r="B49" s="3174" t="s">
        <v>2197</v>
      </c>
      <c r="C49" s="3174"/>
      <c r="D49" s="177">
        <v>0</v>
      </c>
      <c r="E49" s="23" t="s">
        <v>2198</v>
      </c>
      <c r="F49" s="28" t="s">
        <v>34</v>
      </c>
      <c r="G49" s="3155"/>
      <c r="H49" s="138"/>
      <c r="I49" s="2481"/>
      <c r="J49" s="1811">
        <v>4</v>
      </c>
      <c r="K49" s="3126" t="str">
        <f>IF(项目基本情况!E8="房地产抵押价值","房地产抵押价值","抵押担保权已注销时的房地产抵押价值")</f>
        <v>房地产抵押价值</v>
      </c>
      <c r="L49" s="3126"/>
      <c r="M49" s="3129">
        <f ca="1">IF(项目基本情况!E8="房地产抵押价值",H107,H109)</f>
        <v>190</v>
      </c>
      <c r="N49" s="3129"/>
      <c r="O49" s="3129"/>
    </row>
    <row r="50" spans="1:35" ht="25.5" customHeight="1">
      <c r="A50" s="178"/>
      <c r="B50" s="3174" t="s">
        <v>2199</v>
      </c>
      <c r="C50" s="3174"/>
      <c r="D50" s="179"/>
      <c r="E50" s="31"/>
      <c r="F50" s="180"/>
      <c r="G50" s="3156"/>
      <c r="H50" s="138"/>
      <c r="I50" s="2481"/>
      <c r="J50" s="3126" t="s">
        <v>2200</v>
      </c>
      <c r="K50" s="3126"/>
      <c r="L50" s="3126"/>
      <c r="M50" s="3126"/>
      <c r="N50" s="3126"/>
      <c r="O50" s="3126"/>
    </row>
    <row r="51" spans="1:35" ht="12" customHeight="1">
      <c r="A51" s="181"/>
      <c r="B51" s="3174" t="s">
        <v>2201</v>
      </c>
      <c r="C51" s="3174"/>
      <c r="D51" s="182"/>
      <c r="E51" s="30"/>
      <c r="F51" s="180"/>
      <c r="G51" s="3157"/>
      <c r="H51" s="138"/>
      <c r="I51" s="2481"/>
      <c r="J51" s="2482" t="s">
        <v>2202</v>
      </c>
      <c r="K51" s="3126" t="s">
        <v>2203</v>
      </c>
      <c r="L51" s="3126"/>
      <c r="M51" s="2482" t="s">
        <v>2204</v>
      </c>
      <c r="N51" s="2482" t="s">
        <v>2205</v>
      </c>
      <c r="O51" s="2482" t="s">
        <v>2206</v>
      </c>
    </row>
    <row r="52" spans="1:35" ht="24" customHeight="1">
      <c r="A52" s="183" t="s">
        <v>2207</v>
      </c>
      <c r="B52" s="3174" t="s">
        <v>2208</v>
      </c>
      <c r="C52" s="3174"/>
      <c r="D52" s="182">
        <f ca="1">ROUND(D45*'数据-取费表'!B41/(1+'数据-取费表'!C42),0)</f>
        <v>10</v>
      </c>
      <c r="E52" s="11" t="s">
        <v>2209</v>
      </c>
      <c r="F52" s="184">
        <f>'数据-取费表'!B41</f>
        <v>5.6000000000000001E-2</v>
      </c>
      <c r="G52" s="2483"/>
      <c r="H52" s="138"/>
      <c r="I52" s="2481"/>
      <c r="J52" s="1811">
        <v>1</v>
      </c>
      <c r="K52" s="3149" t="s">
        <v>2210</v>
      </c>
      <c r="L52" s="3149"/>
      <c r="M52" s="1753">
        <f>D48</f>
        <v>0</v>
      </c>
      <c r="N52" s="1811" t="str">
        <f>E48</f>
        <v>销售额×税（费）率</v>
      </c>
      <c r="O52" s="1754" t="str">
        <f>F48</f>
        <v>免征</v>
      </c>
    </row>
    <row r="53" spans="1:35" ht="12" customHeight="1">
      <c r="A53" s="183" t="s">
        <v>2211</v>
      </c>
      <c r="B53" s="3175" t="s">
        <v>2212</v>
      </c>
      <c r="C53" s="3176"/>
      <c r="D53" s="182">
        <f ca="1">ROUND(D45*'数据-取费表'!B41/(1+'数据-取费表'!C42),0)</f>
        <v>10</v>
      </c>
      <c r="E53" s="11" t="s">
        <v>2209</v>
      </c>
      <c r="F53" s="184">
        <f>'数据-取费表'!B41</f>
        <v>5.6000000000000001E-2</v>
      </c>
      <c r="G53" s="2483"/>
      <c r="H53" s="138"/>
      <c r="I53" s="2481"/>
      <c r="J53" s="1811">
        <v>2</v>
      </c>
      <c r="K53" s="3149" t="s">
        <v>2213</v>
      </c>
      <c r="L53" s="3149"/>
      <c r="M53" s="1753">
        <f t="shared" ref="M53:O54" ca="1" si="0">D55</f>
        <v>0</v>
      </c>
      <c r="N53" s="1811" t="str">
        <f t="shared" si="0"/>
        <v>销售额×税（费）率</v>
      </c>
      <c r="O53" s="1754">
        <f t="shared" si="0"/>
        <v>5.0000000000000001E-4</v>
      </c>
    </row>
    <row r="54" spans="1:35" ht="12" customHeight="1">
      <c r="A54" s="183" t="s">
        <v>2214</v>
      </c>
      <c r="B54" s="3175" t="s">
        <v>2215</v>
      </c>
      <c r="C54" s="3176"/>
      <c r="D54" s="182">
        <f ca="1">C68</f>
        <v>10</v>
      </c>
      <c r="E54" s="30" t="s">
        <v>2216</v>
      </c>
      <c r="F54" s="184">
        <f>'数据-取费表'!B41</f>
        <v>5.6000000000000001E-2</v>
      </c>
      <c r="G54" s="2483"/>
      <c r="H54" s="2484"/>
      <c r="I54" s="2481"/>
      <c r="J54" s="1811">
        <v>3</v>
      </c>
      <c r="K54" s="3149" t="s">
        <v>2217</v>
      </c>
      <c r="L54" s="3149"/>
      <c r="M54" s="1753">
        <f t="shared" ca="1" si="0"/>
        <v>108</v>
      </c>
      <c r="N54" s="1811" t="str">
        <f t="shared" si="0"/>
        <v>增值额×税（费）率</v>
      </c>
      <c r="O54" s="1755" t="str">
        <f t="shared" si="0"/>
        <v>——</v>
      </c>
    </row>
    <row r="55" spans="1:35" ht="24" customHeight="1">
      <c r="A55" s="3213" t="s">
        <v>2218</v>
      </c>
      <c r="B55" s="3195"/>
      <c r="C55" s="3195"/>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49" t="str">
        <f>IF(H59="非个人房产","——","个人所得税")</f>
        <v>——</v>
      </c>
      <c r="L55" s="3149"/>
      <c r="M55" s="1756" t="str">
        <f>D59</f>
        <v>——</v>
      </c>
      <c r="N55" s="1809" t="str">
        <f>E59</f>
        <v>——</v>
      </c>
      <c r="O55" s="1757" t="str">
        <f>F59</f>
        <v>——</v>
      </c>
    </row>
    <row r="56" spans="1:35" ht="24.75">
      <c r="A56" s="3213" t="s">
        <v>2221</v>
      </c>
      <c r="B56" s="3195"/>
      <c r="C56" s="3195"/>
      <c r="D56" s="185">
        <f ca="1">IF(H56="个人住宅",D57,D58)</f>
        <v>108</v>
      </c>
      <c r="E56" s="11" t="s">
        <v>2222</v>
      </c>
      <c r="F56" s="184" t="str">
        <f>IF(H56="正常",F58,"免征")</f>
        <v>——</v>
      </c>
      <c r="G56" s="2485" t="s">
        <v>2223</v>
      </c>
      <c r="H56" s="2486" t="s">
        <v>2220</v>
      </c>
      <c r="I56" s="2487"/>
      <c r="J56" s="1811" t="str">
        <f>IF(项目基本情况!K6="上海银行",IF(J55="",4,J55+1),"")</f>
        <v/>
      </c>
      <c r="K56" s="3132" t="str">
        <f>IF(项目基本情况!K6="上海银行","其他处置费用","")</f>
        <v/>
      </c>
      <c r="L56" s="3133"/>
      <c r="M56" s="1753" t="str">
        <f>IF(项目基本情况!K6="上海银行",M69,"")</f>
        <v/>
      </c>
      <c r="N56" s="3135" t="str">
        <f>IF(项目基本情况!K6="上海银行","包含处置中涉及的律师、诉讼、拍卖、评估等费用","")</f>
        <v/>
      </c>
      <c r="O56" s="3136"/>
    </row>
    <row r="57" spans="1:35" ht="12.75">
      <c r="A57" s="183" t="s">
        <v>2196</v>
      </c>
      <c r="B57" s="3180" t="s">
        <v>2224</v>
      </c>
      <c r="C57" s="3181"/>
      <c r="D57" s="187">
        <v>0</v>
      </c>
      <c r="E57" s="23" t="s">
        <v>2198</v>
      </c>
      <c r="F57" s="155"/>
      <c r="G57" s="2483"/>
      <c r="H57" s="2487"/>
      <c r="I57" s="2487"/>
      <c r="J57" s="3149">
        <f>IF(AND(J55="",J56=""),4,IF(项目基本情况!K6="上海银行",结果表!J56+1,结果表!J55+1))</f>
        <v>4</v>
      </c>
      <c r="K57" s="3149" t="s">
        <v>2225</v>
      </c>
      <c r="L57" s="2488" t="s">
        <v>2226</v>
      </c>
      <c r="M57" s="1758"/>
      <c r="N57" s="1759">
        <f ca="1">SUMIF(M52:M56,"&lt;9e307")</f>
        <v>108</v>
      </c>
      <c r="O57" s="2489"/>
      <c r="P57" s="1752">
        <f ca="1">N57/M49</f>
        <v>0.56842105263157894</v>
      </c>
    </row>
    <row r="58" spans="1:35" ht="24.75">
      <c r="A58" s="183" t="s">
        <v>2207</v>
      </c>
      <c r="B58" s="3180" t="s">
        <v>2227</v>
      </c>
      <c r="C58" s="3193"/>
      <c r="D58" s="185">
        <f ca="1">IF(H58="转让取得",C81,C97)</f>
        <v>108</v>
      </c>
      <c r="E58" s="11" t="s">
        <v>2222</v>
      </c>
      <c r="F58" s="24" t="s">
        <v>34</v>
      </c>
      <c r="G58" s="2483"/>
      <c r="H58" s="2486" t="s">
        <v>2228</v>
      </c>
      <c r="I58" s="2487"/>
      <c r="J58" s="3149"/>
      <c r="K58" s="3149"/>
      <c r="L58" s="2488" t="s">
        <v>2229</v>
      </c>
      <c r="M58" s="1760"/>
      <c r="N58" s="2490" t="str">
        <f ca="1">NUMBERSTRING(INT(N57*10000),2)&amp;"元整"</f>
        <v>壹佰零捌万元整</v>
      </c>
      <c r="O58" s="2491"/>
    </row>
    <row r="59" spans="1:35" ht="24.75" thickBot="1">
      <c r="A59" s="3153" t="s">
        <v>2230</v>
      </c>
      <c r="B59" s="3154"/>
      <c r="C59" s="315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51">
        <f>J57+1</f>
        <v>5</v>
      </c>
      <c r="K59" s="3149" t="s">
        <v>2232</v>
      </c>
      <c r="L59" s="1811" t="s">
        <v>2226</v>
      </c>
      <c r="M59" s="1761"/>
      <c r="N59" s="1762">
        <f ca="1">M49-N57</f>
        <v>82</v>
      </c>
      <c r="O59" s="2493"/>
    </row>
    <row r="60" spans="1:35" ht="12" customHeight="1">
      <c r="A60" s="2494"/>
      <c r="B60" s="2416"/>
      <c r="C60" s="2416"/>
      <c r="D60" s="2416"/>
      <c r="E60" s="2163"/>
      <c r="F60" s="2487"/>
      <c r="G60" s="2487"/>
      <c r="H60" s="2495"/>
      <c r="I60" s="138"/>
      <c r="J60" s="3152"/>
      <c r="K60" s="3149"/>
      <c r="L60" s="2488" t="s">
        <v>2229</v>
      </c>
      <c r="M60" s="1760"/>
      <c r="N60" s="2490" t="str">
        <f ca="1">NUMBERSTRING(INT(N59*10000),2)&amp;"元整"</f>
        <v>捌拾贰万元整</v>
      </c>
      <c r="O60" s="2491"/>
    </row>
    <row r="61" spans="1:35" ht="13.5" thickBot="1">
      <c r="A61" s="3212" t="s">
        <v>2233</v>
      </c>
      <c r="B61" s="3212"/>
      <c r="C61" s="3212"/>
      <c r="D61" s="3212"/>
      <c r="E61" s="3212"/>
      <c r="F61" s="2487"/>
      <c r="G61" s="2487"/>
      <c r="H61" s="2495"/>
      <c r="I61" s="138"/>
      <c r="J61" s="1811">
        <f>J59+1</f>
        <v>6</v>
      </c>
      <c r="K61" s="3149" t="s">
        <v>2234</v>
      </c>
      <c r="L61" s="3149"/>
      <c r="M61" s="1763"/>
      <c r="N61" s="1764">
        <f ca="1">ROUND(N59*10000/'数据-汇总表'!E3,0)</f>
        <v>77</v>
      </c>
      <c r="O61" s="2496"/>
    </row>
    <row r="62" spans="1:35" ht="12.75">
      <c r="A62" s="3169" t="s">
        <v>2235</v>
      </c>
      <c r="B62" s="3170"/>
      <c r="C62" s="1803"/>
      <c r="D62" s="1803" t="s">
        <v>2236</v>
      </c>
      <c r="E62" s="192" t="s">
        <v>2237</v>
      </c>
      <c r="F62" s="2487"/>
      <c r="G62" s="2487"/>
      <c r="H62" s="2495"/>
      <c r="I62" s="138"/>
    </row>
    <row r="63" spans="1:35" ht="12.75">
      <c r="A63" s="203" t="s">
        <v>775</v>
      </c>
      <c r="B63" s="193" t="s">
        <v>2238</v>
      </c>
      <c r="C63" s="194">
        <f ca="1">ROUND((C64+C65)/(1+'数据-取费表'!C42),0)</f>
        <v>181</v>
      </c>
      <c r="D63" s="195"/>
      <c r="E63" s="196"/>
      <c r="F63" s="2487"/>
      <c r="G63" s="2487"/>
      <c r="H63" s="2495"/>
      <c r="I63" s="138"/>
      <c r="J63" s="3134" t="s">
        <v>2239</v>
      </c>
      <c r="K63" s="2497" t="s">
        <v>2240</v>
      </c>
      <c r="L63" s="1751">
        <f ca="1">IF(M49&gt;10000,M49*0.5%,IF(AND(M49&gt;1000,M49&lt;=10000),M49*1%,IF(AND(M49&gt;100,M49&lt;=1000),M49*3%,IF(AND(M49&gt;10,M49&lt;=100),M49*5%,M49*8%))))</f>
        <v>5.7</v>
      </c>
      <c r="M63" s="24">
        <f ca="1">ROUND(L63,1)</f>
        <v>5.7</v>
      </c>
      <c r="Z63" s="2421"/>
      <c r="AI63" s="2422"/>
    </row>
    <row r="64" spans="1:35" ht="14.25" customHeight="1">
      <c r="A64" s="197" t="s">
        <v>770</v>
      </c>
      <c r="B64" s="198" t="s">
        <v>2241</v>
      </c>
      <c r="C64" s="199">
        <f ca="1">D45</f>
        <v>190</v>
      </c>
      <c r="D64" s="200" t="s">
        <v>32</v>
      </c>
      <c r="E64" s="201"/>
      <c r="F64" s="2487"/>
      <c r="G64" s="2487"/>
      <c r="H64" s="2495"/>
      <c r="I64" s="138"/>
      <c r="J64" s="3134"/>
      <c r="K64" s="2497" t="s">
        <v>2242</v>
      </c>
      <c r="L64" s="1751">
        <f ca="1">IF(M49&gt;2000,M49*0.5%,IF(AND(M49&gt;1000,M49&lt;=2000),M49*0.6%,IF(AND(M49&gt;500,M49&lt;=1000),M49*0.7%,IF(AND(M49&gt;200,M49&lt;=500),M49*0.8%,IF(AND(M49&gt;100,M49&lt;=200),M49*0.9%,IF(AND(M49&gt;50,M49&lt;=100),M49*1%,IF(AND(M49&gt;20,M49&lt;=50),M49*1.5%,IF(AND(M49&gt;10,M49&lt;=20),M49*2%,IF(AND(M49&gt;1,M49&lt;=10),M49*2.5%)))))))))</f>
        <v>1.7100000000000002</v>
      </c>
      <c r="M64" s="24">
        <f t="shared" ref="M64:M65" ca="1" si="1">ROUND(L64,1)</f>
        <v>1.7</v>
      </c>
      <c r="N64" s="138" t="s">
        <v>2243</v>
      </c>
      <c r="Z64" s="2421"/>
      <c r="AI64" s="2422"/>
    </row>
    <row r="65" spans="1:35" ht="14.25" customHeight="1">
      <c r="A65" s="197" t="s">
        <v>771</v>
      </c>
      <c r="B65" s="198" t="s">
        <v>2244</v>
      </c>
      <c r="C65" s="202"/>
      <c r="D65" s="200"/>
      <c r="E65" s="201"/>
      <c r="F65" s="2487"/>
      <c r="G65" s="2487"/>
      <c r="H65" s="2495"/>
      <c r="I65" s="138"/>
      <c r="J65" s="3134"/>
      <c r="K65" s="2497" t="s">
        <v>2245</v>
      </c>
      <c r="L65" s="1751">
        <f ca="1">IF(M49&gt;1000,M49*0.1%,IF(AND(M49&gt;500,M49&lt;=1000),M49*0.5%,IF(AND(M49&gt;50,M49&lt;=500),M49*1%,IF(AND(M49&gt;1,M49&lt;=50),M49*1.5%))))</f>
        <v>1.9000000000000001</v>
      </c>
      <c r="M65" s="24">
        <f t="shared" ca="1" si="1"/>
        <v>1.9</v>
      </c>
      <c r="N65" s="138" t="s">
        <v>2243</v>
      </c>
      <c r="Z65" s="2421"/>
      <c r="AI65" s="2422"/>
    </row>
    <row r="66" spans="1:35" ht="14.25" customHeight="1">
      <c r="A66" s="203" t="s">
        <v>772</v>
      </c>
      <c r="B66" s="204" t="s">
        <v>2246</v>
      </c>
      <c r="C66" s="205"/>
      <c r="D66" s="206" t="s">
        <v>32</v>
      </c>
      <c r="E66" s="1775" t="s">
        <v>1371</v>
      </c>
      <c r="F66" s="2487"/>
      <c r="G66" s="2487"/>
      <c r="H66" s="2495"/>
      <c r="I66" s="138"/>
      <c r="J66" s="3134"/>
      <c r="K66" s="2497" t="s">
        <v>2247</v>
      </c>
      <c r="L66" s="1751">
        <f ca="1">M49*0.5%</f>
        <v>0.95000000000000007</v>
      </c>
      <c r="M66" s="24">
        <f ca="1">IF(L66&gt;0.5,0.5,ROUND(L66,0))</f>
        <v>0.5</v>
      </c>
      <c r="N66" s="138" t="s">
        <v>2248</v>
      </c>
      <c r="Z66" s="2421"/>
      <c r="AI66" s="2422"/>
    </row>
    <row r="67" spans="1:35" ht="14.25" customHeight="1">
      <c r="A67" s="203" t="s">
        <v>773</v>
      </c>
      <c r="B67" s="204" t="s">
        <v>2249</v>
      </c>
      <c r="C67" s="207">
        <f ca="1">C63-C66</f>
        <v>181</v>
      </c>
      <c r="D67" s="200" t="s">
        <v>32</v>
      </c>
      <c r="E67" s="201"/>
      <c r="F67" s="2487"/>
      <c r="G67" s="2487"/>
      <c r="H67" s="2495"/>
      <c r="I67" s="138"/>
      <c r="J67" s="3134"/>
      <c r="K67" s="2497" t="s">
        <v>2250</v>
      </c>
      <c r="L67" s="1751">
        <f ca="1">IF(M49&gt;=10000,(8.25+(M49-10000)*0.01%),IF(AND(M49&gt;=8000,M49&lt;10000),(7.85+(M49-8000)*0.02%),IF(AND(M49&gt;=5000,M49&lt;8000),(6.65+(M49-5000)*0.04%),IF(AND(M49&gt;=2000,M49&lt;5000),(4.25+(PM49-2000)*0.08%),IF(AND(M49&gt;=1000,M49&lt;2000),(2.75+(M49-1000)*0.15%),IF(AND(M49&gt;=100,M49&lt;1000),(0.5+(M49-100)*0.25%),IF(AND(M49&gt;0,M49&lt;100),M49*0.5%)))))))</f>
        <v>0.72499999999999998</v>
      </c>
      <c r="M67" s="24">
        <f ca="1">ROUND(L67*0.9,1)</f>
        <v>0.7</v>
      </c>
      <c r="Z67" s="2421"/>
      <c r="AI67" s="2422"/>
    </row>
    <row r="68" spans="1:35" ht="14.25" customHeight="1" thickBot="1">
      <c r="A68" s="208" t="s">
        <v>774</v>
      </c>
      <c r="B68" s="209" t="s">
        <v>2251</v>
      </c>
      <c r="C68" s="210">
        <f ca="1">IF(C67&lt;=0,0,ROUND(C67*D68,0))</f>
        <v>10</v>
      </c>
      <c r="D68" s="211">
        <f>'数据-取费表'!B41</f>
        <v>5.6000000000000001E-2</v>
      </c>
      <c r="E68" s="212"/>
      <c r="F68" s="2487"/>
      <c r="G68" s="2487"/>
      <c r="H68" s="2495"/>
      <c r="I68" s="138"/>
      <c r="J68" s="3134"/>
      <c r="K68" s="2497" t="s">
        <v>2252</v>
      </c>
      <c r="L68" s="1751">
        <f ca="1">IF(M49&gt;10000,M49*0.5%,IF(AND(M49&gt;5000,M49&lt;=10000),M49*1%,IF(AND(M49&gt;1000,M49&lt;=5000),M49*2%,IF(AND(M49&gt;200,M49&lt;=1000),M49*3%,M49*5%))))</f>
        <v>9.5</v>
      </c>
      <c r="M68" s="24">
        <f ca="1">ROUND(L68,1)</f>
        <v>9.5</v>
      </c>
      <c r="Z68" s="2421"/>
      <c r="AI68" s="2422"/>
    </row>
    <row r="69" spans="1:35" s="2444" customFormat="1" ht="16.5" customHeight="1">
      <c r="A69" s="2498"/>
      <c r="B69" s="2499"/>
      <c r="C69" s="2500"/>
      <c r="D69" s="2501"/>
      <c r="E69" s="2502"/>
      <c r="F69" s="2163"/>
      <c r="G69" s="2163"/>
      <c r="H69" s="2162"/>
      <c r="I69" s="2416"/>
      <c r="J69" s="3134"/>
      <c r="K69" s="2497" t="s">
        <v>2253</v>
      </c>
      <c r="L69" s="2503"/>
      <c r="M69" s="24">
        <f ca="1">ROUND(SUM(M63:M68),0)</f>
        <v>20</v>
      </c>
      <c r="N69" s="1752">
        <f ca="1">M69/M49</f>
        <v>0.10526315789473684</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8" t="s">
        <v>2254</v>
      </c>
      <c r="B70" s="3179"/>
      <c r="C70" s="3179"/>
      <c r="D70" s="3179"/>
      <c r="E70" s="3179"/>
      <c r="F70" s="3179"/>
      <c r="G70" s="3179"/>
      <c r="H70" s="317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69" t="s">
        <v>2235</v>
      </c>
      <c r="B71" s="3170"/>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75" t="s">
        <v>2263</v>
      </c>
      <c r="F76" s="3174"/>
      <c r="G76" s="3174"/>
      <c r="H76" s="317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v>
      </c>
      <c r="D78" s="226">
        <f>'数据-取费表'!B43</f>
        <v>6.000000000000001E-3</v>
      </c>
      <c r="E78" s="3166" t="s">
        <v>2268</v>
      </c>
      <c r="F78" s="3167"/>
      <c r="G78" s="3167"/>
      <c r="H78" s="316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8" t="s">
        <v>2272</v>
      </c>
      <c r="B83" s="3179"/>
      <c r="C83" s="3179"/>
      <c r="D83" s="3179"/>
      <c r="E83" s="3179"/>
      <c r="F83" s="3179"/>
      <c r="G83" s="3179"/>
      <c r="H83" s="317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69" t="s">
        <v>2235</v>
      </c>
      <c r="B84" s="3170"/>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6" t="s">
        <v>2281</v>
      </c>
      <c r="F91" s="3167"/>
      <c r="G91" s="316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6" t="s">
        <v>2285</v>
      </c>
      <c r="F92" s="3167"/>
      <c r="G92" s="3167"/>
      <c r="H92" s="316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v>
      </c>
      <c r="D93" s="226">
        <f>'数据-取费表'!B43</f>
        <v>6.000000000000001E-3</v>
      </c>
      <c r="E93" s="3166" t="s">
        <v>2268</v>
      </c>
      <c r="F93" s="3167"/>
      <c r="G93" s="3167"/>
      <c r="H93" s="316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14" t="s">
        <v>2289</v>
      </c>
      <c r="F94" s="3215"/>
      <c r="G94" s="3215"/>
      <c r="H94" s="321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8" t="s">
        <v>2291</v>
      </c>
      <c r="B100" s="3119"/>
      <c r="C100" s="3119"/>
      <c r="D100" s="3150"/>
      <c r="E100" s="3119" t="s">
        <v>2292</v>
      </c>
      <c r="F100" s="3119"/>
      <c r="G100" s="3119"/>
      <c r="H100" s="3150"/>
      <c r="I100" s="138"/>
    </row>
    <row r="101" spans="1:35" ht="18.75" customHeight="1">
      <c r="A101" s="3158" t="s">
        <v>2293</v>
      </c>
      <c r="B101" s="3159"/>
      <c r="C101" s="735" t="str">
        <f>C4</f>
        <v>收益法</v>
      </c>
      <c r="D101" s="736" t="str">
        <f>D4</f>
        <v>比较法-商业</v>
      </c>
      <c r="E101" s="3130" t="s">
        <v>2294</v>
      </c>
      <c r="F101" s="3131"/>
      <c r="G101" s="2518" t="s">
        <v>2295</v>
      </c>
      <c r="H101" s="1047">
        <f ca="1">H118</f>
        <v>190</v>
      </c>
      <c r="I101" s="138"/>
    </row>
    <row r="102" spans="1:35" ht="18.75" customHeight="1">
      <c r="A102" s="3160" t="s">
        <v>2296</v>
      </c>
      <c r="B102" s="2518" t="s">
        <v>2295</v>
      </c>
      <c r="C102" s="735">
        <f ca="1">C19</f>
        <v>175</v>
      </c>
      <c r="D102" s="736">
        <f ca="1">D19</f>
        <v>205</v>
      </c>
      <c r="E102" s="3130"/>
      <c r="F102" s="3131"/>
      <c r="G102" s="2518" t="s">
        <v>2297</v>
      </c>
      <c r="H102" s="371">
        <f ca="1">I118</f>
        <v>33322</v>
      </c>
      <c r="I102" s="138"/>
    </row>
    <row r="103" spans="1:35" ht="42.75" customHeight="1">
      <c r="A103" s="3160"/>
      <c r="B103" s="2518" t="s">
        <v>2297</v>
      </c>
      <c r="C103" s="737">
        <f ca="1">C20</f>
        <v>30691</v>
      </c>
      <c r="D103" s="738">
        <f ca="1">D20</f>
        <v>35946</v>
      </c>
      <c r="E103" s="3124" t="s">
        <v>2298</v>
      </c>
      <c r="F103" s="3125"/>
      <c r="G103" s="2519" t="s">
        <v>2299</v>
      </c>
      <c r="H103" s="1047">
        <f>IF(D36="正常操作",H104+H105+H106,H105+H106)</f>
        <v>0</v>
      </c>
      <c r="I103" s="138"/>
    </row>
    <row r="104" spans="1:35" ht="18.75" customHeight="1">
      <c r="A104" s="3160" t="s">
        <v>2300</v>
      </c>
      <c r="B104" s="2520" t="s">
        <v>2295</v>
      </c>
      <c r="C104" s="739">
        <f ca="1">H118</f>
        <v>190</v>
      </c>
      <c r="D104" s="740"/>
      <c r="E104" s="2264" t="s">
        <v>2301</v>
      </c>
      <c r="F104" s="2255"/>
      <c r="G104" s="2519" t="s">
        <v>2299</v>
      </c>
      <c r="H104" s="1048">
        <f>IF(D36="同一抵押权人同一抵押物续贷",C36&amp;"（未扣减，详见特别提示）",C36)</f>
        <v>0</v>
      </c>
      <c r="I104" s="138"/>
    </row>
    <row r="105" spans="1:35" ht="18.75" customHeight="1" thickBot="1">
      <c r="A105" s="3172"/>
      <c r="B105" s="2521" t="s">
        <v>2297</v>
      </c>
      <c r="C105" s="741">
        <f ca="1">I118</f>
        <v>33322</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61" t="str">
        <f>IF(项目基本情况!E8="已注销","——","3.房地产抵押价值")</f>
        <v>3.房地产抵押价值</v>
      </c>
      <c r="F107" s="3131"/>
      <c r="G107" s="2518" t="s">
        <v>2295</v>
      </c>
      <c r="H107" s="1047">
        <f ca="1">IF(E107="——","——",H101-H103)</f>
        <v>190</v>
      </c>
      <c r="I107" s="138"/>
    </row>
    <row r="108" spans="1:35" ht="18.75" customHeight="1">
      <c r="A108" s="138"/>
      <c r="B108" s="138"/>
      <c r="C108" s="138"/>
      <c r="D108" s="138"/>
      <c r="E108" s="3161"/>
      <c r="F108" s="3131"/>
      <c r="G108" s="2518" t="s">
        <v>2297</v>
      </c>
      <c r="H108" s="371">
        <f ca="1">ROUND(H107*10000/'数据-汇总表'!E3,0)</f>
        <v>178</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31"/>
      <c r="G109" s="2518" t="s">
        <v>2295</v>
      </c>
      <c r="H109" s="348" t="str">
        <f>IF(E109="——","——",H101-H105-H106)</f>
        <v>——</v>
      </c>
      <c r="I109" s="138"/>
    </row>
    <row r="110" spans="1:35" ht="18.75" customHeight="1">
      <c r="A110" s="138"/>
      <c r="B110" s="138"/>
      <c r="C110" s="138"/>
      <c r="D110" s="138"/>
      <c r="E110" s="3161"/>
      <c r="F110" s="3131"/>
      <c r="G110" s="2518" t="s">
        <v>2297</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8" t="s">
        <v>2295</v>
      </c>
      <c r="H111" s="1047" t="str">
        <f>IF(E111="——","——",N59)</f>
        <v>——</v>
      </c>
      <c r="I111" s="138"/>
    </row>
    <row r="112" spans="1:35" ht="18.75" customHeight="1" thickBot="1">
      <c r="A112" s="138"/>
      <c r="B112" s="138"/>
      <c r="C112" s="138"/>
      <c r="D112" s="138"/>
      <c r="E112" s="3164"/>
      <c r="F112" s="3165"/>
      <c r="G112" s="2523" t="s">
        <v>2297</v>
      </c>
      <c r="H112" s="789" t="str">
        <f>IF(E111="——","——",N61)</f>
        <v>——</v>
      </c>
      <c r="I112" s="138"/>
    </row>
    <row r="113" spans="1:11" ht="18.75" customHeight="1">
      <c r="A113" s="138"/>
      <c r="B113" s="138"/>
      <c r="C113" s="138"/>
      <c r="D113" s="138"/>
      <c r="E113" s="3173" t="s">
        <v>2303</v>
      </c>
      <c r="F113" s="3173"/>
      <c r="G113" s="3173"/>
      <c r="H113" s="3173"/>
      <c r="I113" s="138"/>
    </row>
    <row r="114" spans="1:11" ht="3.75" customHeight="1">
      <c r="A114" s="2416"/>
      <c r="B114" s="2416"/>
      <c r="C114" s="2416"/>
      <c r="D114" s="2416"/>
      <c r="E114" s="2494"/>
      <c r="F114" s="2494"/>
      <c r="G114" s="2494"/>
      <c r="H114" s="2494"/>
      <c r="I114" s="2416"/>
    </row>
    <row r="115" spans="1:11" ht="18.75" customHeight="1">
      <c r="A115" s="3186" t="s">
        <v>2305</v>
      </c>
      <c r="B115" s="3187"/>
      <c r="C115" s="3187"/>
      <c r="D115" s="3187"/>
      <c r="E115" s="3187"/>
      <c r="F115" s="3187"/>
      <c r="G115" s="3187"/>
      <c r="H115" s="3187"/>
      <c r="I115" s="3188"/>
    </row>
    <row r="116" spans="1:11" ht="27" customHeight="1">
      <c r="A116" s="3097" t="s">
        <v>2306</v>
      </c>
      <c r="B116" s="3140" t="s">
        <v>2307</v>
      </c>
      <c r="C116" s="3140" t="s">
        <v>2308</v>
      </c>
      <c r="D116" s="3146" t="s">
        <v>2309</v>
      </c>
      <c r="E116" s="3147"/>
      <c r="F116" s="3182" t="s">
        <v>2310</v>
      </c>
      <c r="G116" s="3182"/>
      <c r="H116" s="3097" t="s">
        <v>2311</v>
      </c>
      <c r="I116" s="3097"/>
    </row>
    <row r="117" spans="1:11" ht="18.75" customHeight="1">
      <c r="A117" s="3097"/>
      <c r="B117" s="3141"/>
      <c r="C117" s="3141"/>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57.02</v>
      </c>
      <c r="C118" s="1797">
        <f>M19</f>
        <v>16.29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190</v>
      </c>
      <c r="I118" s="1797">
        <f ca="1">ROUND(IF(D32="楼面单价",C32,H118*10000/B118),0)</f>
        <v>33322</v>
      </c>
    </row>
    <row r="119" spans="1:11" ht="18.75" customHeight="1">
      <c r="A119" s="3097" t="s">
        <v>2315</v>
      </c>
      <c r="B119" s="3097"/>
      <c r="C119" s="3097"/>
      <c r="D119" s="3142" t="e">
        <f ca="1">NUMBERSTRING(INT(D118*10000),2)&amp;"元整"</f>
        <v>#REF!</v>
      </c>
      <c r="E119" s="3143"/>
      <c r="F119" s="3142" t="e">
        <f ca="1">NUMBERSTRING(INT(F118*10000),2)&amp;"元整"</f>
        <v>#REF!</v>
      </c>
      <c r="G119" s="3143"/>
      <c r="H119" s="3142" t="str">
        <f ca="1">NUMBERSTRING(INT(H118*10000),2)&amp;"元整"</f>
        <v>壹佰玖拾万元整</v>
      </c>
      <c r="I119" s="3143"/>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1" t="str">
        <f>IF(D120=0,"故，本次评估不存在"&amp;A120,"故，本次评估"&amp;A120&amp;"为人民币"&amp;D120&amp;"万元整。")</f>
        <v>故，本次评估不存在估价师知悉的法定优先受偿款</v>
      </c>
    </row>
    <row r="121" spans="1:11" ht="18.75" customHeight="1">
      <c r="A121" s="3183" t="s">
        <v>2315</v>
      </c>
      <c r="B121" s="3184"/>
      <c r="C121" s="3185"/>
      <c r="D121" s="3142" t="str">
        <f>IF(D120=0,"零元整",NUMBERSTRING(INT(D120*10000),2)&amp;"元整")</f>
        <v>零元整</v>
      </c>
      <c r="E121" s="3144"/>
      <c r="F121" s="3144"/>
      <c r="G121" s="3144"/>
      <c r="H121" s="3144"/>
      <c r="I121" s="3143"/>
    </row>
    <row r="122" spans="1:11" ht="18.75" customHeight="1">
      <c r="A122" s="3148" t="str">
        <f>IF(项目基本情况!B9="房地产市场价值","",MID(E107,3,LEN(E107)-2))</f>
        <v>房地产抵押价值</v>
      </c>
      <c r="B122" s="3148"/>
      <c r="C122" s="3148"/>
      <c r="D122" s="3137">
        <f ca="1">H107</f>
        <v>190</v>
      </c>
      <c r="E122" s="3138"/>
      <c r="F122" s="3138"/>
      <c r="G122" s="3138"/>
      <c r="H122" s="3138"/>
      <c r="I122" s="3139"/>
    </row>
    <row r="123" spans="1:11" ht="18.75" customHeight="1">
      <c r="A123" s="3097" t="s">
        <v>2315</v>
      </c>
      <c r="B123" s="3097"/>
      <c r="C123" s="3097"/>
      <c r="D123" s="3142" t="str">
        <f ca="1">NUMBERSTRING(INT(D122*10000),2)&amp;"元整"</f>
        <v>壹佰玖拾万元整</v>
      </c>
      <c r="E123" s="3144"/>
      <c r="F123" s="3144"/>
      <c r="G123" s="3144"/>
      <c r="H123" s="3144"/>
      <c r="I123" s="3143"/>
    </row>
    <row r="124" spans="1:11" ht="18.75" customHeight="1">
      <c r="A124" s="3148" t="str">
        <f>IF(项目基本情况!B9="房地产市场价值","",MID(E109,3,LEN(E109)-2))</f>
        <v/>
      </c>
      <c r="B124" s="3148"/>
      <c r="C124" s="3148"/>
      <c r="D124" s="3137" t="str">
        <f>H109</f>
        <v>——</v>
      </c>
      <c r="E124" s="3138"/>
      <c r="F124" s="3138"/>
      <c r="G124" s="3138"/>
      <c r="H124" s="3138"/>
      <c r="I124" s="3139"/>
    </row>
    <row r="125" spans="1:11" ht="18.75" customHeight="1">
      <c r="A125" s="3097" t="s">
        <v>2315</v>
      </c>
      <c r="B125" s="3097"/>
      <c r="C125" s="3097"/>
      <c r="D125" s="3142" t="e">
        <f>NUMBERSTRING(INT(D124*10000),2)&amp;"元整"</f>
        <v>#VALUE!</v>
      </c>
      <c r="E125" s="3144"/>
      <c r="F125" s="3144"/>
      <c r="G125" s="3144"/>
      <c r="H125" s="3144"/>
      <c r="I125" s="3143"/>
    </row>
    <row r="126" spans="1:11" ht="18.75" customHeight="1">
      <c r="A126" s="3148" t="str">
        <f>IF(项目基本情况!B9="房地产市场价值","",MID(E111,3,LEN(E111)-2))</f>
        <v/>
      </c>
      <c r="B126" s="3148"/>
      <c r="C126" s="3148"/>
      <c r="D126" s="3137" t="str">
        <f>H111</f>
        <v>——</v>
      </c>
      <c r="E126" s="3138"/>
      <c r="F126" s="3138"/>
      <c r="G126" s="3138"/>
      <c r="H126" s="3138"/>
      <c r="I126" s="3139"/>
    </row>
    <row r="127" spans="1:11" ht="18.75" customHeight="1">
      <c r="A127" s="3097" t="s">
        <v>2315</v>
      </c>
      <c r="B127" s="3097"/>
      <c r="C127" s="3097"/>
      <c r="D127" s="3142" t="e">
        <f>NUMBERSTRING(INT(D126*10000),2)&amp;"元整"</f>
        <v>#VALUE!</v>
      </c>
      <c r="E127" s="3144"/>
      <c r="F127" s="3144"/>
      <c r="G127" s="3144"/>
      <c r="H127" s="3144"/>
      <c r="I127" s="3143"/>
    </row>
    <row r="128" spans="1:11" ht="21.75" customHeight="1">
      <c r="A128" s="3145" t="s">
        <v>2316</v>
      </c>
      <c r="B128" s="3145"/>
      <c r="C128" s="3145"/>
      <c r="D128" s="3145"/>
      <c r="E128" s="3145"/>
      <c r="F128" s="3145"/>
      <c r="G128" s="3145"/>
      <c r="H128" s="3145"/>
      <c r="I128" s="314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5477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5143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128</v>
      </c>
      <c r="D10" s="1034">
        <f ca="1">IF(B1="",'数据-汇总表'!E6,IF(INDIRECT("'数据-取费表'!c"&amp;$G$1)="住宅",INDIRECT("'数据-取费表'!s"&amp;$G$1),INDIRECT("'数据-取费表'!k"&amp;$G$1)+INDIRECT("'数据-取费表'!s"&amp;$G$1)))</f>
        <v>10648.409999999993</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213</v>
      </c>
      <c r="D19" s="1038">
        <f ca="1">D9+D10</f>
        <v>10648.409999999993</v>
      </c>
      <c r="E19" s="255">
        <f>'数据-取费表'!B31</f>
        <v>200</v>
      </c>
      <c r="F19" s="275"/>
      <c r="G19" s="2550"/>
    </row>
    <row r="20" spans="1:7" s="258" customFormat="1" ht="13.5" customHeight="1">
      <c r="A20" s="299" t="s">
        <v>2356</v>
      </c>
      <c r="B20" s="254" t="s">
        <v>2357</v>
      </c>
      <c r="C20" s="276">
        <f ca="1">ROUND((C5+C19)*F20,0)</f>
        <v>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26</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26</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54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54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323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3551</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3194</v>
      </c>
      <c r="D34" s="261"/>
      <c r="E34" s="264"/>
      <c r="F34" s="301">
        <f ca="1">IF('数据-取费表'!B24=0,1,IF(B1="",'数据-取费表'!N16,INDIRECT("'数据-取费表'!n"&amp;$G$1)))</f>
        <v>1</v>
      </c>
      <c r="G34" s="263" t="s">
        <v>2389</v>
      </c>
    </row>
    <row r="35" spans="1:7" ht="13.5" customHeight="1">
      <c r="A35" s="953" t="s">
        <v>796</v>
      </c>
      <c r="B35" s="259" t="s">
        <v>2390</v>
      </c>
      <c r="C35" s="264">
        <f ca="1">ROUND(C34*F35,0)</f>
        <v>96</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213</v>
      </c>
      <c r="D37" s="261">
        <f ca="1">D19</f>
        <v>10648.409999999993</v>
      </c>
      <c r="E37" s="293">
        <f>'数据-取费表'!B35</f>
        <v>200</v>
      </c>
      <c r="F37" s="303"/>
      <c r="G37" s="305" t="s">
        <v>2395</v>
      </c>
    </row>
    <row r="38" spans="1:7" ht="13.5" customHeight="1">
      <c r="A38" s="953" t="s">
        <v>799</v>
      </c>
      <c r="B38" s="259" t="s">
        <v>2396</v>
      </c>
      <c r="C38" s="264">
        <f ca="1">ROUND(C34*F38,0)</f>
        <v>48</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212</v>
      </c>
      <c r="D42" s="282"/>
      <c r="E42" s="282"/>
      <c r="F42" s="283"/>
      <c r="G42" s="3217" t="s">
        <v>2407</v>
      </c>
    </row>
    <row r="43" spans="1:7" ht="13.5" customHeight="1">
      <c r="A43" s="953" t="s">
        <v>792</v>
      </c>
      <c r="B43" s="259" t="s">
        <v>2408</v>
      </c>
      <c r="C43" s="282">
        <f ca="1">ROUND(IF('数据-取费表'!B22&lt;=1,C39*F22*'数据-取费表'!B21/2,C39*(POWER((1+F22),'数据-取费表'!B21/2)-1)),0)</f>
        <v>4</v>
      </c>
      <c r="D43" s="282"/>
      <c r="E43" s="282"/>
      <c r="F43" s="283"/>
      <c r="G43" s="3218"/>
    </row>
    <row r="44" spans="1:7" ht="13.5" customHeight="1">
      <c r="A44" s="953" t="s">
        <v>793</v>
      </c>
      <c r="B44" s="259" t="s">
        <v>2409</v>
      </c>
      <c r="C44" s="282">
        <f ca="1">ROUND(IF('数据-取费表'!B22&lt;=1,C40*F22*'数据-取费表'!B21/2,C40*(POWER((1+F22),'数据-取费表'!B21/2)-1)),4)</f>
        <v>1.1999999999999999E-3</v>
      </c>
      <c r="D44" s="282"/>
      <c r="E44" s="282"/>
      <c r="F44" s="283"/>
      <c r="G44" s="3219"/>
    </row>
    <row r="45" spans="1:7" s="258" customFormat="1" ht="13.5" customHeight="1">
      <c r="A45" s="299" t="s">
        <v>2410</v>
      </c>
      <c r="B45" s="288" t="s">
        <v>2376</v>
      </c>
      <c r="C45" s="289">
        <f ca="1">C46</f>
        <v>906</v>
      </c>
      <c r="D45" s="279">
        <f ca="1">C47</f>
        <v>5.0000000000000001E-3</v>
      </c>
      <c r="E45" s="280" t="s">
        <v>2402</v>
      </c>
      <c r="F45" s="290"/>
      <c r="G45" s="291" t="s">
        <v>2411</v>
      </c>
    </row>
    <row r="46" spans="1:7" s="258" customFormat="1" ht="13.5" customHeight="1">
      <c r="A46" s="953" t="s">
        <v>791</v>
      </c>
      <c r="B46" s="292" t="s">
        <v>2412</v>
      </c>
      <c r="C46" s="293">
        <f ca="1">ROUND((C33+C39)*F27,0)</f>
        <v>906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5154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5154</v>
      </c>
      <c r="D51" s="276"/>
      <c r="E51" s="276"/>
      <c r="F51" s="308"/>
      <c r="G51" s="278" t="s">
        <v>2423</v>
      </c>
    </row>
    <row r="52" spans="1:7" s="252" customFormat="1" ht="16.5" thickBot="1">
      <c r="A52" s="309" t="s">
        <v>2424</v>
      </c>
      <c r="B52" s="310"/>
      <c r="C52" s="311">
        <f ca="1">C31+C51</f>
        <v>5477</v>
      </c>
      <c r="D52" s="310"/>
      <c r="E52" s="310"/>
      <c r="F52" s="310"/>
      <c r="G52" s="312"/>
    </row>
    <row r="55" spans="1:7" ht="15">
      <c r="B55" s="314" t="s">
        <v>2425</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1" t="str">
        <f>项目基本情况!B1</f>
        <v>湖北省武汉市房地产抵押价值预评估</v>
      </c>
      <c r="C37" s="3031"/>
      <c r="D37" s="3031"/>
      <c r="E37" s="3031"/>
      <c r="F37" s="3031"/>
      <c r="G37" s="3031"/>
      <c r="H37" s="3031"/>
      <c r="I37" s="3031"/>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5672</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5327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1277809</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1277809</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1277809</v>
      </c>
      <c r="D10" s="1034">
        <f ca="1">IF(B1="",'数据-汇总表'!E6,IF(INDIRECT("'数据-取费表'!c"&amp;$G$1)="住宅",INDIRECT("'数据-取费表'!s"&amp;$G$1),INDIRECT("'数据-取费表'!k"&amp;$G$1)+INDIRECT("'数据-取费表'!s"&amp;$G$1)))</f>
        <v>10648.409999999993</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2129682</v>
      </c>
      <c r="D19" s="1038">
        <f ca="1">D9+D10</f>
        <v>10648.409999999993</v>
      </c>
      <c r="E19" s="255">
        <f>'数据-取费表'!B31</f>
        <v>200</v>
      </c>
      <c r="F19" s="275"/>
      <c r="G19" s="2550"/>
    </row>
    <row r="20" spans="1:7" s="258" customFormat="1" ht="13.5" customHeight="1">
      <c r="A20" s="299" t="s">
        <v>2437</v>
      </c>
      <c r="B20" s="254" t="s">
        <v>2438</v>
      </c>
      <c r="C20" s="276">
        <f ca="1">ROUND((C5+C19)*F20,0)</f>
        <v>68150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423238</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157188</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261980</v>
      </c>
      <c r="D24" s="282"/>
      <c r="E24" s="282"/>
      <c r="F24" s="283"/>
      <c r="G24" s="284" t="s">
        <v>2449</v>
      </c>
    </row>
    <row r="25" spans="1:7" s="258" customFormat="1" ht="24">
      <c r="A25" s="953" t="s">
        <v>2339</v>
      </c>
      <c r="B25" s="259" t="s">
        <v>2450</v>
      </c>
      <c r="C25" s="1383">
        <f ca="1">ROUND(IF('数据-取费表'!B22&lt;=1,C20*F22*'数据-取费表'!B22/2,C20*(POWER((1+F22),'数据-取费表'!B22/2)-1)),0)</f>
        <v>4070</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868910</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868910</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5179564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35512447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31945230</v>
      </c>
      <c r="D34" s="261"/>
      <c r="E34" s="264"/>
      <c r="F34" s="301"/>
      <c r="G34" s="263"/>
    </row>
    <row r="35" spans="1:7" ht="13.5" customHeight="1">
      <c r="A35" s="953" t="s">
        <v>796</v>
      </c>
      <c r="B35" s="259" t="s">
        <v>2390</v>
      </c>
      <c r="C35" s="264">
        <f ca="1">ROUND(C34*F35,0)</f>
        <v>958357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2129682</v>
      </c>
      <c r="D37" s="261">
        <f ca="1">D19</f>
        <v>10648.409999999993</v>
      </c>
      <c r="E37" s="293">
        <f>'数据-取费表'!B35</f>
        <v>200</v>
      </c>
      <c r="F37" s="303"/>
      <c r="G37" s="305"/>
    </row>
    <row r="38" spans="1:7" ht="13.5" customHeight="1">
      <c r="A38" s="953" t="s">
        <v>799</v>
      </c>
      <c r="B38" s="259" t="s">
        <v>2396</v>
      </c>
      <c r="C38" s="264">
        <f ca="1">ROUND(C34*F38,0)</f>
        <v>479178</v>
      </c>
      <c r="D38" s="264"/>
      <c r="E38" s="264"/>
      <c r="F38" s="303">
        <f>'数据-取费表'!B36</f>
        <v>1.4999999999999999E-2</v>
      </c>
      <c r="G38" s="263" t="s">
        <v>2391</v>
      </c>
    </row>
    <row r="39" spans="1:7" s="258" customFormat="1" ht="13.5" customHeight="1">
      <c r="A39" s="299" t="s">
        <v>2397</v>
      </c>
      <c r="B39" s="254" t="s">
        <v>2398</v>
      </c>
      <c r="C39" s="276">
        <f ca="1">ROUND(C33*F20,0)</f>
        <v>710249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2163344</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2120925</v>
      </c>
      <c r="D42" s="282"/>
      <c r="E42" s="282"/>
      <c r="F42" s="283"/>
      <c r="G42" s="3217" t="s">
        <v>2454</v>
      </c>
    </row>
    <row r="43" spans="1:7" ht="13.5" customHeight="1">
      <c r="A43" s="953" t="s">
        <v>792</v>
      </c>
      <c r="B43" s="259" t="s">
        <v>2408</v>
      </c>
      <c r="C43" s="282">
        <f ca="1">ROUND(IF('数据-取费表'!B22&lt;=1,C39*F22*'数据-取费表'!B20/2,C39*(POWER((1+F22),'数据-取费表'!B20/2)-1)),0)</f>
        <v>42419</v>
      </c>
      <c r="D43" s="282"/>
      <c r="E43" s="282"/>
      <c r="F43" s="283"/>
      <c r="G43" s="3218"/>
    </row>
    <row r="44" spans="1:7" ht="13.5" customHeight="1">
      <c r="A44" s="953" t="s">
        <v>793</v>
      </c>
      <c r="B44" s="259" t="s">
        <v>2409</v>
      </c>
      <c r="C44" s="282">
        <f ca="1">ROUND(IF('数据-取费表'!B22&lt;=1,C40*F22*'数据-取费表'!B20/2,C40*(POWER((1+F22),'数据-取费表'!B20/2)-1)),4)</f>
        <v>1.1999999999999999E-3</v>
      </c>
      <c r="D44" s="282"/>
      <c r="E44" s="282"/>
      <c r="F44" s="283"/>
      <c r="G44" s="3219"/>
    </row>
    <row r="45" spans="1:7" s="258" customFormat="1" ht="13.5" customHeight="1">
      <c r="A45" s="299" t="s">
        <v>2410</v>
      </c>
      <c r="B45" s="288" t="s">
        <v>2376</v>
      </c>
      <c r="C45" s="289">
        <f ca="1">C46</f>
        <v>9055674</v>
      </c>
      <c r="D45" s="279">
        <f ca="1">C47</f>
        <v>5.0000000000000001E-3</v>
      </c>
      <c r="E45" s="280" t="s">
        <v>2402</v>
      </c>
      <c r="F45" s="290"/>
      <c r="G45" s="291" t="s">
        <v>2411</v>
      </c>
    </row>
    <row r="46" spans="1:7" s="258" customFormat="1" ht="13.5" customHeight="1">
      <c r="A46" s="953" t="s">
        <v>791</v>
      </c>
      <c r="B46" s="292" t="s">
        <v>2412</v>
      </c>
      <c r="C46" s="293">
        <f ca="1">ROUND((C33+C39)*F27,0)</f>
        <v>9055674</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51539070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51539070</v>
      </c>
      <c r="D51" s="276"/>
      <c r="E51" s="276"/>
      <c r="F51" s="308"/>
      <c r="G51" s="278" t="s">
        <v>2423</v>
      </c>
    </row>
    <row r="52" spans="1:7" s="252" customFormat="1" ht="16.5" thickBot="1">
      <c r="A52" s="309" t="s">
        <v>2424</v>
      </c>
      <c r="B52" s="310"/>
      <c r="C52" s="311">
        <f ca="1">C31+C51</f>
        <v>56718634</v>
      </c>
      <c r="D52" s="310"/>
      <c r="E52" s="310"/>
      <c r="F52" s="310"/>
      <c r="G52" s="312"/>
    </row>
    <row r="55" spans="1:7" ht="15">
      <c r="B55" s="314" t="s">
        <v>2425</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-159</v>
      </c>
      <c r="C2" s="320" t="s">
        <v>2458</v>
      </c>
      <c r="D2" s="320"/>
      <c r="E2" s="320"/>
      <c r="F2" s="320"/>
      <c r="G2" s="320"/>
      <c r="H2" s="320"/>
      <c r="I2" s="320"/>
      <c r="J2" s="320"/>
      <c r="K2" s="320"/>
    </row>
    <row r="3" spans="1:33" ht="18" customHeight="1" thickBot="1">
      <c r="A3" s="247" t="s">
        <v>2327</v>
      </c>
      <c r="B3" s="248">
        <f ca="1">ROUND(B2*10000/IF(C1="",'数据-汇总表'!E3,INDIRECT("'数据-取费表'!K"&amp;$K$1)),0)</f>
        <v>-149</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10648.409999999993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10648.409999999993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128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128</v>
      </c>
      <c r="D20" s="1035">
        <f ca="1">IF(C1="",'数据-汇总表'!E6,IF(INDIRECT("'数据-取费表'!c"&amp;$K$1)="住宅",INDIRECT("'数据-取费表'!s"&amp;$K$1),INDIRECT("'数据-取费表'!k"&amp;$K$1)+INDIRECT("'数据-取费表'!s"&amp;$K$1)))</f>
        <v>10648.409999999993</v>
      </c>
      <c r="E20" s="24">
        <f>'数据-取费表'!B28</f>
        <v>120</v>
      </c>
      <c r="F20" s="978"/>
      <c r="G20" s="15"/>
      <c r="H20" s="983"/>
      <c r="I20" s="983"/>
      <c r="J20" s="983"/>
      <c r="K20" s="984"/>
    </row>
    <row r="21" spans="1:33" s="977" customFormat="1" ht="13.5" customHeight="1">
      <c r="A21" s="963" t="s">
        <v>802</v>
      </c>
      <c r="B21" s="987" t="s">
        <v>2494</v>
      </c>
      <c r="C21" s="988">
        <f ca="1">C16+C17+C18</f>
        <v>128</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33</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33</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18" zoomScale="90" zoomScaleNormal="90" workbookViewId="0">
      <selection activeCell="I6" sqref="I6:J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3067</v>
      </c>
      <c r="E1" s="2657"/>
      <c r="F1" s="2584" t="s">
        <v>3075</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205</v>
      </c>
      <c r="C2" s="2586" t="s">
        <v>70</v>
      </c>
      <c r="D2" s="1367">
        <f ca="1">SUMIF(INDIRECT("'"&amp;F2&amp;"'"&amp;"!A:A"),"承租人权益价值",INDIRECT("'"&amp;F2&amp;"'"&amp;"!c:c"))</f>
        <v>0</v>
      </c>
      <c r="E2" s="2587" t="s">
        <v>2326</v>
      </c>
      <c r="F2" s="2588" t="s">
        <v>3076</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35946</v>
      </c>
      <c r="C3" s="400" t="s">
        <v>2642</v>
      </c>
      <c r="D3" s="399">
        <f>IF(D1="",'数据-汇总表'!E3,SUMIF('数据-汇总表'!$C19:$C33,D1,'数据-汇总表'!$E19:$E33))</f>
        <v>57.02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3" t="s">
        <v>2646</v>
      </c>
      <c r="AC4" s="3220" t="s">
        <v>2647</v>
      </c>
    </row>
    <row r="5" spans="1:29" ht="15">
      <c r="A5" s="404"/>
      <c r="B5" s="405"/>
      <c r="C5" s="3232" t="s">
        <v>3077</v>
      </c>
      <c r="D5" s="3233"/>
      <c r="E5" s="3230" t="s">
        <v>3238</v>
      </c>
      <c r="F5" s="3231"/>
      <c r="G5" s="3232" t="s">
        <v>3245</v>
      </c>
      <c r="H5" s="3233"/>
      <c r="I5" s="3232" t="s">
        <v>3240</v>
      </c>
      <c r="J5" s="3233"/>
      <c r="K5" s="610"/>
      <c r="L5" s="1132"/>
      <c r="M5" s="1133"/>
      <c r="N5" s="1133"/>
      <c r="O5" s="1133"/>
      <c r="P5" s="3246"/>
      <c r="Q5" s="3247"/>
      <c r="R5" s="3228"/>
      <c r="S5" s="3229"/>
      <c r="T5" s="3228"/>
      <c r="U5" s="3229"/>
      <c r="V5" s="3223"/>
      <c r="W5" s="3223"/>
      <c r="X5" s="1815"/>
      <c r="Y5" s="3228"/>
      <c r="Z5" s="3229"/>
      <c r="AA5" s="3221"/>
      <c r="AB5" s="3223"/>
      <c r="AC5" s="3221"/>
    </row>
    <row r="6" spans="1:29" ht="15.75" thickBot="1">
      <c r="A6" s="406"/>
      <c r="B6" s="407"/>
      <c r="C6" s="3234" t="s">
        <v>2544</v>
      </c>
      <c r="D6" s="3235"/>
      <c r="E6" s="3236" t="s">
        <v>3239</v>
      </c>
      <c r="F6" s="3237"/>
      <c r="G6" s="3238" t="s">
        <v>3246</v>
      </c>
      <c r="H6" s="3235"/>
      <c r="I6" s="3238" t="s">
        <v>3241</v>
      </c>
      <c r="J6" s="3235"/>
      <c r="K6" s="610" t="s">
        <v>2545</v>
      </c>
      <c r="L6" s="1132"/>
      <c r="M6" s="1133"/>
      <c r="N6" s="1133"/>
      <c r="O6" s="1133"/>
      <c r="P6" s="3248"/>
      <c r="Q6" s="3249"/>
      <c r="R6" s="3228"/>
      <c r="S6" s="3229"/>
      <c r="T6" s="3250"/>
      <c r="U6" s="3251"/>
      <c r="V6" s="3223"/>
      <c r="W6" s="3223"/>
      <c r="X6" s="1815"/>
      <c r="Y6" s="3250"/>
      <c r="Z6" s="3251"/>
      <c r="AA6" s="3222"/>
      <c r="AB6" s="3223"/>
      <c r="AC6" s="3222"/>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24" t="s">
        <v>2547</v>
      </c>
      <c r="Q7" s="3252"/>
      <c r="R7" s="769" t="s">
        <v>17</v>
      </c>
      <c r="S7" s="770">
        <f t="shared" ref="S7:S15" si="0">F7</f>
        <v>100</v>
      </c>
      <c r="T7" s="769" t="s">
        <v>17</v>
      </c>
      <c r="U7" s="770">
        <f t="shared" ref="U7:U15" si="1">H7</f>
        <v>100</v>
      </c>
      <c r="V7" s="769" t="s">
        <v>17</v>
      </c>
      <c r="W7" s="770">
        <f t="shared" ref="W7:W15" si="2">J7</f>
        <v>100</v>
      </c>
      <c r="X7" s="771"/>
      <c r="Y7" s="3224" t="s">
        <v>2547</v>
      </c>
      <c r="Z7" s="3225"/>
      <c r="AA7" s="772">
        <f>D7/F7</f>
        <v>1</v>
      </c>
      <c r="AB7" s="772">
        <f>D7/H7</f>
        <v>1</v>
      </c>
      <c r="AC7" s="772">
        <f>D7/J7</f>
        <v>1</v>
      </c>
    </row>
    <row r="8" spans="1:29" s="117" customFormat="1" ht="15.75" thickBot="1">
      <c r="A8" s="408" t="s">
        <v>2548</v>
      </c>
      <c r="B8" s="409"/>
      <c r="C8" s="414" t="s">
        <v>2650</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24" t="s">
        <v>2550</v>
      </c>
      <c r="Q8" s="3225"/>
      <c r="R8" s="769" t="s">
        <v>17</v>
      </c>
      <c r="S8" s="770">
        <f t="shared" si="0"/>
        <v>100</v>
      </c>
      <c r="T8" s="769" t="s">
        <v>17</v>
      </c>
      <c r="U8" s="770">
        <f t="shared" si="1"/>
        <v>100</v>
      </c>
      <c r="V8" s="769" t="s">
        <v>17</v>
      </c>
      <c r="W8" s="770">
        <f t="shared" si="2"/>
        <v>100</v>
      </c>
      <c r="X8" s="771"/>
      <c r="Y8" s="3224" t="s">
        <v>2550</v>
      </c>
      <c r="Z8" s="3225"/>
      <c r="AA8" s="772">
        <f t="shared" ref="AA8:AA46" si="3">D8/F8</f>
        <v>1</v>
      </c>
      <c r="AB8" s="772">
        <f t="shared" ref="AB8:AB46" si="4">D8/H8</f>
        <v>1</v>
      </c>
      <c r="AC8" s="772">
        <f t="shared" ref="AC8:AC46" si="5">D8/J8</f>
        <v>1</v>
      </c>
    </row>
    <row r="9" spans="1:29" s="117" customFormat="1">
      <c r="A9" s="415" t="s">
        <v>2551</v>
      </c>
      <c r="B9" s="71" t="s">
        <v>2552</v>
      </c>
      <c r="C9" s="2947"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9"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772">
        <f t="shared" si="5"/>
        <v>1</v>
      </c>
    </row>
    <row r="10" spans="1:29" s="427" customFormat="1" ht="27">
      <c r="A10" s="421"/>
      <c r="B10" s="422" t="s">
        <v>2555</v>
      </c>
      <c r="C10" s="2954" t="s">
        <v>3132</v>
      </c>
      <c r="D10" s="136">
        <v>100</v>
      </c>
      <c r="E10" s="2955" t="s">
        <v>3132</v>
      </c>
      <c r="F10" s="425">
        <f>SUMIF(65:65,E10,66:66)-SUMIF(65:65,C10,66:66)+100</f>
        <v>100</v>
      </c>
      <c r="G10" s="2954" t="s">
        <v>3132</v>
      </c>
      <c r="H10" s="136">
        <f>SUMIF(65:65,G10,66:66)-SUMIF(65:65,C10,66:66)+100</f>
        <v>100</v>
      </c>
      <c r="I10" s="2954" t="s">
        <v>3132</v>
      </c>
      <c r="J10" s="136">
        <f>SUMIF(65:65,I10,66:66)-SUMIF(65:65,C10,66:66)+100</f>
        <v>100</v>
      </c>
      <c r="K10" s="612"/>
      <c r="L10" s="1137"/>
      <c r="M10" s="1138"/>
      <c r="N10" s="1138"/>
      <c r="O10" s="1138"/>
      <c r="P10" s="3239"/>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75" thickBot="1">
      <c r="A11" s="428"/>
      <c r="B11" s="422" t="s">
        <v>2556</v>
      </c>
      <c r="C11" s="429">
        <f>'数据-汇总表'!I3</f>
        <v>3.5</v>
      </c>
      <c r="D11" s="136">
        <v>100</v>
      </c>
      <c r="E11" s="430">
        <v>3.2</v>
      </c>
      <c r="F11" s="425">
        <f>LOOKUP(E11,68:68,69:69)-LOOKUP(C11,68:68,69:69)+100</f>
        <v>100</v>
      </c>
      <c r="G11" s="429">
        <v>3</v>
      </c>
      <c r="H11" s="136">
        <f>LOOKUP(G11,68:68,69:69)-LOOKUP(C11,68:68,69:69)+100</f>
        <v>100</v>
      </c>
      <c r="I11" s="429">
        <v>3.5</v>
      </c>
      <c r="J11" s="136">
        <f>LOOKUP(I11,68:68,69:69)-LOOKUP(C11,68:68,69:69)+100</f>
        <v>100</v>
      </c>
      <c r="K11" s="612">
        <v>5</v>
      </c>
      <c r="L11" s="1140"/>
      <c r="M11" s="1133"/>
      <c r="N11" s="1133"/>
      <c r="O11" s="1133"/>
      <c r="P11" s="3239"/>
      <c r="Q11" s="1797" t="str">
        <f t="shared" si="6"/>
        <v>容积率</v>
      </c>
      <c r="R11" s="769" t="s">
        <v>17</v>
      </c>
      <c r="S11" s="770">
        <f t="shared" si="0"/>
        <v>100</v>
      </c>
      <c r="T11" s="769" t="s">
        <v>17</v>
      </c>
      <c r="U11" s="770">
        <f t="shared" si="1"/>
        <v>100</v>
      </c>
      <c r="V11" s="769" t="s">
        <v>17</v>
      </c>
      <c r="W11" s="770">
        <f t="shared" si="2"/>
        <v>100</v>
      </c>
      <c r="X11" s="771"/>
      <c r="Y11" s="3097"/>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9"/>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9"/>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9"/>
      <c r="Q14" s="1797">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103</v>
      </c>
      <c r="G15" s="444"/>
      <c r="H15" s="441">
        <f>SUMIF(76:76,G16,77:77)-SUMIF(76:76,C16,77:77)+100</f>
        <v>103</v>
      </c>
      <c r="I15" s="442"/>
      <c r="J15" s="441">
        <f>SUMIF(76:76,I16,77:77)-SUMIF(76:76,C16,77:77)+100</f>
        <v>103</v>
      </c>
      <c r="K15" s="614">
        <v>3</v>
      </c>
      <c r="L15" s="1142"/>
      <c r="M15" s="1133"/>
      <c r="N15" s="1133"/>
      <c r="O15" s="1133"/>
      <c r="P15" s="3253" t="s">
        <v>2558</v>
      </c>
      <c r="Q15" s="1812" t="str">
        <f t="shared" si="6"/>
        <v>商业繁华度</v>
      </c>
      <c r="R15" s="773" t="s">
        <v>17</v>
      </c>
      <c r="S15" s="774">
        <f t="shared" si="0"/>
        <v>103</v>
      </c>
      <c r="T15" s="773" t="s">
        <v>17</v>
      </c>
      <c r="U15" s="774">
        <f t="shared" si="1"/>
        <v>103</v>
      </c>
      <c r="V15" s="773" t="s">
        <v>17</v>
      </c>
      <c r="W15" s="774">
        <f t="shared" si="2"/>
        <v>103</v>
      </c>
      <c r="X15" s="1815"/>
      <c r="Y15" s="3255" t="s">
        <v>2558</v>
      </c>
      <c r="Z15" s="1816" t="str">
        <f t="shared" si="7"/>
        <v>商业繁华度</v>
      </c>
      <c r="AA15" s="1813">
        <f t="shared" si="3"/>
        <v>0.970873786407767</v>
      </c>
      <c r="AB15" s="1813">
        <f t="shared" si="4"/>
        <v>0.970873786407767</v>
      </c>
      <c r="AC15" s="1813">
        <f t="shared" si="5"/>
        <v>0.970873786407767</v>
      </c>
    </row>
    <row r="16" spans="1:29" ht="15">
      <c r="A16" s="428"/>
      <c r="B16" s="446"/>
      <c r="C16" s="447" t="s">
        <v>3175</v>
      </c>
      <c r="D16" s="448"/>
      <c r="E16" s="447" t="s">
        <v>3081</v>
      </c>
      <c r="F16" s="449"/>
      <c r="G16" s="447" t="s">
        <v>3081</v>
      </c>
      <c r="H16" s="450"/>
      <c r="I16" s="447" t="s">
        <v>3081</v>
      </c>
      <c r="J16" s="448"/>
      <c r="K16" s="615"/>
      <c r="L16" s="1142"/>
      <c r="M16" s="1133"/>
      <c r="N16" s="1133"/>
      <c r="O16" s="1133"/>
      <c r="P16" s="3254"/>
      <c r="Q16" s="1812"/>
      <c r="R16" s="773"/>
      <c r="S16" s="774"/>
      <c r="T16" s="773"/>
      <c r="U16" s="774"/>
      <c r="V16" s="773"/>
      <c r="W16" s="774"/>
      <c r="X16" s="1815"/>
      <c r="Y16" s="3256"/>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54"/>
      <c r="Q17" s="1812" t="str">
        <f>B17</f>
        <v>交通便捷度</v>
      </c>
      <c r="R17" s="773" t="s">
        <v>17</v>
      </c>
      <c r="S17" s="774">
        <f>F17</f>
        <v>100</v>
      </c>
      <c r="T17" s="773" t="s">
        <v>17</v>
      </c>
      <c r="U17" s="774">
        <f>H17</f>
        <v>100</v>
      </c>
      <c r="V17" s="773" t="s">
        <v>17</v>
      </c>
      <c r="W17" s="774">
        <f>J17</f>
        <v>100</v>
      </c>
      <c r="X17" s="1815"/>
      <c r="Y17" s="3256"/>
      <c r="Z17" s="1816" t="str">
        <f>Q17</f>
        <v>交通便捷度</v>
      </c>
      <c r="AA17" s="1813">
        <f t="shared" si="3"/>
        <v>1</v>
      </c>
      <c r="AB17" s="1813">
        <f t="shared" si="4"/>
        <v>1</v>
      </c>
      <c r="AC17" s="1813">
        <f t="shared" si="5"/>
        <v>1</v>
      </c>
    </row>
    <row r="18" spans="1:29" ht="15">
      <c r="A18" s="428"/>
      <c r="B18" s="456"/>
      <c r="C18" s="2608" t="s">
        <v>3080</v>
      </c>
      <c r="D18" s="450"/>
      <c r="E18" s="2610" t="s">
        <v>3080</v>
      </c>
      <c r="F18" s="453"/>
      <c r="G18" s="2609" t="s">
        <v>3080</v>
      </c>
      <c r="H18" s="448"/>
      <c r="I18" s="2610" t="s">
        <v>3080</v>
      </c>
      <c r="J18" s="448"/>
      <c r="K18" s="615"/>
      <c r="L18" s="1142"/>
      <c r="M18" s="1133"/>
      <c r="N18" s="1133"/>
      <c r="O18" s="1133"/>
      <c r="P18" s="3254"/>
      <c r="Q18" s="1812"/>
      <c r="R18" s="773"/>
      <c r="S18" s="774"/>
      <c r="T18" s="773"/>
      <c r="U18" s="774"/>
      <c r="V18" s="773"/>
      <c r="W18" s="774"/>
      <c r="X18" s="1815"/>
      <c r="Y18" s="3256"/>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54"/>
      <c r="Q19" s="1812" t="str">
        <f>B19</f>
        <v>公共配套设施</v>
      </c>
      <c r="R19" s="773" t="s">
        <v>17</v>
      </c>
      <c r="S19" s="774">
        <f>F19</f>
        <v>100</v>
      </c>
      <c r="T19" s="773" t="s">
        <v>17</v>
      </c>
      <c r="U19" s="774">
        <f>H19</f>
        <v>100</v>
      </c>
      <c r="V19" s="773" t="s">
        <v>17</v>
      </c>
      <c r="W19" s="774">
        <f>J19</f>
        <v>100</v>
      </c>
      <c r="X19" s="1815"/>
      <c r="Y19" s="3256"/>
      <c r="Z19" s="1816" t="str">
        <f>Q19</f>
        <v>公共配套设施</v>
      </c>
      <c r="AA19" s="1813">
        <f t="shared" si="3"/>
        <v>1</v>
      </c>
      <c r="AB19" s="1813">
        <f t="shared" si="4"/>
        <v>1</v>
      </c>
      <c r="AC19" s="1813">
        <f t="shared" si="5"/>
        <v>1</v>
      </c>
    </row>
    <row r="20" spans="1:29" ht="15">
      <c r="A20" s="428"/>
      <c r="B20" s="456"/>
      <c r="C20" s="447" t="s">
        <v>3081</v>
      </c>
      <c r="D20" s="448"/>
      <c r="E20" s="2605" t="s">
        <v>3081</v>
      </c>
      <c r="F20" s="449"/>
      <c r="G20" s="2604" t="s">
        <v>3081</v>
      </c>
      <c r="H20" s="448"/>
      <c r="I20" s="2605" t="s">
        <v>3081</v>
      </c>
      <c r="J20" s="448"/>
      <c r="K20" s="615"/>
      <c r="L20" s="1142"/>
      <c r="M20" s="1133"/>
      <c r="N20" s="1133"/>
      <c r="O20" s="1133"/>
      <c r="P20" s="3254"/>
      <c r="Q20" s="1812"/>
      <c r="R20" s="773"/>
      <c r="S20" s="774"/>
      <c r="T20" s="773"/>
      <c r="U20" s="774"/>
      <c r="V20" s="773"/>
      <c r="W20" s="774"/>
      <c r="X20" s="1815"/>
      <c r="Y20" s="3256"/>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54"/>
      <c r="Q21" s="1812" t="str">
        <f>B21</f>
        <v>基础设施水平</v>
      </c>
      <c r="R21" s="773" t="s">
        <v>17</v>
      </c>
      <c r="S21" s="774">
        <f>F21</f>
        <v>100</v>
      </c>
      <c r="T21" s="773" t="s">
        <v>17</v>
      </c>
      <c r="U21" s="774">
        <f>H21</f>
        <v>100</v>
      </c>
      <c r="V21" s="773" t="s">
        <v>17</v>
      </c>
      <c r="W21" s="774">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54"/>
      <c r="Q22" s="1812"/>
      <c r="R22" s="773"/>
      <c r="S22" s="774"/>
      <c r="T22" s="773"/>
      <c r="U22" s="774"/>
      <c r="V22" s="773"/>
      <c r="W22" s="774"/>
      <c r="X22" s="1815"/>
      <c r="Y22" s="3256"/>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54"/>
      <c r="Q23" s="1812" t="str">
        <f>B23</f>
        <v>自然及人文环境</v>
      </c>
      <c r="R23" s="773" t="s">
        <v>17</v>
      </c>
      <c r="S23" s="774">
        <f>F23</f>
        <v>100</v>
      </c>
      <c r="T23" s="773" t="s">
        <v>17</v>
      </c>
      <c r="U23" s="774">
        <f>H23</f>
        <v>100</v>
      </c>
      <c r="V23" s="773" t="s">
        <v>17</v>
      </c>
      <c r="W23" s="774">
        <f>J23</f>
        <v>100</v>
      </c>
      <c r="X23" s="1815"/>
      <c r="Y23" s="3256"/>
      <c r="Z23" s="1816" t="str">
        <f>Q23</f>
        <v>自然及人文环境</v>
      </c>
      <c r="AA23" s="1813">
        <f t="shared" si="3"/>
        <v>1</v>
      </c>
      <c r="AB23" s="1813">
        <f t="shared" si="4"/>
        <v>1</v>
      </c>
      <c r="AC23" s="1813">
        <f t="shared" si="5"/>
        <v>1</v>
      </c>
    </row>
    <row r="24" spans="1:29" ht="15">
      <c r="A24" s="428"/>
      <c r="B24" s="456"/>
      <c r="C24" s="447" t="s">
        <v>3081</v>
      </c>
      <c r="D24" s="448"/>
      <c r="E24" s="2605" t="s">
        <v>3081</v>
      </c>
      <c r="F24" s="449"/>
      <c r="G24" s="2604" t="s">
        <v>3081</v>
      </c>
      <c r="H24" s="448"/>
      <c r="I24" s="2605" t="s">
        <v>3081</v>
      </c>
      <c r="J24" s="448"/>
      <c r="K24" s="615"/>
      <c r="L24" s="1142"/>
      <c r="M24" s="1133"/>
      <c r="N24" s="1133"/>
      <c r="O24" s="1133"/>
      <c r="P24" s="3254"/>
      <c r="Q24" s="1812"/>
      <c r="R24" s="773"/>
      <c r="S24" s="774"/>
      <c r="T24" s="773"/>
      <c r="U24" s="774"/>
      <c r="V24" s="773"/>
      <c r="W24" s="774"/>
      <c r="X24" s="1815"/>
      <c r="Y24" s="3256"/>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54"/>
      <c r="Q25" s="1812" t="str">
        <f t="shared" ref="Q25:Q46" si="11">B25</f>
        <v>临街状况</v>
      </c>
      <c r="R25" s="773" t="s">
        <v>17</v>
      </c>
      <c r="S25" s="774">
        <f>F25</f>
        <v>100</v>
      </c>
      <c r="T25" s="773" t="s">
        <v>17</v>
      </c>
      <c r="U25" s="774">
        <f>H25</f>
        <v>100</v>
      </c>
      <c r="V25" s="773" t="s">
        <v>17</v>
      </c>
      <c r="W25" s="774">
        <f>J25</f>
        <v>100</v>
      </c>
      <c r="X25" s="1815"/>
      <c r="Y25" s="3256"/>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54"/>
      <c r="Q26" s="1812" t="str">
        <f t="shared" si="11"/>
        <v>平面位置/可视性</v>
      </c>
      <c r="R26" s="773" t="s">
        <v>17</v>
      </c>
      <c r="S26" s="774">
        <f>F26</f>
        <v>100</v>
      </c>
      <c r="T26" s="773" t="s">
        <v>17</v>
      </c>
      <c r="U26" s="774">
        <f>H26</f>
        <v>100</v>
      </c>
      <c r="V26" s="773" t="s">
        <v>17</v>
      </c>
      <c r="W26" s="774">
        <f>J26</f>
        <v>100</v>
      </c>
      <c r="X26" s="1815"/>
      <c r="Y26" s="3256"/>
      <c r="Z26" s="1816" t="str">
        <f>Q26</f>
        <v>平面位置/可视性</v>
      </c>
      <c r="AA26" s="1813">
        <f t="shared" si="3"/>
        <v>1</v>
      </c>
      <c r="AB26" s="1813">
        <f t="shared" si="4"/>
        <v>1</v>
      </c>
      <c r="AC26" s="1813">
        <f t="shared" si="5"/>
        <v>1</v>
      </c>
    </row>
    <row r="27" spans="1:29" s="117" customFormat="1" ht="15.75">
      <c r="A27" s="431"/>
      <c r="B27" s="451" t="s">
        <v>2656</v>
      </c>
      <c r="C27" s="2665" t="s">
        <v>3081</v>
      </c>
      <c r="D27" s="462">
        <v>100</v>
      </c>
      <c r="E27" s="2665" t="s">
        <v>3081</v>
      </c>
      <c r="F27" s="2958">
        <f>SUMIF(90:90,E27,91:91)-SUMIF(90:90,C27,91:91)+100</f>
        <v>100</v>
      </c>
      <c r="G27" s="2665" t="s">
        <v>3081</v>
      </c>
      <c r="H27" s="2957">
        <f>SUMIF(90:90,G27,91:91)-SUMIF(90:90,C27,91:91)+100</f>
        <v>100</v>
      </c>
      <c r="I27" s="2665" t="s">
        <v>3081</v>
      </c>
      <c r="J27" s="2957">
        <f>SUMIF(90:90,I27,91:91)-SUMIF(90:90,C27,91:91)+100</f>
        <v>100</v>
      </c>
      <c r="K27" s="2956">
        <v>1</v>
      </c>
      <c r="L27" s="1134"/>
      <c r="M27" s="1135"/>
      <c r="N27" s="1135"/>
      <c r="O27" s="1135"/>
      <c r="P27" s="3254"/>
      <c r="Q27" s="1797" t="str">
        <f t="shared" si="11"/>
        <v>人流量</v>
      </c>
      <c r="R27" s="769" t="s">
        <v>17</v>
      </c>
      <c r="S27" s="770">
        <f>F27</f>
        <v>100</v>
      </c>
      <c r="T27" s="769" t="s">
        <v>17</v>
      </c>
      <c r="U27" s="770">
        <f>H27</f>
        <v>100</v>
      </c>
      <c r="V27" s="769" t="s">
        <v>17</v>
      </c>
      <c r="W27" s="770">
        <f>J27</f>
        <v>100</v>
      </c>
      <c r="X27" s="771"/>
      <c r="Y27" s="3256"/>
      <c r="Z27" s="55" t="str">
        <f>Q27</f>
        <v>人流量</v>
      </c>
      <c r="AA27" s="1813">
        <f>D27/F27</f>
        <v>1</v>
      </c>
      <c r="AB27" s="1813">
        <f>D27/H27</f>
        <v>1</v>
      </c>
      <c r="AC27" s="1813">
        <f>D27/J27</f>
        <v>1</v>
      </c>
    </row>
    <row r="28" spans="1:29" ht="15.75" thickBot="1">
      <c r="A28" s="428"/>
      <c r="B28" s="422" t="s">
        <v>2657</v>
      </c>
      <c r="C28" s="616" t="s">
        <v>3123</v>
      </c>
      <c r="D28" s="435">
        <v>100</v>
      </c>
      <c r="E28" s="616" t="s">
        <v>3123</v>
      </c>
      <c r="F28" s="461">
        <f>SUMIF(92:92,E28,93:93)-SUMIF(92:92,C28,93:93)+100</f>
        <v>100</v>
      </c>
      <c r="G28" s="616" t="s">
        <v>3123</v>
      </c>
      <c r="H28" s="435">
        <f>SUMIF(92:92,G28,93:93)-SUMIF(92:92,C28,93:93)+100</f>
        <v>100</v>
      </c>
      <c r="I28" s="616" t="s">
        <v>3123</v>
      </c>
      <c r="J28" s="435">
        <f>SUMIF(92:92,I28,93:93)-SUMIF(92:92,C28,93:93)+100</f>
        <v>100</v>
      </c>
      <c r="K28" s="613"/>
      <c r="L28" s="1142"/>
      <c r="M28" s="1133"/>
      <c r="N28" s="1133"/>
      <c r="O28" s="1133"/>
      <c r="P28" s="325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6"/>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4"/>
      <c r="Q29" s="1812">
        <f t="shared" si="11"/>
        <v>111</v>
      </c>
      <c r="R29" s="773" t="s">
        <v>17</v>
      </c>
      <c r="S29" s="774">
        <f t="shared" si="12"/>
        <v>100</v>
      </c>
      <c r="T29" s="773" t="s">
        <v>17</v>
      </c>
      <c r="U29" s="774">
        <f t="shared" si="13"/>
        <v>100</v>
      </c>
      <c r="V29" s="773" t="s">
        <v>17</v>
      </c>
      <c r="W29" s="774">
        <f t="shared" si="14"/>
        <v>100</v>
      </c>
      <c r="X29" s="1815"/>
      <c r="Y29" s="3256"/>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4"/>
      <c r="Q30" s="1812">
        <f t="shared" si="11"/>
        <v>111</v>
      </c>
      <c r="R30" s="773" t="s">
        <v>17</v>
      </c>
      <c r="S30" s="774">
        <f t="shared" si="12"/>
        <v>100</v>
      </c>
      <c r="T30" s="773" t="s">
        <v>17</v>
      </c>
      <c r="U30" s="774">
        <f t="shared" si="13"/>
        <v>100</v>
      </c>
      <c r="V30" s="773" t="s">
        <v>17</v>
      </c>
      <c r="W30" s="774">
        <f t="shared" si="14"/>
        <v>100</v>
      </c>
      <c r="X30" s="1815"/>
      <c r="Y30" s="3256"/>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4"/>
      <c r="Q31" s="1812">
        <f t="shared" si="11"/>
        <v>111</v>
      </c>
      <c r="R31" s="773" t="s">
        <v>17</v>
      </c>
      <c r="S31" s="774">
        <f t="shared" si="12"/>
        <v>100</v>
      </c>
      <c r="T31" s="773" t="s">
        <v>17</v>
      </c>
      <c r="U31" s="774">
        <f t="shared" si="13"/>
        <v>100</v>
      </c>
      <c r="V31" s="773" t="s">
        <v>17</v>
      </c>
      <c r="W31" s="774">
        <f t="shared" si="14"/>
        <v>100</v>
      </c>
      <c r="X31" s="1815"/>
      <c r="Y31" s="3256"/>
      <c r="Z31" s="1816">
        <f t="shared" si="15"/>
        <v>111</v>
      </c>
      <c r="AA31" s="1813">
        <f t="shared" si="3"/>
        <v>1</v>
      </c>
      <c r="AB31" s="1813">
        <f t="shared" si="4"/>
        <v>1</v>
      </c>
      <c r="AC31" s="1813">
        <f t="shared" si="5"/>
        <v>1</v>
      </c>
    </row>
    <row r="32" spans="1:29" ht="15">
      <c r="A32" s="440" t="s">
        <v>2561</v>
      </c>
      <c r="B32" s="71" t="s">
        <v>2658</v>
      </c>
      <c r="C32" s="2617" t="s">
        <v>3098</v>
      </c>
      <c r="D32" s="467">
        <v>100</v>
      </c>
      <c r="E32" s="2617" t="s">
        <v>3098</v>
      </c>
      <c r="F32" s="461">
        <f>SUMIF(100:100,E32,101:101)-SUMIF(100:100,C32,101:101)+100</f>
        <v>100</v>
      </c>
      <c r="G32" s="2617" t="s">
        <v>3098</v>
      </c>
      <c r="H32" s="435">
        <f>SUMIF(100:100,G32,101:101)-SUMIF(100:100,C32,101:101)+100</f>
        <v>100</v>
      </c>
      <c r="I32" s="2617" t="s">
        <v>3098</v>
      </c>
      <c r="J32" s="467">
        <f>SUMIF(100:100,I32,101:101)-SUMIF(100:100,C32,101:101)+100</f>
        <v>100</v>
      </c>
      <c r="K32" s="612">
        <v>5</v>
      </c>
      <c r="L32" s="1142"/>
      <c r="M32" s="1133"/>
      <c r="N32" s="1133"/>
      <c r="O32" s="1133"/>
      <c r="P32" s="3257" t="s">
        <v>2563</v>
      </c>
      <c r="Q32" s="1812" t="str">
        <f t="shared" si="11"/>
        <v>商业类型</v>
      </c>
      <c r="R32" s="773" t="s">
        <v>17</v>
      </c>
      <c r="S32" s="774">
        <f t="shared" si="12"/>
        <v>100</v>
      </c>
      <c r="T32" s="773" t="s">
        <v>17</v>
      </c>
      <c r="U32" s="774">
        <f t="shared" si="13"/>
        <v>100</v>
      </c>
      <c r="V32" s="773" t="s">
        <v>17</v>
      </c>
      <c r="W32" s="774">
        <f t="shared" si="14"/>
        <v>100</v>
      </c>
      <c r="X32" s="1815"/>
      <c r="Y32" s="3260"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58"/>
      <c r="Q33" s="775" t="str">
        <f t="shared" si="11"/>
        <v>项目建筑规模</v>
      </c>
      <c r="R33" s="776" t="s">
        <v>17</v>
      </c>
      <c r="S33" s="777">
        <f t="shared" si="12"/>
        <v>100</v>
      </c>
      <c r="T33" s="776" t="s">
        <v>17</v>
      </c>
      <c r="U33" s="777">
        <f t="shared" si="13"/>
        <v>100</v>
      </c>
      <c r="V33" s="776" t="s">
        <v>17</v>
      </c>
      <c r="W33" s="777">
        <f t="shared" si="14"/>
        <v>100</v>
      </c>
      <c r="X33" s="778"/>
      <c r="Y33" s="3260"/>
      <c r="Z33" s="779" t="str">
        <f t="shared" si="15"/>
        <v>项目建筑规模</v>
      </c>
      <c r="AA33" s="1813">
        <f t="shared" si="3"/>
        <v>1</v>
      </c>
      <c r="AB33" s="1813">
        <f t="shared" si="4"/>
        <v>1</v>
      </c>
      <c r="AC33" s="1813">
        <f t="shared" si="5"/>
        <v>1</v>
      </c>
    </row>
    <row r="34" spans="1:29" ht="15">
      <c r="A34" s="472"/>
      <c r="B34" s="422" t="s">
        <v>2565</v>
      </c>
      <c r="C34" s="2619" t="s">
        <v>3072</v>
      </c>
      <c r="D34" s="435">
        <v>100</v>
      </c>
      <c r="E34" s="2619" t="s">
        <v>3072</v>
      </c>
      <c r="F34" s="461">
        <f>SUMIF(105:105,E34,106:106)-SUMIF(105:105,C34,106:106)+100</f>
        <v>100</v>
      </c>
      <c r="G34" s="2619" t="s">
        <v>3072</v>
      </c>
      <c r="H34" s="435">
        <f>SUMIF(105:105,G34,106:106)-SUMIF(105:105,C34,106:106)+100</f>
        <v>100</v>
      </c>
      <c r="I34" s="2619" t="s">
        <v>3072</v>
      </c>
      <c r="J34" s="435">
        <f>SUMIF(105:105,I34,106:106)-SUMIF(105:105,C34,106:106)+100</f>
        <v>100</v>
      </c>
      <c r="K34" s="612"/>
      <c r="L34" s="1142"/>
      <c r="M34" s="1133"/>
      <c r="N34" s="1133"/>
      <c r="O34" s="1133"/>
      <c r="P34" s="3258"/>
      <c r="Q34" s="1812" t="str">
        <f t="shared" si="11"/>
        <v>建筑结构</v>
      </c>
      <c r="R34" s="773" t="s">
        <v>17</v>
      </c>
      <c r="S34" s="774">
        <f t="shared" si="12"/>
        <v>100</v>
      </c>
      <c r="T34" s="773" t="s">
        <v>17</v>
      </c>
      <c r="U34" s="774">
        <f t="shared" si="13"/>
        <v>100</v>
      </c>
      <c r="V34" s="773" t="s">
        <v>17</v>
      </c>
      <c r="W34" s="774">
        <f t="shared" si="14"/>
        <v>100</v>
      </c>
      <c r="X34" s="1815"/>
      <c r="Y34" s="3260"/>
      <c r="Z34" s="1816" t="str">
        <f t="shared" si="15"/>
        <v>建筑结构</v>
      </c>
      <c r="AA34" s="1813">
        <f t="shared" si="3"/>
        <v>1</v>
      </c>
      <c r="AB34" s="1813">
        <f t="shared" si="4"/>
        <v>1</v>
      </c>
      <c r="AC34" s="1813">
        <f t="shared" si="5"/>
        <v>1</v>
      </c>
    </row>
    <row r="35" spans="1:29" ht="15">
      <c r="A35" s="472"/>
      <c r="B35" s="422" t="s">
        <v>2659</v>
      </c>
      <c r="C35" s="2613" t="s">
        <v>3107</v>
      </c>
      <c r="D35" s="435">
        <v>100</v>
      </c>
      <c r="E35" s="2613" t="s">
        <v>3107</v>
      </c>
      <c r="F35" s="461">
        <f>SUMIF(107:107,E35,108:108)-SUMIF(107:107,C35,108:108)+100</f>
        <v>100</v>
      </c>
      <c r="G35" s="2613" t="s">
        <v>3107</v>
      </c>
      <c r="H35" s="435">
        <f>SUMIF(107:107,G35,108:108)-SUMIF(107:107,C35,108:108)+100</f>
        <v>100</v>
      </c>
      <c r="I35" s="2613" t="s">
        <v>3107</v>
      </c>
      <c r="J35" s="435">
        <f>SUMIF(107:107,I35,108:108)-SUMIF(107:107,C35,108:108)+100</f>
        <v>100</v>
      </c>
      <c r="K35" s="612">
        <v>3</v>
      </c>
      <c r="L35" s="1142"/>
      <c r="M35" s="1133"/>
      <c r="N35" s="1133"/>
      <c r="O35" s="1133"/>
      <c r="P35" s="3258"/>
      <c r="Q35" s="1812" t="str">
        <f t="shared" si="11"/>
        <v>公共部分装修</v>
      </c>
      <c r="R35" s="773" t="s">
        <v>17</v>
      </c>
      <c r="S35" s="774">
        <f t="shared" si="12"/>
        <v>100</v>
      </c>
      <c r="T35" s="773" t="s">
        <v>17</v>
      </c>
      <c r="U35" s="774">
        <f t="shared" si="13"/>
        <v>100</v>
      </c>
      <c r="V35" s="773" t="s">
        <v>17</v>
      </c>
      <c r="W35" s="774">
        <f t="shared" si="14"/>
        <v>100</v>
      </c>
      <c r="X35" s="1815"/>
      <c r="Y35" s="3260"/>
      <c r="Z35" s="1816" t="str">
        <f t="shared" si="15"/>
        <v>公共部分装修</v>
      </c>
      <c r="AA35" s="1813">
        <f t="shared" si="3"/>
        <v>1</v>
      </c>
      <c r="AB35" s="1813">
        <f t="shared" si="4"/>
        <v>1</v>
      </c>
      <c r="AC35" s="1813">
        <f t="shared" si="5"/>
        <v>1</v>
      </c>
    </row>
    <row r="36" spans="1:29" ht="15">
      <c r="A36" s="472"/>
      <c r="B36" s="422" t="s">
        <v>2660</v>
      </c>
      <c r="C36" s="474">
        <f>'数据-取费表'!N6</f>
        <v>1</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v>2</v>
      </c>
      <c r="L36" s="1142"/>
      <c r="M36" s="1133"/>
      <c r="N36" s="1133"/>
      <c r="O36" s="1133"/>
      <c r="P36" s="3258"/>
      <c r="Q36" s="1812" t="str">
        <f t="shared" si="11"/>
        <v>成新度</v>
      </c>
      <c r="R36" s="773" t="s">
        <v>17</v>
      </c>
      <c r="S36" s="774">
        <f t="shared" si="12"/>
        <v>100</v>
      </c>
      <c r="T36" s="773" t="s">
        <v>17</v>
      </c>
      <c r="U36" s="774">
        <f t="shared" si="13"/>
        <v>100</v>
      </c>
      <c r="V36" s="773" t="s">
        <v>17</v>
      </c>
      <c r="W36" s="774">
        <f t="shared" si="14"/>
        <v>100</v>
      </c>
      <c r="X36" s="1815"/>
      <c r="Y36" s="3260"/>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58"/>
      <c r="Q37" s="1797" t="str">
        <f t="shared" si="11"/>
        <v>市政基础设施</v>
      </c>
      <c r="R37" s="769" t="s">
        <v>17</v>
      </c>
      <c r="S37" s="770">
        <f t="shared" si="12"/>
        <v>100</v>
      </c>
      <c r="T37" s="769" t="s">
        <v>17</v>
      </c>
      <c r="U37" s="770">
        <f t="shared" si="13"/>
        <v>100</v>
      </c>
      <c r="V37" s="769" t="s">
        <v>17</v>
      </c>
      <c r="W37" s="770">
        <f t="shared" si="14"/>
        <v>100</v>
      </c>
      <c r="X37" s="771"/>
      <c r="Y37" s="3260"/>
      <c r="Z37" s="55" t="str">
        <f t="shared" si="15"/>
        <v>市政基础设施</v>
      </c>
      <c r="AA37" s="772">
        <f t="shared" si="3"/>
        <v>1</v>
      </c>
      <c r="AB37" s="772">
        <f t="shared" si="4"/>
        <v>1</v>
      </c>
      <c r="AC37" s="772">
        <f t="shared" si="5"/>
        <v>1</v>
      </c>
    </row>
    <row r="38" spans="1:29" ht="15">
      <c r="A38" s="472"/>
      <c r="B38" s="422" t="s">
        <v>2662</v>
      </c>
      <c r="C38" s="2613" t="s">
        <v>3116</v>
      </c>
      <c r="D38" s="435">
        <v>100</v>
      </c>
      <c r="E38" s="2613" t="s">
        <v>3116</v>
      </c>
      <c r="F38" s="461">
        <f>SUMIF(114:114,E38,115:115)-SUMIF(114:114,C38,115:115)+100</f>
        <v>100</v>
      </c>
      <c r="G38" s="2613" t="s">
        <v>3116</v>
      </c>
      <c r="H38" s="435">
        <f>SUMIF(114:114,G38,115:115)-SUMIF(114:114,C38,115:115)+100</f>
        <v>100</v>
      </c>
      <c r="I38" s="2613" t="s">
        <v>3116</v>
      </c>
      <c r="J38" s="435">
        <f>SUMIF(114:114,I38,115:115)-SUMIF(114:114,C38,115:115)+100</f>
        <v>100</v>
      </c>
      <c r="K38" s="612">
        <v>3</v>
      </c>
      <c r="L38" s="1142"/>
      <c r="M38" s="1133"/>
      <c r="N38" s="1133"/>
      <c r="O38" s="1133"/>
      <c r="P38" s="3258" t="s">
        <v>2563</v>
      </c>
      <c r="Q38" s="1812" t="str">
        <f t="shared" si="11"/>
        <v>业态</v>
      </c>
      <c r="R38" s="773" t="s">
        <v>17</v>
      </c>
      <c r="S38" s="774">
        <f t="shared" si="12"/>
        <v>100</v>
      </c>
      <c r="T38" s="773" t="s">
        <v>17</v>
      </c>
      <c r="U38" s="774">
        <f t="shared" si="13"/>
        <v>100</v>
      </c>
      <c r="V38" s="773" t="s">
        <v>17</v>
      </c>
      <c r="W38" s="774">
        <f t="shared" si="14"/>
        <v>100</v>
      </c>
      <c r="X38" s="1815"/>
      <c r="Y38" s="3260" t="s">
        <v>2563</v>
      </c>
      <c r="Z38" s="1816" t="str">
        <f t="shared" si="15"/>
        <v>业态</v>
      </c>
      <c r="AA38" s="1813">
        <f t="shared" si="3"/>
        <v>1</v>
      </c>
      <c r="AB38" s="1813">
        <f t="shared" si="4"/>
        <v>1</v>
      </c>
      <c r="AC38" s="1813">
        <f t="shared" si="5"/>
        <v>1</v>
      </c>
    </row>
    <row r="39" spans="1:29" ht="15">
      <c r="A39" s="472"/>
      <c r="B39" s="422" t="s">
        <v>2663</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c r="L39" s="1142"/>
      <c r="M39" s="1133"/>
      <c r="N39" s="1133"/>
      <c r="O39" s="1133"/>
      <c r="P39" s="3258"/>
      <c r="Q39" s="1812" t="str">
        <f t="shared" si="11"/>
        <v>层高</v>
      </c>
      <c r="R39" s="773" t="s">
        <v>17</v>
      </c>
      <c r="S39" s="774">
        <f t="shared" si="12"/>
        <v>100</v>
      </c>
      <c r="T39" s="773" t="s">
        <v>17</v>
      </c>
      <c r="U39" s="774">
        <f t="shared" si="13"/>
        <v>100</v>
      </c>
      <c r="V39" s="773" t="s">
        <v>17</v>
      </c>
      <c r="W39" s="774">
        <f t="shared" si="14"/>
        <v>100</v>
      </c>
      <c r="X39" s="1815"/>
      <c r="Y39" s="3260"/>
      <c r="Z39" s="1816" t="str">
        <f t="shared" si="15"/>
        <v>层高</v>
      </c>
      <c r="AA39" s="1813">
        <f t="shared" si="3"/>
        <v>1</v>
      </c>
      <c r="AB39" s="1813">
        <f t="shared" si="4"/>
        <v>1</v>
      </c>
      <c r="AC39" s="1813">
        <f t="shared" si="5"/>
        <v>1</v>
      </c>
    </row>
    <row r="40" spans="1:29" ht="15">
      <c r="A40" s="472"/>
      <c r="B40" s="422" t="s">
        <v>2664</v>
      </c>
      <c r="C40" s="2953">
        <f>Sheet1!E3</f>
        <v>57.02</v>
      </c>
      <c r="D40" s="435">
        <v>100</v>
      </c>
      <c r="E40" s="617">
        <v>51.14</v>
      </c>
      <c r="F40" s="461">
        <f>SUMIF(118:118,E40,119:119)-SUMIF(118:118,C40,119:119)+100</f>
        <v>100</v>
      </c>
      <c r="G40" s="617">
        <v>53</v>
      </c>
      <c r="H40" s="435">
        <f>SUMIF(118:118,G40,119:119)-SUMIF(118:118,C40,119:119)+100</f>
        <v>100</v>
      </c>
      <c r="I40" s="617">
        <v>62</v>
      </c>
      <c r="J40" s="435">
        <f>SUMIF(118:118,I40,119:119)-SUMIF(118:118,C40,119:119)+100</f>
        <v>100</v>
      </c>
      <c r="K40" s="613"/>
      <c r="L40" s="1142"/>
      <c r="M40" s="1133"/>
      <c r="N40" s="1133"/>
      <c r="O40" s="1133"/>
      <c r="P40" s="3258"/>
      <c r="Q40" s="1812" t="str">
        <f t="shared" si="11"/>
        <v>单套建筑面积</v>
      </c>
      <c r="R40" s="773" t="s">
        <v>17</v>
      </c>
      <c r="S40" s="774">
        <f t="shared" si="12"/>
        <v>100</v>
      </c>
      <c r="T40" s="773" t="s">
        <v>17</v>
      </c>
      <c r="U40" s="774">
        <f t="shared" si="13"/>
        <v>100</v>
      </c>
      <c r="V40" s="773" t="s">
        <v>17</v>
      </c>
      <c r="W40" s="774">
        <f t="shared" si="14"/>
        <v>100</v>
      </c>
      <c r="X40" s="1815"/>
      <c r="Y40" s="3260"/>
      <c r="Z40" s="1816" t="str">
        <f t="shared" si="15"/>
        <v>单套建筑面积</v>
      </c>
      <c r="AA40" s="1813">
        <f t="shared" si="3"/>
        <v>1</v>
      </c>
      <c r="AB40" s="1813">
        <f t="shared" si="4"/>
        <v>1</v>
      </c>
      <c r="AC40" s="1813">
        <f t="shared" si="5"/>
        <v>1</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58"/>
      <c r="Q41" s="775" t="str">
        <f t="shared" si="11"/>
        <v>进深比</v>
      </c>
      <c r="R41" s="776" t="s">
        <v>17</v>
      </c>
      <c r="S41" s="777">
        <f t="shared" si="12"/>
        <v>100</v>
      </c>
      <c r="T41" s="776" t="s">
        <v>17</v>
      </c>
      <c r="U41" s="777">
        <f t="shared" si="13"/>
        <v>100</v>
      </c>
      <c r="V41" s="776" t="s">
        <v>17</v>
      </c>
      <c r="W41" s="777">
        <f t="shared" si="14"/>
        <v>100</v>
      </c>
      <c r="X41" s="778"/>
      <c r="Y41" s="3260"/>
      <c r="Z41" s="779" t="str">
        <f t="shared" si="15"/>
        <v>进深比</v>
      </c>
      <c r="AA41" s="1813">
        <f t="shared" si="3"/>
        <v>1</v>
      </c>
      <c r="AB41" s="1813">
        <f t="shared" si="4"/>
        <v>1</v>
      </c>
      <c r="AC41" s="1813">
        <f t="shared" si="5"/>
        <v>1</v>
      </c>
    </row>
    <row r="42" spans="1:29" ht="15">
      <c r="A42" s="472"/>
      <c r="B42" s="422" t="s">
        <v>2666</v>
      </c>
      <c r="C42" s="2613" t="s">
        <v>3109</v>
      </c>
      <c r="D42" s="435">
        <v>100</v>
      </c>
      <c r="E42" s="2613" t="s">
        <v>3109</v>
      </c>
      <c r="F42" s="461">
        <f>SUMIF(122:122,E42,123:123)-SUMIF(122:122,C42,123:123)+100</f>
        <v>100</v>
      </c>
      <c r="G42" s="2613" t="s">
        <v>3109</v>
      </c>
      <c r="H42" s="435">
        <f>SUMIF(122:122,G42,123:123)-SUMIF(122:122,C42,123:123)+100</f>
        <v>100</v>
      </c>
      <c r="I42" s="2613" t="s">
        <v>3109</v>
      </c>
      <c r="J42" s="435">
        <f>SUMIF(122:122,I42,123:123)-SUMIF(122:122,C42,123:123)+100</f>
        <v>100</v>
      </c>
      <c r="K42" s="612">
        <v>3</v>
      </c>
      <c r="L42" s="1142"/>
      <c r="M42" s="1133"/>
      <c r="N42" s="1133"/>
      <c r="O42" s="1133"/>
      <c r="P42" s="3258"/>
      <c r="Q42" s="1812" t="str">
        <f t="shared" si="11"/>
        <v>内部装修</v>
      </c>
      <c r="R42" s="773" t="s">
        <v>17</v>
      </c>
      <c r="S42" s="774">
        <f t="shared" si="12"/>
        <v>100</v>
      </c>
      <c r="T42" s="773" t="s">
        <v>17</v>
      </c>
      <c r="U42" s="774">
        <f t="shared" si="13"/>
        <v>100</v>
      </c>
      <c r="V42" s="773" t="s">
        <v>17</v>
      </c>
      <c r="W42" s="774">
        <f t="shared" si="14"/>
        <v>100</v>
      </c>
      <c r="X42" s="1815"/>
      <c r="Y42" s="3260"/>
      <c r="Z42" s="1816" t="str">
        <f t="shared" si="15"/>
        <v>内部装修</v>
      </c>
      <c r="AA42" s="1813">
        <f t="shared" si="3"/>
        <v>1</v>
      </c>
      <c r="AB42" s="1813">
        <f t="shared" si="4"/>
        <v>1</v>
      </c>
      <c r="AC42" s="1813">
        <f t="shared" si="5"/>
        <v>1</v>
      </c>
    </row>
    <row r="43" spans="1:29" ht="15.75" thickBot="1">
      <c r="A43" s="472"/>
      <c r="B43" s="422" t="s">
        <v>2574</v>
      </c>
      <c r="C43" s="2613" t="s">
        <v>3081</v>
      </c>
      <c r="D43" s="435">
        <v>100</v>
      </c>
      <c r="E43" s="2613" t="s">
        <v>3081</v>
      </c>
      <c r="F43" s="461">
        <f>SUMIF(124:124,E43,125:125)-SUMIF(124:124,C43,125:125)+100</f>
        <v>100</v>
      </c>
      <c r="G43" s="2613" t="s">
        <v>3081</v>
      </c>
      <c r="H43" s="435">
        <f>SUMIF(124:124,G43,125:125)-SUMIF(124:124,C43,125:125)+100</f>
        <v>100</v>
      </c>
      <c r="I43" s="2613" t="s">
        <v>3081</v>
      </c>
      <c r="J43" s="435">
        <f>SUMIF(124:124,I43,125:125)-SUMIF(124:124,C43,125:125)+100</f>
        <v>100</v>
      </c>
      <c r="K43" s="612">
        <v>3</v>
      </c>
      <c r="L43" s="1142"/>
      <c r="M43" s="1133"/>
      <c r="N43" s="1133"/>
      <c r="O43" s="1133"/>
      <c r="P43" s="3258"/>
      <c r="Q43" s="1812" t="str">
        <f t="shared" si="11"/>
        <v>内部装修维护情况</v>
      </c>
      <c r="R43" s="773" t="s">
        <v>17</v>
      </c>
      <c r="S43" s="774">
        <f t="shared" si="12"/>
        <v>100</v>
      </c>
      <c r="T43" s="773" t="s">
        <v>17</v>
      </c>
      <c r="U43" s="774">
        <f t="shared" si="13"/>
        <v>100</v>
      </c>
      <c r="V43" s="773" t="s">
        <v>17</v>
      </c>
      <c r="W43" s="774">
        <f t="shared" si="14"/>
        <v>100</v>
      </c>
      <c r="X43" s="1815"/>
      <c r="Y43" s="3260"/>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8"/>
      <c r="Q44" s="1797">
        <f t="shared" si="11"/>
        <v>111</v>
      </c>
      <c r="R44" s="769" t="s">
        <v>17</v>
      </c>
      <c r="S44" s="770">
        <f t="shared" si="12"/>
        <v>100</v>
      </c>
      <c r="T44" s="769" t="s">
        <v>17</v>
      </c>
      <c r="U44" s="770">
        <f t="shared" si="13"/>
        <v>100</v>
      </c>
      <c r="V44" s="769" t="s">
        <v>17</v>
      </c>
      <c r="W44" s="770">
        <f t="shared" si="14"/>
        <v>100</v>
      </c>
      <c r="X44" s="771"/>
      <c r="Y44" s="3260"/>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8"/>
      <c r="Q45" s="1812">
        <f t="shared" si="11"/>
        <v>111</v>
      </c>
      <c r="R45" s="773" t="s">
        <v>17</v>
      </c>
      <c r="S45" s="774">
        <f t="shared" si="12"/>
        <v>100</v>
      </c>
      <c r="T45" s="773" t="s">
        <v>17</v>
      </c>
      <c r="U45" s="774">
        <f t="shared" si="13"/>
        <v>100</v>
      </c>
      <c r="V45" s="773" t="s">
        <v>17</v>
      </c>
      <c r="W45" s="774">
        <f t="shared" si="14"/>
        <v>100</v>
      </c>
      <c r="X45" s="1815"/>
      <c r="Y45" s="3260"/>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9"/>
      <c r="Q46" s="1812">
        <f t="shared" si="11"/>
        <v>111</v>
      </c>
      <c r="R46" s="773" t="s">
        <v>17</v>
      </c>
      <c r="S46" s="774">
        <f t="shared" si="12"/>
        <v>100</v>
      </c>
      <c r="T46" s="773" t="s">
        <v>17</v>
      </c>
      <c r="U46" s="774">
        <f t="shared" si="13"/>
        <v>100</v>
      </c>
      <c r="V46" s="773" t="s">
        <v>17</v>
      </c>
      <c r="W46" s="774">
        <f t="shared" si="14"/>
        <v>100</v>
      </c>
      <c r="X46" s="1815"/>
      <c r="Y46" s="3261"/>
      <c r="Z46" s="1816">
        <f t="shared" si="15"/>
        <v>111</v>
      </c>
      <c r="AA46" s="1813">
        <f t="shared" si="3"/>
        <v>1</v>
      </c>
      <c r="AB46" s="1813">
        <f t="shared" si="4"/>
        <v>1</v>
      </c>
      <c r="AC46" s="1813">
        <f t="shared" si="5"/>
        <v>1</v>
      </c>
    </row>
    <row r="47" spans="1:29" ht="15">
      <c r="A47" s="479" t="s">
        <v>2575</v>
      </c>
      <c r="B47" s="480"/>
      <c r="C47" s="1409" t="s">
        <v>1</v>
      </c>
      <c r="D47" s="1410"/>
      <c r="E47" s="1411">
        <f>ROUND(39303*0.97,0)</f>
        <v>38124</v>
      </c>
      <c r="F47" s="1412"/>
      <c r="G47" s="1413">
        <f>ROUND(36415*0.97,0)</f>
        <v>35323</v>
      </c>
      <c r="H47" s="1414"/>
      <c r="I47" s="1411">
        <f>ROUND(39193*0.96,0)</f>
        <v>37625</v>
      </c>
      <c r="J47" s="1414"/>
      <c r="K47" s="782"/>
      <c r="L47" s="1145"/>
      <c r="M47" s="1146"/>
      <c r="N47" s="1133"/>
      <c r="O47" s="1146"/>
      <c r="P47" s="3262" t="str">
        <f>A47</f>
        <v>成交单价（元/平方米）</v>
      </c>
      <c r="Q47" s="3262"/>
      <c r="R47" s="3223">
        <f>E47</f>
        <v>38124</v>
      </c>
      <c r="S47" s="3223"/>
      <c r="T47" s="3223">
        <f>G47</f>
        <v>35323</v>
      </c>
      <c r="U47" s="3223"/>
      <c r="V47" s="3223">
        <f>I47</f>
        <v>37625</v>
      </c>
      <c r="W47" s="3223"/>
      <c r="X47" s="758"/>
      <c r="Y47" s="780"/>
      <c r="Z47" s="758"/>
      <c r="AA47" s="758"/>
      <c r="AB47" s="758"/>
      <c r="AC47" s="758"/>
    </row>
    <row r="48" spans="1:29" ht="15.75" thickBot="1">
      <c r="A48" s="486" t="s">
        <v>2667</v>
      </c>
      <c r="B48" s="487"/>
      <c r="C48" s="1415">
        <f>R49</f>
        <v>35946</v>
      </c>
      <c r="D48" s="1416"/>
      <c r="E48" s="1417">
        <f>R48</f>
        <v>37014</v>
      </c>
      <c r="F48" s="1417"/>
      <c r="G48" s="1415">
        <f>T48</f>
        <v>34294</v>
      </c>
      <c r="H48" s="1416"/>
      <c r="I48" s="1417">
        <f>V48</f>
        <v>36529</v>
      </c>
      <c r="J48" s="1416"/>
      <c r="K48" s="783"/>
      <c r="L48" s="1145"/>
      <c r="M48" s="1146"/>
      <c r="N48" s="1133"/>
      <c r="O48" s="1146"/>
      <c r="P48" s="3262" t="str">
        <f>A48</f>
        <v>比较价值（元/平方米）</v>
      </c>
      <c r="Q48" s="3262"/>
      <c r="R48" s="3263">
        <f>IF(F1="售价",ROUND(PRODUCT(R47,AA7:AA46),0),ROUND(PRODUCT(R47,AA7:AA46),1))</f>
        <v>37014</v>
      </c>
      <c r="S48" s="3263"/>
      <c r="T48" s="3263">
        <f>IF(F1="售价",ROUND(PRODUCT(T47,AB7:AB46),0),ROUND(PRODUCT(T47,AB7:AB46),1))</f>
        <v>34294</v>
      </c>
      <c r="U48" s="3263"/>
      <c r="V48" s="3263">
        <f>IF(F1="售价",ROUND(PRODUCT(V47,AC7:AC46),0),ROUND(PRODUCT(V47,AC7:AC46),1))</f>
        <v>36529</v>
      </c>
      <c r="W48" s="3263"/>
      <c r="X48" s="758"/>
      <c r="Y48" s="758"/>
      <c r="Z48" s="758"/>
      <c r="AA48" s="758"/>
      <c r="AB48" s="758"/>
      <c r="AC48" s="758"/>
    </row>
    <row r="49" spans="1:29" ht="15.75" thickBot="1">
      <c r="A49" s="492" t="s">
        <v>2668</v>
      </c>
      <c r="B49" s="493"/>
      <c r="C49" s="1419">
        <f>R49</f>
        <v>35946</v>
      </c>
      <c r="D49" s="1419"/>
      <c r="E49" s="1419"/>
      <c r="F49" s="1419"/>
      <c r="G49" s="1419"/>
      <c r="H49" s="1419"/>
      <c r="I49" s="1419"/>
      <c r="J49" s="1419"/>
      <c r="K49" s="784"/>
      <c r="L49" s="1145"/>
      <c r="M49" s="1146"/>
      <c r="N49" s="1133"/>
      <c r="O49" s="1146"/>
      <c r="P49" s="3264" t="str">
        <f>A49</f>
        <v>估价对象XX用房的比较价值（楼面单价，元/平方米）</v>
      </c>
      <c r="Q49" s="3265"/>
      <c r="R49" s="3266">
        <f>IF(F1="售价",ROUND(AVERAGE(R48:V48),0),ROUND(AVERAGE(R48:V48),1))</f>
        <v>35946</v>
      </c>
      <c r="S49" s="3266"/>
      <c r="T49" s="3266"/>
      <c r="U49" s="3266"/>
      <c r="V49" s="3266"/>
      <c r="W49" s="326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2.9988652942130045E-2</v>
      </c>
      <c r="F52" s="500" t="str">
        <f>IF(OR(E52&gt;=0.3,E52&lt;=-0.3),"超过30%","")</f>
        <v/>
      </c>
      <c r="G52" s="499">
        <f>IF(G47&lt;G48,G48/G47-1,G47/G48-1)</f>
        <v>3.0005248731556522E-2</v>
      </c>
      <c r="H52" s="500" t="str">
        <f>IF(OR(G52&gt;=0.3,G52&lt;=-0.3),"超过30%","")</f>
        <v/>
      </c>
      <c r="I52" s="499">
        <f>IF(I47&lt;I48,I48/I47-1,I47/I48-1)</f>
        <v>3.0003558816283027E-2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7.9314165743278764E-2</v>
      </c>
      <c r="F53" s="500" t="str">
        <f>IF(OR(E53&gt;=0.2,E53&lt;=-0.2),"超过20%","")</f>
        <v/>
      </c>
      <c r="G53" s="499">
        <f>IF(G48&lt;I48,I48/G48-1,G48/I48-1)</f>
        <v>6.5171750160377906E-2</v>
      </c>
      <c r="H53" s="500" t="str">
        <f>IF(OR(G53&gt;=0.2,G53&lt;=-0.2),"超过20%","")</f>
        <v/>
      </c>
      <c r="I53" s="499">
        <f>IF(I48&lt;E48,E48/I48-1,I48/E48-1)</f>
        <v>1.3277122286402543E-2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7.9296775472071923E-2</v>
      </c>
      <c r="F54" s="500" t="str">
        <f>IF(OR(E54&gt;=0.3,E54&lt;=-0.3),"超过30%","")</f>
        <v/>
      </c>
      <c r="G54" s="499">
        <f>IF(G47&lt;I47,I47/G47-1,G47/I47-1)</f>
        <v>6.517000254791494E-2</v>
      </c>
      <c r="H54" s="500" t="str">
        <f>IF(OR(G54&gt;=0.3,G54&lt;=-0.3),"超过30%","")</f>
        <v/>
      </c>
      <c r="I54" s="499">
        <f>IF(I47&lt;E47,E47/I47-1,I47/E47-1)</f>
        <v>1.3262458471760885E-2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3099</v>
      </c>
      <c r="E100" s="2950" t="s">
        <v>3100</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3106</v>
      </c>
      <c r="D107" s="2948" t="s">
        <v>3108</v>
      </c>
      <c r="E107" s="2948" t="s">
        <v>3110</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3115</v>
      </c>
      <c r="D112" s="2948" t="s">
        <v>3111</v>
      </c>
      <c r="E112" s="2948" t="s">
        <v>3112</v>
      </c>
      <c r="F112" s="2948" t="s">
        <v>3113</v>
      </c>
      <c r="G112" s="2948" t="s">
        <v>3114</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3117</v>
      </c>
      <c r="D114" s="2948" t="s">
        <v>3118</v>
      </c>
      <c r="E114" s="2951" t="s">
        <v>3119</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5"/>
      <c r="O115" s="1155"/>
      <c r="P115" s="2630"/>
      <c r="Q115" s="504"/>
    </row>
    <row r="116" spans="1:17" ht="15" thickTop="1">
      <c r="A116" s="599"/>
      <c r="B116" s="538" t="s">
        <v>2681</v>
      </c>
      <c r="C116" s="2948" t="s">
        <v>3121</v>
      </c>
      <c r="D116" s="2948" t="s">
        <v>3122</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57.02</v>
      </c>
      <c r="D118" s="626">
        <f>E40</f>
        <v>51.14</v>
      </c>
      <c r="E118" s="626">
        <f>G40</f>
        <v>53</v>
      </c>
      <c r="F118" s="626">
        <f>I40</f>
        <v>62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3106</v>
      </c>
      <c r="D122" s="2948" t="s">
        <v>3108</v>
      </c>
      <c r="E122" s="2948" t="s">
        <v>3110</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90" zoomScaleNormal="90" zoomScaleSheetLayoutView="90" workbookViewId="0">
      <selection activeCell="I37" sqref="I3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3067</v>
      </c>
      <c r="D1" s="1822" t="s">
        <v>70</v>
      </c>
      <c r="E1" s="1823" t="s">
        <v>1387</v>
      </c>
      <c r="F1" s="1285">
        <f ca="1">J53</f>
        <v>35.83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175</v>
      </c>
      <c r="C2" s="1847" t="s">
        <v>1516</v>
      </c>
      <c r="D2" s="1847"/>
      <c r="E2" s="1848"/>
      <c r="F2" s="1849"/>
      <c r="G2" s="1850"/>
      <c r="H2" s="1842"/>
      <c r="I2" s="1842"/>
      <c r="J2" s="1842"/>
      <c r="K2" s="1843"/>
      <c r="L2" s="1842"/>
      <c r="M2" s="1842"/>
    </row>
    <row r="3" spans="1:37" ht="18" customHeight="1" thickBot="1">
      <c r="A3" s="1851" t="s">
        <v>1517</v>
      </c>
      <c r="B3" s="1852">
        <f ca="1">IF(ISERROR(B2*10000/F43),0,ROUND(B2*10000/F43,0))</f>
        <v>30691</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269" t="s">
        <v>1403</v>
      </c>
      <c r="C6" s="1298">
        <f ca="1">ROUND(F6*F8*F7*(1-F9)/10000,0)</f>
        <v>9</v>
      </c>
      <c r="D6" s="164" t="s">
        <v>3030</v>
      </c>
      <c r="E6" s="347" t="s">
        <v>1405</v>
      </c>
      <c r="F6" s="348">
        <f ca="1">INDIRECT("'数据-取费表'!u"&amp;$G$1)</f>
        <v>5.5</v>
      </c>
      <c r="G6" s="1853"/>
      <c r="H6" s="1293" t="s">
        <v>1035</v>
      </c>
      <c r="I6" s="3269" t="s">
        <v>1403</v>
      </c>
      <c r="J6" s="346">
        <f ca="1">ROUND(M6*M8*M7*(1-M9)/10000,0)</f>
        <v>0</v>
      </c>
      <c r="K6" s="164" t="s">
        <v>3029</v>
      </c>
      <c r="L6" s="347" t="s">
        <v>1405</v>
      </c>
      <c r="M6" s="348">
        <f ca="1">INDIRECT("'数据-取费表'!z"&amp;$G$1)</f>
        <v>0</v>
      </c>
    </row>
    <row r="7" spans="1:37" ht="18" customHeight="1">
      <c r="A7" s="1297"/>
      <c r="B7" s="3270"/>
      <c r="C7" s="1299"/>
      <c r="D7" s="352"/>
      <c r="E7" s="1300" t="s">
        <v>1406</v>
      </c>
      <c r="F7" s="348">
        <f ca="1">IF(INDIRECT("'数据-取费表'!ah"&amp;$G$1)="",INDIRECT("'数据-取费表'!k"&amp;$G$1),INDIRECT("'数据-取费表'!ah"&amp;$G$1))</f>
        <v>57.02</v>
      </c>
      <c r="G7" s="1853"/>
      <c r="H7" s="349"/>
      <c r="I7" s="3270"/>
      <c r="J7" s="351"/>
      <c r="K7" s="352"/>
      <c r="L7" s="347" t="s">
        <v>1406</v>
      </c>
      <c r="M7" s="348">
        <f ca="1">F7</f>
        <v>57.02</v>
      </c>
    </row>
    <row r="8" spans="1:37" ht="18" customHeight="1">
      <c r="A8" s="349"/>
      <c r="B8" s="3270"/>
      <c r="C8" s="351"/>
      <c r="D8" s="352"/>
      <c r="E8" s="347" t="s">
        <v>1407</v>
      </c>
      <c r="F8" s="348">
        <f ca="1">INDIRECT("'数据-取费表'!ai"&amp;$G$1)</f>
        <v>365</v>
      </c>
      <c r="G8" s="1853"/>
      <c r="H8" s="349"/>
      <c r="I8" s="3270"/>
      <c r="J8" s="351"/>
      <c r="K8" s="352"/>
      <c r="L8" s="347" t="s">
        <v>1407</v>
      </c>
      <c r="M8" s="348">
        <f ca="1">INDIRECT("'数据-取费表'!ai"&amp;$G$1)</f>
        <v>365</v>
      </c>
    </row>
    <row r="9" spans="1:37" ht="18" customHeight="1">
      <c r="A9" s="349"/>
      <c r="B9" s="3271"/>
      <c r="C9" s="351"/>
      <c r="D9" s="352"/>
      <c r="E9" s="347" t="s">
        <v>1408</v>
      </c>
      <c r="F9" s="357">
        <f ca="1">INDIRECT("'数据-取费表'!w"&amp;$G$1)</f>
        <v>0.2</v>
      </c>
      <c r="G9" s="1853"/>
      <c r="H9" s="349"/>
      <c r="I9" s="3271"/>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3174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17</v>
      </c>
      <c r="D14" s="1802" t="s">
        <v>1418</v>
      </c>
      <c r="E14" s="1796"/>
      <c r="F14" s="364"/>
      <c r="G14" s="1853"/>
      <c r="H14" s="1203" t="s">
        <v>1035</v>
      </c>
      <c r="I14" s="347" t="s">
        <v>1419</v>
      </c>
      <c r="J14" s="24">
        <f ca="1">C29</f>
        <v>27</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1</v>
      </c>
      <c r="D17" s="347" t="s">
        <v>1427</v>
      </c>
      <c r="E17" s="347" t="s">
        <v>1428</v>
      </c>
      <c r="F17" s="26">
        <f>'数据-取费表'!B35</f>
        <v>200</v>
      </c>
      <c r="G17" s="1856"/>
      <c r="H17" s="1203"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19</v>
      </c>
      <c r="D19" s="140" t="s">
        <v>1436</v>
      </c>
      <c r="E19" s="1820"/>
      <c r="F19" s="26"/>
      <c r="G19" s="1853"/>
      <c r="H19" s="1203" t="s">
        <v>1036</v>
      </c>
      <c r="I19" s="347" t="s">
        <v>1437</v>
      </c>
      <c r="J19" s="24">
        <f ca="1">IF(K19="按租金收入计税",ROUND(J5*M19,2),ROUND(C29*M19*0.7,2))</f>
        <v>0.23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0.03</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16.29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0.4</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v>
      </c>
      <c r="D29" s="1344"/>
      <c r="E29" s="1342"/>
      <c r="F29" s="1345"/>
      <c r="G29" s="1856"/>
      <c r="H29" s="380" t="s">
        <v>1033</v>
      </c>
      <c r="I29" s="381" t="s">
        <v>1479</v>
      </c>
      <c r="J29" s="382">
        <f ca="1">ROUND(J26/(1+F40)^F41,0)</f>
        <v>0</v>
      </c>
      <c r="K29" s="383" t="s">
        <v>1480</v>
      </c>
      <c r="L29" s="384"/>
      <c r="M29" s="385">
        <f ca="1">INDIRECT("'数据-取费表'!k"&amp;$G$1)</f>
        <v>57.02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0.48</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1.08</v>
      </c>
      <c r="D33" s="2959" t="s">
        <v>3133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0.03</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16.29</v>
      </c>
      <c r="G35" s="1853"/>
      <c r="H35" s="744"/>
      <c r="I35" s="1862"/>
      <c r="J35" s="1863"/>
      <c r="K35" s="1864"/>
      <c r="L35" s="1861"/>
      <c r="M35" s="1861"/>
    </row>
    <row r="36" spans="1:18" ht="18" customHeight="1">
      <c r="A36" s="1354" t="s">
        <v>1039</v>
      </c>
      <c r="B36" s="347" t="s">
        <v>1449</v>
      </c>
      <c r="C36" s="24">
        <f ca="1">ROUND(C29*F36,1)</f>
        <v>0.4</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174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35.83</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30516</v>
      </c>
      <c r="D43" s="383" t="s">
        <v>1488</v>
      </c>
      <c r="E43" s="384" t="s">
        <v>1489</v>
      </c>
      <c r="F43" s="385">
        <f ca="1">INDIRECT("'数据-取费表'!k"&amp;$G$1)</f>
        <v>57.02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-224</v>
      </c>
      <c r="D46" s="1874" t="str">
        <f>C2</f>
        <v>万元</v>
      </c>
      <c r="E46" s="1868"/>
      <c r="F46" s="1868"/>
      <c r="I46" s="2969" t="s">
        <v>1521</v>
      </c>
      <c r="J46" s="2970"/>
      <c r="K46" s="2971"/>
      <c r="L46" s="2972">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3" t="s">
        <v>1526</v>
      </c>
      <c r="J47" s="2783" t="s">
        <v>3072</v>
      </c>
      <c r="K47" s="2974" t="s">
        <v>1527</v>
      </c>
      <c r="L47" s="2975">
        <f ca="1">INDIRECT("'数据-取费表'!d"&amp;$G$1)</f>
        <v>40</v>
      </c>
      <c r="M47" s="1840" t="str">
        <f>IF(ISNUMBER(FIND("住宅",C1)),"住宅","非住宅")</f>
        <v>非住宅</v>
      </c>
      <c r="O47" s="1886" t="s">
        <v>1040</v>
      </c>
      <c r="P47" s="1887" t="s">
        <v>1528</v>
      </c>
      <c r="Q47" s="1888">
        <f ca="1">C40+J29</f>
        <v>174</v>
      </c>
      <c r="R47" s="1888" t="s">
        <v>1529</v>
      </c>
    </row>
    <row r="48" spans="1:18" s="1844" customFormat="1" ht="28.5" thickBot="1">
      <c r="A48" s="1362" t="s">
        <v>1135</v>
      </c>
      <c r="B48" s="345" t="s">
        <v>1401</v>
      </c>
      <c r="C48" s="1819">
        <f ca="1">C49+C53+C55</f>
        <v>0</v>
      </c>
      <c r="D48" s="1364"/>
      <c r="E48" s="1365"/>
      <c r="F48" s="1183"/>
      <c r="G48" s="791"/>
      <c r="H48" s="792"/>
      <c r="I48" s="1924" t="s">
        <v>1530</v>
      </c>
      <c r="J48" s="2976" t="s">
        <v>3073</v>
      </c>
      <c r="K48" s="2977" t="s">
        <v>1531</v>
      </c>
      <c r="L48" s="818">
        <f ca="1">INDIRECT("'数据-取费表'!f"&amp;$G$1)</f>
        <v>35.83</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2978">
        <v>2018</v>
      </c>
      <c r="K49" s="2977" t="s">
        <v>1535</v>
      </c>
      <c r="L49" s="2767"/>
      <c r="O49" s="1896" t="s">
        <v>1042</v>
      </c>
      <c r="P49" s="1887" t="s">
        <v>1536</v>
      </c>
      <c r="Q49" s="1888">
        <f ca="1">C29</f>
        <v>27</v>
      </c>
      <c r="R49" s="1888" t="s">
        <v>1529</v>
      </c>
    </row>
    <row r="50" spans="1:18" s="1844" customFormat="1" ht="13.5" thickBot="1">
      <c r="A50" s="1197"/>
      <c r="B50" s="1200"/>
      <c r="C50" s="1370"/>
      <c r="D50" s="1174"/>
      <c r="E50" s="1279" t="s">
        <v>1406</v>
      </c>
      <c r="F50" s="1280">
        <f ca="1">F7</f>
        <v>57.02</v>
      </c>
      <c r="H50" s="792"/>
      <c r="I50" s="1924" t="s">
        <v>1537</v>
      </c>
      <c r="J50" s="2979">
        <f>SUMPRODUCT((I63:I65=J47)*(J62:L62=J48)*(J63:L65))</f>
        <v>60</v>
      </c>
      <c r="K50" s="2977" t="s">
        <v>1538</v>
      </c>
      <c r="L50" s="2767"/>
      <c r="M50" s="1898"/>
      <c r="O50" s="1896" t="s">
        <v>1043</v>
      </c>
      <c r="P50" s="1887" t="s">
        <v>1539</v>
      </c>
      <c r="Q50" s="1899">
        <f ca="1">J58</f>
        <v>0.40300000000000002</v>
      </c>
      <c r="R50" s="1888"/>
    </row>
    <row r="51" spans="1:18" s="1844" customFormat="1" ht="13.5" thickBot="1">
      <c r="A51" s="1198"/>
      <c r="B51" s="1200"/>
      <c r="C51" s="1201"/>
      <c r="D51" s="1174"/>
      <c r="E51" s="1202" t="s">
        <v>1407</v>
      </c>
      <c r="F51" s="348">
        <f ca="1">F8</f>
        <v>365</v>
      </c>
      <c r="I51" s="2980" t="s">
        <v>1540</v>
      </c>
      <c r="J51" s="2981">
        <f>IF(J49="",J50,J49+J50-YEAR('数据-取费表'!B2))</f>
        <v>60</v>
      </c>
      <c r="K51" s="2982" t="s">
        <v>1541</v>
      </c>
      <c r="L51" s="2983">
        <f ca="1">ROUND(-PV(INDIRECT("'数据-取费表'!h"&amp;$G$1),L48,(C39-C13*C76),0),0)</f>
        <v>83</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4">
        <v>0.09</v>
      </c>
      <c r="K52" s="2869" t="s">
        <v>1544</v>
      </c>
      <c r="L52" s="2984"/>
      <c r="O52" s="1896" t="s">
        <v>1045</v>
      </c>
      <c r="P52" s="1887" t="s">
        <v>1545</v>
      </c>
      <c r="Q52" s="1888">
        <f ca="1">J53</f>
        <v>35.83</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85">
        <f ca="1">IF(M47="住宅",J51,IF(D1="——",MIN(J51,L48),IF(D1="在建（套用方法）",MIN(J51,L48-'数据-取费表'!B24),IF(D1="土地（套用方法）",MIN(J51,L48-'数据-取费表'!B20)))))</f>
        <v>35.83</v>
      </c>
      <c r="K53" s="3267" t="s">
        <v>1548</v>
      </c>
      <c r="L53" s="3268"/>
      <c r="O53" s="1886" t="s">
        <v>1046</v>
      </c>
      <c r="P53" s="1887" t="s">
        <v>1549</v>
      </c>
      <c r="Q53" s="1888">
        <f ca="1">Q47+Q48</f>
        <v>175</v>
      </c>
      <c r="R53" s="1888" t="s">
        <v>1047</v>
      </c>
    </row>
    <row r="54" spans="1:18" s="1844" customFormat="1" ht="51.75" thickBot="1">
      <c r="A54" s="1408"/>
      <c r="B54" s="1827" t="s">
        <v>1388</v>
      </c>
      <c r="C54" s="1180"/>
      <c r="D54" s="1826"/>
      <c r="E54" s="1834"/>
      <c r="F54" s="1909"/>
      <c r="I54" s="2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87">
        <f ca="1">ROUND(IF(J47="钢混",J57/J50,1-(1-2%)*(J50-J57)/J50),3)</f>
        <v>0.40300000000000002</v>
      </c>
      <c r="K55" s="2988" t="s">
        <v>1552</v>
      </c>
      <c r="L55" s="2989" t="s">
        <v>3074</v>
      </c>
      <c r="O55" s="1879" t="s">
        <v>1522</v>
      </c>
      <c r="P55" s="1880" t="s">
        <v>1523</v>
      </c>
      <c r="Q55" s="1881" t="s">
        <v>1524</v>
      </c>
      <c r="R55" s="1881" t="s">
        <v>1525</v>
      </c>
    </row>
    <row r="56" spans="1:18" s="1844" customFormat="1" ht="25.5" thickTop="1" thickBot="1">
      <c r="A56" s="1178">
        <v>2</v>
      </c>
      <c r="B56" s="1179" t="s">
        <v>1414</v>
      </c>
      <c r="C56" s="276">
        <f ca="1">C13</f>
        <v>27</v>
      </c>
      <c r="D56" s="1916"/>
      <c r="E56" s="1917"/>
      <c r="F56" s="1909"/>
      <c r="I56" s="1918" t="s">
        <v>1553</v>
      </c>
      <c r="J56" s="2990" t="s">
        <v>3051</v>
      </c>
      <c r="K56" s="1924" t="s">
        <v>1554</v>
      </c>
      <c r="L56" s="818" t="str">
        <f ca="1">IF(L48&lt;J51,"——",L48-J53)</f>
        <v>——</v>
      </c>
      <c r="O56" s="1886" t="s">
        <v>1040</v>
      </c>
      <c r="P56" s="1887" t="s">
        <v>1528</v>
      </c>
      <c r="Q56" s="1888">
        <f ca="1">C40+J29</f>
        <v>174</v>
      </c>
      <c r="R56" s="1888" t="s">
        <v>1529</v>
      </c>
    </row>
    <row r="57" spans="1:18" s="1844" customFormat="1" ht="24.75" thickBot="1">
      <c r="A57" s="1920"/>
      <c r="B57" s="1171" t="s">
        <v>1478</v>
      </c>
      <c r="C57" s="282">
        <f ca="1">C29</f>
        <v>27</v>
      </c>
      <c r="D57" s="1921"/>
      <c r="E57" s="1922"/>
      <c r="F57" s="1923"/>
      <c r="I57" s="1924" t="s">
        <v>1555</v>
      </c>
      <c r="J57" s="235">
        <f ca="1">IF(OR(M47="住宅",J51&lt;L48,J56="是"),"——",J51-L48)</f>
        <v>24.17</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3</v>
      </c>
      <c r="D58" s="1181" t="s">
        <v>1425</v>
      </c>
      <c r="E58" s="1182"/>
      <c r="F58" s="1183"/>
      <c r="I58" s="1924" t="s">
        <v>1559</v>
      </c>
      <c r="J58" s="2991">
        <f ca="1">IF(J55&lt;0.4,0.4,J55)</f>
        <v>0.40300000000000002</v>
      </c>
      <c r="K58" s="2982"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2.2999999999999998</v>
      </c>
      <c r="D59" s="1184" t="s">
        <v>1430</v>
      </c>
      <c r="E59" s="1185" t="s">
        <v>1431</v>
      </c>
      <c r="F59" s="368" t="str">
        <f ca="1">IF(项目基本情况!B11="企业","",IF(INDIRECT("'数据-取费表'!c"&amp;$G$1)="住宅",5%,IF(F49*F50*F51/12/(1+'数据-取费表'!C42)&gt;20000,12%,7%)))</f>
        <v/>
      </c>
      <c r="I59" s="1924" t="s">
        <v>1562</v>
      </c>
      <c r="J59" s="235">
        <f ca="1">IF(OR(M47="住宅",J51&lt;L48,J56="是"),"——",ROUND(C29*J58,0))</f>
        <v>11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2" t="s">
        <v>1564</v>
      </c>
      <c r="J60" s="2993">
        <f ca="1">IF(OR(M47="住宅",J51&lt;L48,J56="是"),"0",ROUND(J59/(1+J52)^J53,0))</f>
        <v>1</v>
      </c>
      <c r="K60" s="2994" t="s">
        <v>1565</v>
      </c>
      <c r="L60" s="2993">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2.27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0.03</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174</v>
      </c>
      <c r="R62" s="1888" t="s">
        <v>1047</v>
      </c>
    </row>
    <row r="63" spans="1:18" s="1844" customFormat="1" ht="13.5" thickBot="1">
      <c r="A63" s="372"/>
      <c r="B63" s="1177"/>
      <c r="C63" s="29"/>
      <c r="D63" s="1187"/>
      <c r="E63" s="1171" t="s">
        <v>1499</v>
      </c>
      <c r="F63" s="348">
        <f t="shared" ca="1" si="0"/>
        <v>16.29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0.4</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1.5E-3</v>
      </c>
      <c r="I65" s="1931" t="s">
        <v>1578</v>
      </c>
      <c r="J65" s="1932">
        <v>40</v>
      </c>
      <c r="K65" s="1932">
        <v>30</v>
      </c>
      <c r="L65" s="1932">
        <v>50</v>
      </c>
      <c r="M65" s="1934">
        <v>0.02</v>
      </c>
      <c r="O65" s="1886" t="s">
        <v>1040</v>
      </c>
      <c r="P65" s="1887" t="s">
        <v>1579</v>
      </c>
      <c r="Q65" s="1888">
        <f ca="1">C40+J29</f>
        <v>174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-3</v>
      </c>
      <c r="D67" s="1184" t="s">
        <v>1464</v>
      </c>
      <c r="E67" s="1189"/>
      <c r="F67" s="1190"/>
      <c r="O67" s="1896" t="s">
        <v>1042</v>
      </c>
      <c r="P67" s="1887" t="s">
        <v>1561</v>
      </c>
      <c r="Q67" s="1935">
        <f ca="1">L51</f>
        <v>83</v>
      </c>
      <c r="R67" s="1888" t="s">
        <v>1581</v>
      </c>
    </row>
    <row r="68" spans="1:18" s="1844" customFormat="1" ht="16.5" thickBot="1">
      <c r="A68" s="1168" t="s">
        <v>1032</v>
      </c>
      <c r="B68" s="1169" t="s">
        <v>1485</v>
      </c>
      <c r="C68" s="346">
        <f ca="1">ROUND(C67*(1-((1+F70)/(1+F68))^F69)/(F68-F70),0)</f>
        <v>-50</v>
      </c>
      <c r="D68" s="1186" t="s">
        <v>1469</v>
      </c>
      <c r="E68" s="1171" t="s">
        <v>1470</v>
      </c>
      <c r="F68" s="357">
        <f ca="1">F40</f>
        <v>0.05</v>
      </c>
      <c r="O68" s="1896" t="s">
        <v>1043</v>
      </c>
      <c r="P68" s="1936" t="s">
        <v>1582</v>
      </c>
      <c r="Q68" s="1888">
        <f ca="1">ROUND(Q69-Q70*Q71,0)</f>
        <v>5</v>
      </c>
      <c r="R68" s="1888" t="s">
        <v>1051</v>
      </c>
    </row>
    <row r="69" spans="1:18" s="1844" customFormat="1" ht="13.5" thickBot="1">
      <c r="A69" s="1172"/>
      <c r="B69" s="1173"/>
      <c r="C69" s="351"/>
      <c r="D69" s="1191" t="s">
        <v>1473</v>
      </c>
      <c r="E69" s="1171" t="s">
        <v>1474</v>
      </c>
      <c r="F69" s="379">
        <f ca="1">F41</f>
        <v>35.83</v>
      </c>
      <c r="O69" s="1896" t="s">
        <v>1048</v>
      </c>
      <c r="P69" s="1936" t="s">
        <v>1583</v>
      </c>
      <c r="Q69" s="1888">
        <f ca="1">C39</f>
        <v>7</v>
      </c>
      <c r="R69" s="1888" t="s">
        <v>1529</v>
      </c>
    </row>
    <row r="70" spans="1:18" s="1844" customFormat="1" ht="13.5" thickBot="1">
      <c r="A70" s="1175"/>
      <c r="B70" s="1176"/>
      <c r="C70" s="355"/>
      <c r="D70" s="1187"/>
      <c r="E70" s="1171" t="s">
        <v>1477</v>
      </c>
      <c r="F70" s="1277"/>
      <c r="O70" s="1896" t="s">
        <v>1049</v>
      </c>
      <c r="P70" s="1936" t="s">
        <v>1584</v>
      </c>
      <c r="Q70" s="1888">
        <f ca="1">C13</f>
        <v>27</v>
      </c>
      <c r="R70" s="1888" t="s">
        <v>1529</v>
      </c>
    </row>
    <row r="71" spans="1:18" s="1844" customFormat="1" ht="13.5" thickBot="1">
      <c r="A71" s="1192" t="s">
        <v>1033</v>
      </c>
      <c r="B71" s="1193" t="s">
        <v>1487</v>
      </c>
      <c r="C71" s="382">
        <f ca="1">ROUND(C68*10000/F71,0)</f>
        <v>-8769</v>
      </c>
      <c r="D71" s="1194" t="s">
        <v>1488</v>
      </c>
      <c r="E71" s="1195" t="s">
        <v>1489</v>
      </c>
      <c r="F71" s="385">
        <f ca="1">F43</f>
        <v>57.02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2</v>
      </c>
      <c r="D75" s="1844"/>
      <c r="E75" s="1844"/>
      <c r="F75" s="1844"/>
      <c r="K75" s="1870"/>
      <c r="L75" s="1844"/>
      <c r="O75" s="1886" t="s">
        <v>1046</v>
      </c>
      <c r="P75" s="1887" t="s">
        <v>1549</v>
      </c>
      <c r="Q75" s="1888">
        <f ca="1">Q65+Q66</f>
        <v>174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0.84499999999999997</v>
      </c>
    </row>
    <row r="83" spans="2:3">
      <c r="B83" s="317" t="s">
        <v>1514</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9" t="s">
        <v>1403</v>
      </c>
      <c r="C6" s="1298">
        <f ca="1">ROUND(F6*F8*F7*(1-F9),0)</f>
        <v>0</v>
      </c>
      <c r="D6" s="164" t="s">
        <v>3027</v>
      </c>
      <c r="E6" s="347" t="s">
        <v>1405</v>
      </c>
      <c r="F6" s="348">
        <f ca="1">INDIRECT("'数据-取费表'!u"&amp;$G$1)</f>
        <v>0</v>
      </c>
      <c r="G6" s="1853"/>
      <c r="H6" s="1293" t="s">
        <v>1035</v>
      </c>
      <c r="I6" s="3269" t="s">
        <v>1403</v>
      </c>
      <c r="J6" s="346">
        <f ca="1">ROUND(M6*M8*M7*(1-M9),0)</f>
        <v>0</v>
      </c>
      <c r="K6" s="1836" t="s">
        <v>3028</v>
      </c>
      <c r="L6" s="347" t="s">
        <v>1405</v>
      </c>
      <c r="M6" s="348">
        <f ca="1">INDIRECT("'数据-取费表'!z"&amp;$G$1)</f>
        <v>0</v>
      </c>
    </row>
    <row r="7" spans="1:37" ht="18" customHeight="1">
      <c r="A7" s="1297"/>
      <c r="B7" s="3270"/>
      <c r="C7" s="1299"/>
      <c r="D7" s="352"/>
      <c r="E7" s="1300" t="s">
        <v>1406</v>
      </c>
      <c r="F7" s="348">
        <f ca="1">IF(INDIRECT("'数据-取费表'!ah"&amp;$G$1)="",INDIRECT("'数据-取费表'!k"&amp;$G$1),INDIRECT("'数据-取费表'!ah"&amp;$G$1))</f>
        <v>0</v>
      </c>
      <c r="G7" s="1853"/>
      <c r="H7" s="349"/>
      <c r="I7" s="3270"/>
      <c r="J7" s="351"/>
      <c r="K7" s="352"/>
      <c r="L7" s="347" t="s">
        <v>1406</v>
      </c>
      <c r="M7" s="348">
        <f ca="1">F7</f>
        <v>0</v>
      </c>
    </row>
    <row r="8" spans="1:37" ht="18" customHeight="1">
      <c r="A8" s="349"/>
      <c r="B8" s="3270"/>
      <c r="C8" s="351"/>
      <c r="D8" s="352"/>
      <c r="E8" s="347" t="s">
        <v>1407</v>
      </c>
      <c r="F8" s="348">
        <f ca="1">INDIRECT("'数据-取费表'!ai"&amp;$G$1)</f>
        <v>0</v>
      </c>
      <c r="G8" s="1853"/>
      <c r="H8" s="349"/>
      <c r="I8" s="3270"/>
      <c r="J8" s="351"/>
      <c r="K8" s="352"/>
      <c r="L8" s="347" t="s">
        <v>1407</v>
      </c>
      <c r="M8" s="348">
        <f ca="1">INDIRECT("'数据-取费表'!ai"&amp;$G$1)</f>
        <v>0</v>
      </c>
    </row>
    <row r="9" spans="1:37" ht="18" customHeight="1">
      <c r="A9" s="349"/>
      <c r="B9" s="3271"/>
      <c r="C9" s="351"/>
      <c r="D9" s="352"/>
      <c r="E9" s="347" t="s">
        <v>1408</v>
      </c>
      <c r="F9" s="357">
        <f ca="1">INDIRECT("'数据-取费表'!w"&amp;$G$1)</f>
        <v>0</v>
      </c>
      <c r="G9" s="1853"/>
      <c r="H9" s="349"/>
      <c r="I9" s="3271"/>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7" t="s">
        <v>1548</v>
      </c>
      <c r="L53" s="3268"/>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175</v>
      </c>
      <c r="C2" s="2566" t="s">
        <v>2517</v>
      </c>
      <c r="D2" s="2567" t="s">
        <v>2518</v>
      </c>
      <c r="E2" s="2568">
        <f>SUM(E6:E13)</f>
        <v>57.02</v>
      </c>
    </row>
    <row r="3" spans="1:6" ht="15.75">
      <c r="A3" s="2564" t="s">
        <v>1395</v>
      </c>
      <c r="B3" s="2565">
        <f ca="1">ROUND(B2*10000/E2,0)</f>
        <v>30691</v>
      </c>
      <c r="C3" s="2566" t="s">
        <v>2525</v>
      </c>
      <c r="D3" s="2569"/>
      <c r="E3" s="2570"/>
    </row>
    <row r="4" spans="1:6" ht="15.75">
      <c r="A4" s="2571"/>
      <c r="B4" s="2569"/>
      <c r="C4" s="2569"/>
      <c r="D4" s="2569"/>
      <c r="E4" s="2570"/>
    </row>
    <row r="5" spans="1:6" ht="15">
      <c r="A5" s="2572" t="s">
        <v>2519</v>
      </c>
      <c r="B5" s="3272" t="s">
        <v>2520</v>
      </c>
      <c r="C5" s="3272"/>
      <c r="D5" s="2573"/>
      <c r="E5" s="2574" t="s">
        <v>2521</v>
      </c>
      <c r="F5" s="2575" t="s">
        <v>2522</v>
      </c>
    </row>
    <row r="6" spans="1:6">
      <c r="A6" s="2576" t="str">
        <f>'数据-取费表'!AN6</f>
        <v>收益法</v>
      </c>
      <c r="B6" s="2575">
        <f ca="1">IF(F6="是",'数据-取费表'!AO6,0)</f>
        <v>175</v>
      </c>
      <c r="C6" s="2566" t="s">
        <v>2517</v>
      </c>
      <c r="D6" s="2569"/>
      <c r="E6" s="2577">
        <f>IF(OR(A6=0,F6="否"),0,'数据-取费表'!K6+'数据-取费表'!S6)</f>
        <v>57.02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303" t="s">
        <v>1079</v>
      </c>
      <c r="E2" s="1303" t="s">
        <v>1080</v>
      </c>
      <c r="F2" s="1303" t="s">
        <v>1081</v>
      </c>
      <c r="G2" s="1303" t="s">
        <v>1082</v>
      </c>
      <c r="H2" s="1303" t="s">
        <v>1083</v>
      </c>
      <c r="I2" s="1304" t="s">
        <v>1084</v>
      </c>
    </row>
    <row r="3" spans="1:9">
      <c r="A3" s="3278"/>
      <c r="B3" s="3279" t="s">
        <v>1085</v>
      </c>
      <c r="C3" s="3279"/>
      <c r="D3" s="1305"/>
      <c r="E3" s="1303"/>
      <c r="F3" s="1306"/>
      <c r="G3" s="1306"/>
      <c r="H3" s="1307"/>
      <c r="I3" s="1308">
        <f>ROUND(D3*E3*F3*G3*H3/10000,0)</f>
        <v>0</v>
      </c>
    </row>
    <row r="4" spans="1:9">
      <c r="A4" s="3278"/>
      <c r="B4" s="3279" t="s">
        <v>1086</v>
      </c>
      <c r="C4" s="3279"/>
      <c r="D4" s="1305"/>
      <c r="E4" s="1303"/>
      <c r="F4" s="1306"/>
      <c r="G4" s="1306"/>
      <c r="H4" s="1307"/>
      <c r="I4" s="1308">
        <f t="shared" ref="I4:I9" si="0">ROUND(D4*E4*F4*G4*H4/10000,0)</f>
        <v>0</v>
      </c>
    </row>
    <row r="5" spans="1:9">
      <c r="A5" s="3278"/>
      <c r="B5" s="3279" t="s">
        <v>1087</v>
      </c>
      <c r="C5" s="3279"/>
      <c r="D5" s="1305"/>
      <c r="E5" s="1303"/>
      <c r="F5" s="1306"/>
      <c r="G5" s="1306"/>
      <c r="H5" s="1307"/>
      <c r="I5" s="1308">
        <f t="shared" si="0"/>
        <v>0</v>
      </c>
    </row>
    <row r="6" spans="1:9">
      <c r="A6" s="3278"/>
      <c r="B6" s="3279" t="s">
        <v>1088</v>
      </c>
      <c r="C6" s="3279"/>
      <c r="D6" s="1305"/>
      <c r="E6" s="1303"/>
      <c r="F6" s="1306"/>
      <c r="G6" s="1306"/>
      <c r="H6" s="1307"/>
      <c r="I6" s="1308">
        <f t="shared" si="0"/>
        <v>0</v>
      </c>
    </row>
    <row r="7" spans="1:9">
      <c r="A7" s="3278"/>
      <c r="B7" s="3279" t="s">
        <v>1089</v>
      </c>
      <c r="C7" s="3279"/>
      <c r="D7" s="1305"/>
      <c r="E7" s="1303"/>
      <c r="F7" s="1306"/>
      <c r="G7" s="1306"/>
      <c r="H7" s="1307"/>
      <c r="I7" s="1308">
        <f t="shared" si="0"/>
        <v>0</v>
      </c>
    </row>
    <row r="8" spans="1:9">
      <c r="A8" s="3278"/>
      <c r="B8" s="3279" t="s">
        <v>1090</v>
      </c>
      <c r="C8" s="3279"/>
      <c r="D8" s="1305"/>
      <c r="E8" s="1303"/>
      <c r="F8" s="1306"/>
      <c r="G8" s="1306"/>
      <c r="H8" s="1307"/>
      <c r="I8" s="1308">
        <f t="shared" si="0"/>
        <v>0</v>
      </c>
    </row>
    <row r="9" spans="1:9">
      <c r="A9" s="3278"/>
      <c r="B9" s="3279" t="s">
        <v>1091</v>
      </c>
      <c r="C9" s="3279"/>
      <c r="D9" s="1305"/>
      <c r="E9" s="1303"/>
      <c r="F9" s="1306"/>
      <c r="G9" s="1306"/>
      <c r="H9" s="1307"/>
      <c r="I9" s="1308">
        <f t="shared" si="0"/>
        <v>0</v>
      </c>
    </row>
    <row r="10" spans="1:9">
      <c r="A10" s="3278"/>
      <c r="B10" s="3280" t="s">
        <v>1092</v>
      </c>
      <c r="C10" s="3280"/>
      <c r="D10" s="1309"/>
      <c r="E10" s="1309" t="e">
        <f>ROUND(D1*10000/D10/H9,0)</f>
        <v>#DIV/0!</v>
      </c>
      <c r="F10" s="1310"/>
      <c r="G10" s="1310"/>
      <c r="H10" s="1311"/>
      <c r="I10" s="1312">
        <f>SUM(I3:I9)</f>
        <v>0</v>
      </c>
    </row>
    <row r="11" spans="1:9" ht="14.25">
      <c r="A11" s="3278" t="s">
        <v>1093</v>
      </c>
      <c r="B11" s="3279" t="s">
        <v>1094</v>
      </c>
      <c r="C11" s="3279"/>
      <c r="D11" s="1305" t="s">
        <v>1095</v>
      </c>
      <c r="E11" s="1305" t="s">
        <v>1096</v>
      </c>
      <c r="F11" s="1306" t="s">
        <v>1097</v>
      </c>
      <c r="G11" s="1306" t="s">
        <v>1083</v>
      </c>
      <c r="H11" s="1313" t="s">
        <v>1098</v>
      </c>
      <c r="I11" s="1304" t="s">
        <v>1084</v>
      </c>
    </row>
    <row r="12" spans="1:9">
      <c r="A12" s="3278"/>
      <c r="B12" s="3279" t="s">
        <v>1099</v>
      </c>
      <c r="C12" s="3279"/>
      <c r="D12" s="1305"/>
      <c r="E12" s="1305"/>
      <c r="F12" s="1306"/>
      <c r="G12" s="1307"/>
      <c r="H12" s="1314"/>
      <c r="I12" s="1304">
        <f>ROUND(D12*E12*F12*G12/10000,0)</f>
        <v>0</v>
      </c>
    </row>
    <row r="13" spans="1:9">
      <c r="A13" s="3278"/>
      <c r="B13" s="3279" t="s">
        <v>1100</v>
      </c>
      <c r="C13" s="3279"/>
      <c r="D13" s="1305"/>
      <c r="E13" s="1305"/>
      <c r="F13" s="1306"/>
      <c r="G13" s="1307"/>
      <c r="H13" s="1314"/>
      <c r="I13" s="1304">
        <f>ROUND(D13*E13*F13*G13/10000,0)</f>
        <v>0</v>
      </c>
    </row>
    <row r="14" spans="1:9">
      <c r="A14" s="3278"/>
      <c r="B14" s="3279" t="s">
        <v>1101</v>
      </c>
      <c r="C14" s="3279"/>
      <c r="D14" s="1305"/>
      <c r="E14" s="1305"/>
      <c r="F14" s="1306"/>
      <c r="G14" s="1307"/>
      <c r="H14" s="1314"/>
      <c r="I14" s="1304">
        <f>ROUND(D14*E14*F14*G14/10000,0)</f>
        <v>0</v>
      </c>
    </row>
    <row r="15" spans="1:9">
      <c r="A15" s="3278"/>
      <c r="B15" s="3280" t="s">
        <v>1092</v>
      </c>
      <c r="C15" s="3280"/>
      <c r="D15" s="1309"/>
      <c r="E15" s="1309">
        <f>SUM(E12:E14)</f>
        <v>0</v>
      </c>
      <c r="F15" s="1310"/>
      <c r="G15" s="1307"/>
      <c r="H15" s="1314"/>
      <c r="I15" s="1315">
        <f>SUM(I12:I14)</f>
        <v>0</v>
      </c>
    </row>
    <row r="16" spans="1:9" ht="24">
      <c r="A16" s="3278" t="s">
        <v>1102</v>
      </c>
      <c r="B16" s="3279" t="s">
        <v>1103</v>
      </c>
      <c r="C16" s="3279"/>
      <c r="D16" s="1305" t="s">
        <v>1079</v>
      </c>
      <c r="E16" s="1316" t="s">
        <v>1104</v>
      </c>
      <c r="F16" s="1306" t="s">
        <v>1105</v>
      </c>
      <c r="G16" s="1307" t="s">
        <v>1083</v>
      </c>
      <c r="H16" s="1313" t="s">
        <v>1098</v>
      </c>
      <c r="I16" s="1304" t="s">
        <v>1084</v>
      </c>
    </row>
    <row r="17" spans="1:9" ht="14.25">
      <c r="A17" s="3278"/>
      <c r="B17" s="3279" t="s">
        <v>1106</v>
      </c>
      <c r="C17" s="3279"/>
      <c r="D17" s="1305"/>
      <c r="E17" s="1305"/>
      <c r="F17" s="1306"/>
      <c r="G17" s="1307"/>
      <c r="H17" s="1317"/>
      <c r="I17" s="1318">
        <f>ROUND(D17*E17*F17*G17/10000,0)</f>
        <v>0</v>
      </c>
    </row>
    <row r="18" spans="1:9" ht="14.25">
      <c r="A18" s="3278"/>
      <c r="B18" s="3279" t="s">
        <v>1107</v>
      </c>
      <c r="C18" s="3279"/>
      <c r="D18" s="1305"/>
      <c r="E18" s="1305"/>
      <c r="F18" s="1306"/>
      <c r="G18" s="1307"/>
      <c r="H18" s="1317"/>
      <c r="I18" s="1318">
        <f>ROUND(D18*E18*F18*G18/10000,0)</f>
        <v>0</v>
      </c>
    </row>
    <row r="19" spans="1:9" ht="14.25">
      <c r="A19" s="3278"/>
      <c r="B19" s="3279" t="s">
        <v>1108</v>
      </c>
      <c r="C19" s="3279"/>
      <c r="D19" s="1305"/>
      <c r="E19" s="1305"/>
      <c r="F19" s="1306"/>
      <c r="G19" s="1307"/>
      <c r="H19" s="1317"/>
      <c r="I19" s="1318">
        <f>ROUND(D19*E19*F19*G19/10000,0)</f>
        <v>0</v>
      </c>
    </row>
    <row r="20" spans="1:9">
      <c r="A20" s="3278"/>
      <c r="B20" s="3280" t="s">
        <v>1092</v>
      </c>
      <c r="C20" s="3280"/>
      <c r="D20" s="1309">
        <f>SUM(D17:D19)</f>
        <v>0</v>
      </c>
      <c r="E20" s="1309"/>
      <c r="F20" s="1310"/>
      <c r="G20" s="1307"/>
      <c r="H20" s="1314"/>
      <c r="I20" s="1315">
        <f>SUM(I17:I19)</f>
        <v>0</v>
      </c>
    </row>
    <row r="21" spans="1:9">
      <c r="A21" s="3278" t="s">
        <v>1109</v>
      </c>
      <c r="B21" s="3282"/>
      <c r="C21" s="3282"/>
      <c r="D21" s="3282"/>
      <c r="E21" s="3282"/>
      <c r="F21" s="3282"/>
      <c r="G21" s="3282"/>
      <c r="H21" s="1767">
        <v>0.1</v>
      </c>
      <c r="I21" s="1312">
        <f>ROUND(I10*H21,0)</f>
        <v>0</v>
      </c>
    </row>
    <row r="22" spans="1:9" ht="14.25">
      <c r="A22" s="3283" t="s">
        <v>1110</v>
      </c>
      <c r="B22" s="3284"/>
      <c r="C22" s="3285"/>
      <c r="D22" s="1319" t="s">
        <v>1111</v>
      </c>
      <c r="E22" s="1319" t="s">
        <v>1112</v>
      </c>
      <c r="F22" s="1320" t="s">
        <v>1113</v>
      </c>
      <c r="G22" s="1320" t="s">
        <v>1114</v>
      </c>
      <c r="H22" s="1313" t="s">
        <v>1115</v>
      </c>
      <c r="I22" s="1304" t="s">
        <v>1116</v>
      </c>
    </row>
    <row r="23" spans="1:9" ht="14.25" thickBot="1">
      <c r="A23" s="3286"/>
      <c r="B23" s="3287"/>
      <c r="C23" s="3288"/>
      <c r="D23" s="1321"/>
      <c r="E23" s="1321"/>
      <c r="F23" s="1321"/>
      <c r="G23" s="1322"/>
      <c r="H23" s="1323"/>
      <c r="I23" s="1324">
        <f>ROUND(E23*D23*F23*(1-G23)/10000,0)</f>
        <v>0</v>
      </c>
    </row>
    <row r="26" spans="1:9">
      <c r="A26" s="1325" t="s">
        <v>1117</v>
      </c>
      <c r="B26" s="1325"/>
      <c r="C26" s="1325"/>
      <c r="D26" s="1325"/>
      <c r="E26" s="3289">
        <f>C27-C30-C31-C32</f>
        <v>0</v>
      </c>
      <c r="F26" s="3289"/>
      <c r="G26" s="3289"/>
      <c r="H26" s="1739" t="s">
        <v>1340</v>
      </c>
    </row>
    <row r="27" spans="1:9">
      <c r="A27" s="1326">
        <v>1</v>
      </c>
      <c r="B27" s="1327" t="s">
        <v>1118</v>
      </c>
      <c r="C27" s="1327">
        <f>C28+C29</f>
        <v>0</v>
      </c>
      <c r="D27" s="1327"/>
      <c r="E27" s="3290"/>
      <c r="F27" s="3290"/>
      <c r="G27" s="3290"/>
    </row>
    <row r="28" spans="1:9">
      <c r="A28" s="1328" t="s">
        <v>1119</v>
      </c>
      <c r="B28" s="1327" t="s">
        <v>1120</v>
      </c>
      <c r="C28" s="1327"/>
      <c r="D28" s="1327"/>
      <c r="E28" s="3290"/>
      <c r="F28" s="3290"/>
      <c r="G28" s="329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1"/>
      <c r="F32" s="3281"/>
      <c r="G32" s="3281"/>
    </row>
    <row r="33" spans="1:7" hidden="1">
      <c r="A33" s="3291" t="s">
        <v>1129</v>
      </c>
      <c r="B33" s="3292"/>
      <c r="C33" s="3292"/>
      <c r="D33" s="3293"/>
      <c r="E33" s="3289"/>
      <c r="F33" s="3289"/>
      <c r="G33" s="3289"/>
    </row>
    <row r="34" spans="1:7" hidden="1">
      <c r="A34" s="1330">
        <v>1</v>
      </c>
      <c r="B34" s="1327" t="s">
        <v>1130</v>
      </c>
      <c r="C34" s="1327"/>
      <c r="D34" s="1327"/>
      <c r="E34" s="3290"/>
      <c r="F34" s="3290"/>
      <c r="G34" s="3290"/>
    </row>
    <row r="35" spans="1:7" hidden="1">
      <c r="A35" s="1330">
        <v>2</v>
      </c>
      <c r="B35" s="1327" t="s">
        <v>1131</v>
      </c>
      <c r="C35" s="1327"/>
      <c r="D35" s="1327"/>
      <c r="E35" s="3290"/>
      <c r="F35" s="3290"/>
      <c r="G35" s="3290"/>
    </row>
    <row r="36" spans="1:7" hidden="1">
      <c r="A36" s="1330">
        <v>3</v>
      </c>
      <c r="B36" s="1327" t="s">
        <v>1132</v>
      </c>
      <c r="C36" s="1327"/>
      <c r="D36" s="1327"/>
      <c r="E36" s="3290"/>
      <c r="F36" s="3290"/>
      <c r="G36" s="3290"/>
    </row>
    <row r="37" spans="1:7" hidden="1">
      <c r="A37" s="1330">
        <v>4</v>
      </c>
      <c r="B37" s="1327" t="s">
        <v>1133</v>
      </c>
      <c r="C37" s="1327"/>
      <c r="D37" s="1327"/>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10648.409999999993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40" t="s">
        <v>2534</v>
      </c>
      <c r="D4" s="3241"/>
      <c r="E4" s="3242" t="s">
        <v>2535</v>
      </c>
      <c r="F4" s="3243"/>
      <c r="G4" s="3240" t="s">
        <v>2536</v>
      </c>
      <c r="H4" s="3241"/>
      <c r="I4" s="3240" t="s">
        <v>2537</v>
      </c>
      <c r="J4" s="3241"/>
      <c r="K4" s="2596" t="s">
        <v>2538</v>
      </c>
      <c r="L4" s="1132"/>
      <c r="M4" s="1133"/>
      <c r="N4" s="1133"/>
      <c r="O4" s="1133"/>
      <c r="P4" s="3244" t="s">
        <v>2539</v>
      </c>
      <c r="Q4" s="3245"/>
      <c r="R4" s="3226" t="s">
        <v>2535</v>
      </c>
      <c r="S4" s="3227"/>
      <c r="T4" s="3226" t="s">
        <v>2536</v>
      </c>
      <c r="U4" s="3227"/>
      <c r="V4" s="3223" t="s">
        <v>2537</v>
      </c>
      <c r="W4" s="3223"/>
      <c r="X4" s="1815"/>
      <c r="Y4" s="3226" t="s">
        <v>2539</v>
      </c>
      <c r="Z4" s="3227"/>
      <c r="AA4" s="3220" t="s">
        <v>2535</v>
      </c>
      <c r="AB4" s="3220" t="s">
        <v>2536</v>
      </c>
      <c r="AC4" s="3220" t="s">
        <v>2537</v>
      </c>
    </row>
    <row r="5" spans="1:29" ht="15">
      <c r="A5" s="404"/>
      <c r="B5" s="405"/>
      <c r="C5" s="3295" t="s">
        <v>2540</v>
      </c>
      <c r="D5" s="3233"/>
      <c r="E5" s="3294" t="s">
        <v>2541</v>
      </c>
      <c r="F5" s="3231"/>
      <c r="G5" s="3295" t="s">
        <v>2542</v>
      </c>
      <c r="H5" s="3233"/>
      <c r="I5" s="3295" t="s">
        <v>2543</v>
      </c>
      <c r="J5" s="3233"/>
      <c r="K5" s="2597"/>
      <c r="L5" s="1132"/>
      <c r="M5" s="1133"/>
      <c r="N5" s="1133"/>
      <c r="O5" s="1133"/>
      <c r="P5" s="3246"/>
      <c r="Q5" s="3247"/>
      <c r="R5" s="3228"/>
      <c r="S5" s="3229"/>
      <c r="T5" s="3228"/>
      <c r="U5" s="3229"/>
      <c r="V5" s="3223"/>
      <c r="W5" s="3223"/>
      <c r="X5" s="1815"/>
      <c r="Y5" s="3228"/>
      <c r="Z5" s="3229"/>
      <c r="AA5" s="3221"/>
      <c r="AB5" s="3221"/>
      <c r="AC5" s="3221"/>
    </row>
    <row r="6" spans="1:29" ht="15.75" thickBot="1">
      <c r="A6" s="406"/>
      <c r="B6" s="407"/>
      <c r="C6" s="3234" t="s">
        <v>2544</v>
      </c>
      <c r="D6" s="3235"/>
      <c r="E6" s="3296" t="s">
        <v>2544</v>
      </c>
      <c r="F6" s="3237"/>
      <c r="G6" s="3234" t="s">
        <v>2544</v>
      </c>
      <c r="H6" s="3235"/>
      <c r="I6" s="3234" t="s">
        <v>2544</v>
      </c>
      <c r="J6" s="3235"/>
      <c r="K6" s="2597" t="s">
        <v>2545</v>
      </c>
      <c r="L6" s="1132"/>
      <c r="M6" s="1133"/>
      <c r="N6" s="1133"/>
      <c r="O6" s="1133"/>
      <c r="P6" s="3248"/>
      <c r="Q6" s="3249"/>
      <c r="R6" s="3228"/>
      <c r="S6" s="3229"/>
      <c r="T6" s="3250"/>
      <c r="U6" s="3251"/>
      <c r="V6" s="3223"/>
      <c r="W6" s="3223"/>
      <c r="X6" s="1815"/>
      <c r="Y6" s="3250"/>
      <c r="Z6" s="3251"/>
      <c r="AA6" s="3222"/>
      <c r="AB6" s="3222"/>
      <c r="AC6" s="3222"/>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24" t="s">
        <v>2547</v>
      </c>
      <c r="Q7" s="3252"/>
      <c r="R7" s="769" t="s">
        <v>23</v>
      </c>
      <c r="S7" s="770">
        <f t="shared" ref="S7:S15" si="0">F7</f>
        <v>0</v>
      </c>
      <c r="T7" s="769" t="s">
        <v>23</v>
      </c>
      <c r="U7" s="770">
        <f t="shared" ref="U7:U15" si="1">H7</f>
        <v>0</v>
      </c>
      <c r="V7" s="769" t="s">
        <v>23</v>
      </c>
      <c r="W7" s="770">
        <f t="shared" ref="W7:W15" si="2">J7</f>
        <v>0</v>
      </c>
      <c r="X7" s="771"/>
      <c r="Y7" s="3224" t="s">
        <v>2547</v>
      </c>
      <c r="Z7" s="3225"/>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24" t="s">
        <v>2550</v>
      </c>
      <c r="Q8" s="3225"/>
      <c r="R8" s="769" t="s">
        <v>23</v>
      </c>
      <c r="S8" s="770">
        <f t="shared" si="0"/>
        <v>0</v>
      </c>
      <c r="T8" s="769" t="s">
        <v>23</v>
      </c>
      <c r="U8" s="770">
        <f t="shared" si="1"/>
        <v>0</v>
      </c>
      <c r="V8" s="769" t="s">
        <v>23</v>
      </c>
      <c r="W8" s="770">
        <f t="shared" si="2"/>
        <v>0</v>
      </c>
      <c r="X8" s="771"/>
      <c r="Y8" s="3224" t="s">
        <v>2550</v>
      </c>
      <c r="Z8" s="3225"/>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9"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9"/>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9"/>
      <c r="Q11" s="1797" t="str">
        <f t="shared" si="6"/>
        <v>容积率</v>
      </c>
      <c r="R11" s="769" t="s">
        <v>21</v>
      </c>
      <c r="S11" s="770" t="e">
        <f t="shared" si="0"/>
        <v>#N/A</v>
      </c>
      <c r="T11" s="769" t="s">
        <v>21</v>
      </c>
      <c r="U11" s="770" t="e">
        <f t="shared" si="1"/>
        <v>#N/A</v>
      </c>
      <c r="V11" s="769" t="s">
        <v>21</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9"/>
      <c r="Q12" s="1797">
        <f t="shared" si="6"/>
        <v>111</v>
      </c>
      <c r="R12" s="769" t="s">
        <v>21</v>
      </c>
      <c r="S12" s="770">
        <f t="shared" si="0"/>
        <v>100</v>
      </c>
      <c r="T12" s="769" t="s">
        <v>21</v>
      </c>
      <c r="U12" s="770">
        <f t="shared" si="1"/>
        <v>100</v>
      </c>
      <c r="V12" s="769" t="s">
        <v>21</v>
      </c>
      <c r="W12" s="770">
        <f t="shared" si="2"/>
        <v>100</v>
      </c>
      <c r="X12" s="771"/>
      <c r="Y12" s="3097"/>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9"/>
      <c r="Q13" s="1797">
        <f t="shared" si="6"/>
        <v>111</v>
      </c>
      <c r="R13" s="769" t="s">
        <v>21</v>
      </c>
      <c r="S13" s="770">
        <f t="shared" si="0"/>
        <v>100</v>
      </c>
      <c r="T13" s="769" t="s">
        <v>21</v>
      </c>
      <c r="U13" s="770">
        <f t="shared" si="1"/>
        <v>100</v>
      </c>
      <c r="V13" s="769" t="s">
        <v>21</v>
      </c>
      <c r="W13" s="770">
        <f t="shared" si="2"/>
        <v>100</v>
      </c>
      <c r="X13" s="771"/>
      <c r="Y13" s="3097"/>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9"/>
      <c r="Q14" s="1797">
        <f t="shared" si="6"/>
        <v>111</v>
      </c>
      <c r="R14" s="769" t="s">
        <v>21</v>
      </c>
      <c r="S14" s="770">
        <f t="shared" si="0"/>
        <v>100</v>
      </c>
      <c r="T14" s="769" t="s">
        <v>21</v>
      </c>
      <c r="U14" s="770">
        <f t="shared" si="1"/>
        <v>100</v>
      </c>
      <c r="V14" s="769" t="s">
        <v>21</v>
      </c>
      <c r="W14" s="770">
        <f t="shared" si="2"/>
        <v>100</v>
      </c>
      <c r="X14" s="771"/>
      <c r="Y14" s="3097"/>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3" t="s">
        <v>2558</v>
      </c>
      <c r="Q15" s="1812" t="str">
        <f t="shared" si="6"/>
        <v>居住社区成熟度</v>
      </c>
      <c r="R15" s="773" t="s">
        <v>21</v>
      </c>
      <c r="S15" s="774">
        <f t="shared" si="0"/>
        <v>100</v>
      </c>
      <c r="T15" s="773" t="s">
        <v>21</v>
      </c>
      <c r="U15" s="774">
        <f t="shared" si="1"/>
        <v>100</v>
      </c>
      <c r="V15" s="773" t="s">
        <v>21</v>
      </c>
      <c r="W15" s="774">
        <f t="shared" si="2"/>
        <v>100</v>
      </c>
      <c r="X15" s="1815"/>
      <c r="Y15" s="3255"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54"/>
      <c r="Q16" s="1812"/>
      <c r="R16" s="773"/>
      <c r="S16" s="774"/>
      <c r="T16" s="773"/>
      <c r="U16" s="774"/>
      <c r="V16" s="773"/>
      <c r="W16" s="774"/>
      <c r="X16" s="1815"/>
      <c r="Y16" s="3256"/>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4"/>
      <c r="Q17" s="1812" t="str">
        <f>B17</f>
        <v>交通便捷度</v>
      </c>
      <c r="R17" s="773" t="s">
        <v>21</v>
      </c>
      <c r="S17" s="774">
        <f>F17</f>
        <v>100</v>
      </c>
      <c r="T17" s="773" t="s">
        <v>21</v>
      </c>
      <c r="U17" s="774">
        <f>H17</f>
        <v>100</v>
      </c>
      <c r="V17" s="773" t="s">
        <v>21</v>
      </c>
      <c r="W17" s="774">
        <f>J17</f>
        <v>100</v>
      </c>
      <c r="X17" s="1815"/>
      <c r="Y17" s="3256"/>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54"/>
      <c r="Q18" s="1812"/>
      <c r="R18" s="773"/>
      <c r="S18" s="774"/>
      <c r="T18" s="773"/>
      <c r="U18" s="774"/>
      <c r="V18" s="773"/>
      <c r="W18" s="774"/>
      <c r="X18" s="1815"/>
      <c r="Y18" s="3256"/>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4"/>
      <c r="Q19" s="1812" t="str">
        <f>B19</f>
        <v>公共配套设施</v>
      </c>
      <c r="R19" s="773" t="s">
        <v>21</v>
      </c>
      <c r="S19" s="774">
        <f>F19</f>
        <v>100</v>
      </c>
      <c r="T19" s="773" t="s">
        <v>21</v>
      </c>
      <c r="U19" s="774">
        <f>H19</f>
        <v>100</v>
      </c>
      <c r="V19" s="773" t="s">
        <v>21</v>
      </c>
      <c r="W19" s="774">
        <f>J19</f>
        <v>100</v>
      </c>
      <c r="X19" s="1815"/>
      <c r="Y19" s="3256"/>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54"/>
      <c r="Q20" s="1812"/>
      <c r="R20" s="773"/>
      <c r="S20" s="774"/>
      <c r="T20" s="773"/>
      <c r="U20" s="774"/>
      <c r="V20" s="773"/>
      <c r="W20" s="774"/>
      <c r="X20" s="1815"/>
      <c r="Y20" s="3256"/>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4"/>
      <c r="Q21" s="1812" t="str">
        <f>B21</f>
        <v>基础设施水平</v>
      </c>
      <c r="R21" s="773" t="s">
        <v>17</v>
      </c>
      <c r="S21" s="774">
        <f>F21</f>
        <v>100</v>
      </c>
      <c r="T21" s="773" t="s">
        <v>17</v>
      </c>
      <c r="U21" s="774">
        <f>H21</f>
        <v>100</v>
      </c>
      <c r="V21" s="773" t="s">
        <v>17</v>
      </c>
      <c r="W21" s="774">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54"/>
      <c r="Q22" s="1812"/>
      <c r="R22" s="773"/>
      <c r="S22" s="774"/>
      <c r="T22" s="773"/>
      <c r="U22" s="774"/>
      <c r="V22" s="773"/>
      <c r="W22" s="774"/>
      <c r="X22" s="1815"/>
      <c r="Y22" s="3256"/>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4"/>
      <c r="Q23" s="1812" t="str">
        <f>B23</f>
        <v>自然及人文环境</v>
      </c>
      <c r="R23" s="773" t="s">
        <v>21</v>
      </c>
      <c r="S23" s="774">
        <f>F23</f>
        <v>100</v>
      </c>
      <c r="T23" s="773" t="s">
        <v>21</v>
      </c>
      <c r="U23" s="774">
        <f>H23</f>
        <v>100</v>
      </c>
      <c r="V23" s="773" t="s">
        <v>21</v>
      </c>
      <c r="W23" s="774">
        <f>J23</f>
        <v>100</v>
      </c>
      <c r="X23" s="1815"/>
      <c r="Y23" s="3256"/>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54"/>
      <c r="Q24" s="1812"/>
      <c r="R24" s="773"/>
      <c r="S24" s="774"/>
      <c r="T24" s="773"/>
      <c r="U24" s="774"/>
      <c r="V24" s="773"/>
      <c r="W24" s="774"/>
      <c r="X24" s="1815"/>
      <c r="Y24" s="3256"/>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5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6"/>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54"/>
      <c r="Q26" s="1812" t="str">
        <f t="shared" si="11"/>
        <v>朝向</v>
      </c>
      <c r="R26" s="773" t="s">
        <v>21</v>
      </c>
      <c r="S26" s="774">
        <f t="shared" si="12"/>
        <v>100</v>
      </c>
      <c r="T26" s="773" t="s">
        <v>21</v>
      </c>
      <c r="U26" s="774">
        <f t="shared" si="13"/>
        <v>100</v>
      </c>
      <c r="V26" s="773" t="s">
        <v>21</v>
      </c>
      <c r="W26" s="774">
        <f t="shared" si="14"/>
        <v>100</v>
      </c>
      <c r="X26" s="1815"/>
      <c r="Y26" s="325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54"/>
      <c r="Q27" s="1797">
        <f t="shared" si="11"/>
        <v>111</v>
      </c>
      <c r="R27" s="769" t="s">
        <v>21</v>
      </c>
      <c r="S27" s="770">
        <f t="shared" si="12"/>
        <v>100</v>
      </c>
      <c r="T27" s="769" t="s">
        <v>21</v>
      </c>
      <c r="U27" s="770">
        <f t="shared" si="13"/>
        <v>100</v>
      </c>
      <c r="V27" s="769" t="s">
        <v>21</v>
      </c>
      <c r="W27" s="770">
        <f t="shared" si="14"/>
        <v>100</v>
      </c>
      <c r="X27" s="771"/>
      <c r="Y27" s="325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54"/>
      <c r="Q28" s="1812">
        <f t="shared" si="11"/>
        <v>111</v>
      </c>
      <c r="R28" s="773" t="s">
        <v>21</v>
      </c>
      <c r="S28" s="774">
        <f t="shared" si="12"/>
        <v>100</v>
      </c>
      <c r="T28" s="773" t="s">
        <v>21</v>
      </c>
      <c r="U28" s="774">
        <f t="shared" si="13"/>
        <v>100</v>
      </c>
      <c r="V28" s="773" t="s">
        <v>21</v>
      </c>
      <c r="W28" s="774">
        <f t="shared" si="14"/>
        <v>100</v>
      </c>
      <c r="X28" s="1815"/>
      <c r="Y28" s="325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54"/>
      <c r="Q29" s="1812">
        <f t="shared" si="11"/>
        <v>111</v>
      </c>
      <c r="R29" s="773" t="s">
        <v>21</v>
      </c>
      <c r="S29" s="774">
        <f t="shared" si="12"/>
        <v>100</v>
      </c>
      <c r="T29" s="773" t="s">
        <v>21</v>
      </c>
      <c r="U29" s="774">
        <f t="shared" si="13"/>
        <v>100</v>
      </c>
      <c r="V29" s="773" t="s">
        <v>21</v>
      </c>
      <c r="W29" s="774">
        <f t="shared" si="14"/>
        <v>100</v>
      </c>
      <c r="X29" s="1815"/>
      <c r="Y29" s="325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54"/>
      <c r="Q30" s="1812">
        <f t="shared" si="11"/>
        <v>111</v>
      </c>
      <c r="R30" s="773" t="s">
        <v>21</v>
      </c>
      <c r="S30" s="774">
        <f t="shared" si="12"/>
        <v>100</v>
      </c>
      <c r="T30" s="773" t="s">
        <v>21</v>
      </c>
      <c r="U30" s="774">
        <f t="shared" si="13"/>
        <v>100</v>
      </c>
      <c r="V30" s="773" t="s">
        <v>21</v>
      </c>
      <c r="W30" s="774">
        <f t="shared" si="14"/>
        <v>100</v>
      </c>
      <c r="X30" s="1815"/>
      <c r="Y30" s="325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54"/>
      <c r="Q31" s="1812">
        <f t="shared" si="11"/>
        <v>111</v>
      </c>
      <c r="R31" s="773" t="s">
        <v>21</v>
      </c>
      <c r="S31" s="774">
        <f t="shared" si="12"/>
        <v>100</v>
      </c>
      <c r="T31" s="773" t="s">
        <v>21</v>
      </c>
      <c r="U31" s="774">
        <f t="shared" si="13"/>
        <v>100</v>
      </c>
      <c r="V31" s="773" t="s">
        <v>21</v>
      </c>
      <c r="W31" s="774">
        <f t="shared" si="14"/>
        <v>100</v>
      </c>
      <c r="X31" s="1815"/>
      <c r="Y31" s="3256"/>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57" t="s">
        <v>2563</v>
      </c>
      <c r="Q32" s="1812" t="str">
        <f t="shared" si="11"/>
        <v>建筑类型</v>
      </c>
      <c r="R32" s="773" t="s">
        <v>21</v>
      </c>
      <c r="S32" s="774">
        <f t="shared" si="12"/>
        <v>100</v>
      </c>
      <c r="T32" s="773" t="s">
        <v>21</v>
      </c>
      <c r="U32" s="774">
        <f t="shared" si="13"/>
        <v>100</v>
      </c>
      <c r="V32" s="773" t="s">
        <v>21</v>
      </c>
      <c r="W32" s="774">
        <f t="shared" si="14"/>
        <v>100</v>
      </c>
      <c r="X32" s="1815"/>
      <c r="Y32" s="3260"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58"/>
      <c r="Q33" s="775" t="str">
        <f t="shared" si="11"/>
        <v>项目建筑规模</v>
      </c>
      <c r="R33" s="776" t="s">
        <v>21</v>
      </c>
      <c r="S33" s="777" t="e">
        <f t="shared" si="12"/>
        <v>#N/A</v>
      </c>
      <c r="T33" s="776" t="s">
        <v>21</v>
      </c>
      <c r="U33" s="777" t="e">
        <f t="shared" si="13"/>
        <v>#N/A</v>
      </c>
      <c r="V33" s="776" t="s">
        <v>21</v>
      </c>
      <c r="W33" s="777" t="e">
        <f t="shared" si="14"/>
        <v>#N/A</v>
      </c>
      <c r="X33" s="778"/>
      <c r="Y33" s="3260"/>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58"/>
      <c r="Q34" s="1812" t="str">
        <f t="shared" si="11"/>
        <v>建筑结构</v>
      </c>
      <c r="R34" s="773" t="s">
        <v>21</v>
      </c>
      <c r="S34" s="774">
        <f t="shared" si="12"/>
        <v>100</v>
      </c>
      <c r="T34" s="773" t="s">
        <v>21</v>
      </c>
      <c r="U34" s="774">
        <f t="shared" si="13"/>
        <v>100</v>
      </c>
      <c r="V34" s="773" t="s">
        <v>21</v>
      </c>
      <c r="W34" s="774">
        <f t="shared" si="14"/>
        <v>100</v>
      </c>
      <c r="X34" s="1815"/>
      <c r="Y34" s="3260"/>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58"/>
      <c r="Q35" s="1812" t="str">
        <f t="shared" si="11"/>
        <v>建筑品质</v>
      </c>
      <c r="R35" s="773" t="s">
        <v>21</v>
      </c>
      <c r="S35" s="774">
        <f t="shared" si="12"/>
        <v>100</v>
      </c>
      <c r="T35" s="773" t="s">
        <v>21</v>
      </c>
      <c r="U35" s="774">
        <f t="shared" si="13"/>
        <v>100</v>
      </c>
      <c r="V35" s="773" t="s">
        <v>21</v>
      </c>
      <c r="W35" s="774">
        <f t="shared" si="14"/>
        <v>100</v>
      </c>
      <c r="X35" s="1815"/>
      <c r="Y35" s="3260"/>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58"/>
      <c r="Q36" s="1812" t="str">
        <f t="shared" si="11"/>
        <v>公共部分装修</v>
      </c>
      <c r="R36" s="773" t="s">
        <v>21</v>
      </c>
      <c r="S36" s="774">
        <f t="shared" si="12"/>
        <v>100</v>
      </c>
      <c r="T36" s="773" t="s">
        <v>21</v>
      </c>
      <c r="U36" s="774">
        <f t="shared" si="13"/>
        <v>100</v>
      </c>
      <c r="V36" s="773" t="s">
        <v>21</v>
      </c>
      <c r="W36" s="774">
        <f t="shared" si="14"/>
        <v>100</v>
      </c>
      <c r="X36" s="1815"/>
      <c r="Y36" s="3260"/>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8"/>
      <c r="Q37" s="1797" t="str">
        <f t="shared" si="11"/>
        <v>成新度</v>
      </c>
      <c r="R37" s="769" t="s">
        <v>21</v>
      </c>
      <c r="S37" s="770" t="e">
        <f t="shared" si="12"/>
        <v>#N/A</v>
      </c>
      <c r="T37" s="769" t="s">
        <v>21</v>
      </c>
      <c r="U37" s="770" t="e">
        <f t="shared" si="13"/>
        <v>#N/A</v>
      </c>
      <c r="V37" s="769" t="s">
        <v>21</v>
      </c>
      <c r="W37" s="770" t="e">
        <f t="shared" si="14"/>
        <v>#N/A</v>
      </c>
      <c r="X37" s="771"/>
      <c r="Y37" s="3260"/>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58" t="s">
        <v>2563</v>
      </c>
      <c r="Q38" s="1812" t="str">
        <f t="shared" si="11"/>
        <v>物业管理</v>
      </c>
      <c r="R38" s="773" t="s">
        <v>21</v>
      </c>
      <c r="S38" s="774">
        <f t="shared" si="12"/>
        <v>100</v>
      </c>
      <c r="T38" s="773" t="s">
        <v>21</v>
      </c>
      <c r="U38" s="774">
        <f t="shared" si="13"/>
        <v>100</v>
      </c>
      <c r="V38" s="773" t="s">
        <v>21</v>
      </c>
      <c r="W38" s="774">
        <f t="shared" si="14"/>
        <v>100</v>
      </c>
      <c r="X38" s="1815"/>
      <c r="Y38" s="3260"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58"/>
      <c r="Q39" s="1812" t="str">
        <f t="shared" si="11"/>
        <v>市政基础设施</v>
      </c>
      <c r="R39" s="773" t="s">
        <v>21</v>
      </c>
      <c r="S39" s="774">
        <f t="shared" si="12"/>
        <v>100</v>
      </c>
      <c r="T39" s="773" t="s">
        <v>21</v>
      </c>
      <c r="U39" s="774">
        <f t="shared" si="13"/>
        <v>100</v>
      </c>
      <c r="V39" s="773" t="s">
        <v>21</v>
      </c>
      <c r="W39" s="774">
        <f t="shared" si="14"/>
        <v>100</v>
      </c>
      <c r="X39" s="1815"/>
      <c r="Y39" s="3260"/>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58"/>
      <c r="Q40" s="1812" t="str">
        <f t="shared" si="11"/>
        <v>房型</v>
      </c>
      <c r="R40" s="773" t="s">
        <v>21</v>
      </c>
      <c r="S40" s="774">
        <f t="shared" si="12"/>
        <v>100</v>
      </c>
      <c r="T40" s="773" t="s">
        <v>21</v>
      </c>
      <c r="U40" s="774">
        <f t="shared" si="13"/>
        <v>100</v>
      </c>
      <c r="V40" s="773" t="s">
        <v>21</v>
      </c>
      <c r="W40" s="774">
        <f t="shared" si="14"/>
        <v>100</v>
      </c>
      <c r="X40" s="1815"/>
      <c r="Y40" s="3260"/>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58"/>
      <c r="Q41" s="775" t="str">
        <f t="shared" si="11"/>
        <v>单套/主力户型建筑面积</v>
      </c>
      <c r="R41" s="776" t="s">
        <v>21</v>
      </c>
      <c r="S41" s="777">
        <f t="shared" si="12"/>
        <v>100</v>
      </c>
      <c r="T41" s="776" t="s">
        <v>21</v>
      </c>
      <c r="U41" s="777">
        <f t="shared" si="13"/>
        <v>100</v>
      </c>
      <c r="V41" s="776" t="s">
        <v>21</v>
      </c>
      <c r="W41" s="777">
        <f t="shared" si="14"/>
        <v>100</v>
      </c>
      <c r="X41" s="778"/>
      <c r="Y41" s="3260"/>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58"/>
      <c r="Q42" s="1812" t="str">
        <f t="shared" si="11"/>
        <v>内部装修</v>
      </c>
      <c r="R42" s="773" t="s">
        <v>21</v>
      </c>
      <c r="S42" s="774">
        <f t="shared" si="12"/>
        <v>100</v>
      </c>
      <c r="T42" s="773" t="s">
        <v>21</v>
      </c>
      <c r="U42" s="774">
        <f t="shared" si="13"/>
        <v>100</v>
      </c>
      <c r="V42" s="773" t="s">
        <v>21</v>
      </c>
      <c r="W42" s="774">
        <f t="shared" si="14"/>
        <v>100</v>
      </c>
      <c r="X42" s="1815"/>
      <c r="Y42" s="3260"/>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58"/>
      <c r="Q43" s="1812" t="str">
        <f t="shared" si="11"/>
        <v>内部装修维护情况</v>
      </c>
      <c r="R43" s="773" t="s">
        <v>21</v>
      </c>
      <c r="S43" s="774">
        <f t="shared" si="12"/>
        <v>100</v>
      </c>
      <c r="T43" s="773" t="s">
        <v>21</v>
      </c>
      <c r="U43" s="774">
        <f t="shared" si="13"/>
        <v>100</v>
      </c>
      <c r="V43" s="773" t="s">
        <v>21</v>
      </c>
      <c r="W43" s="774">
        <f t="shared" si="14"/>
        <v>100</v>
      </c>
      <c r="X43" s="1815"/>
      <c r="Y43" s="326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58"/>
      <c r="Q44" s="1797">
        <f t="shared" si="11"/>
        <v>111</v>
      </c>
      <c r="R44" s="769" t="s">
        <v>21</v>
      </c>
      <c r="S44" s="770">
        <f t="shared" si="12"/>
        <v>100</v>
      </c>
      <c r="T44" s="769" t="s">
        <v>21</v>
      </c>
      <c r="U44" s="770">
        <f t="shared" si="13"/>
        <v>100</v>
      </c>
      <c r="V44" s="769" t="s">
        <v>21</v>
      </c>
      <c r="W44" s="770">
        <f t="shared" si="14"/>
        <v>100</v>
      </c>
      <c r="X44" s="771"/>
      <c r="Y44" s="3260"/>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58"/>
      <c r="Q45" s="1812">
        <f t="shared" si="11"/>
        <v>111</v>
      </c>
      <c r="R45" s="773" t="s">
        <v>21</v>
      </c>
      <c r="S45" s="774">
        <f t="shared" si="12"/>
        <v>100</v>
      </c>
      <c r="T45" s="773" t="s">
        <v>21</v>
      </c>
      <c r="U45" s="774">
        <f t="shared" si="13"/>
        <v>100</v>
      </c>
      <c r="V45" s="773" t="s">
        <v>21</v>
      </c>
      <c r="W45" s="774">
        <f t="shared" si="14"/>
        <v>100</v>
      </c>
      <c r="X45" s="1815"/>
      <c r="Y45" s="3260"/>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59"/>
      <c r="Q46" s="1812">
        <f t="shared" si="11"/>
        <v>111</v>
      </c>
      <c r="R46" s="773" t="s">
        <v>20</v>
      </c>
      <c r="S46" s="774">
        <f t="shared" si="12"/>
        <v>100</v>
      </c>
      <c r="T46" s="773" t="s">
        <v>20</v>
      </c>
      <c r="U46" s="774">
        <f t="shared" si="13"/>
        <v>100</v>
      </c>
      <c r="V46" s="773" t="s">
        <v>20</v>
      </c>
      <c r="W46" s="774">
        <f t="shared" si="14"/>
        <v>100</v>
      </c>
      <c r="X46" s="1815"/>
      <c r="Y46" s="3261"/>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62" t="str">
        <f>A47</f>
        <v>成交单价（元/平方米）</v>
      </c>
      <c r="Q47" s="3262"/>
      <c r="R47" s="3263">
        <f>E47</f>
        <v>0</v>
      </c>
      <c r="S47" s="3263"/>
      <c r="T47" s="3263">
        <f>G47</f>
        <v>0</v>
      </c>
      <c r="U47" s="3263"/>
      <c r="V47" s="3263">
        <f>I47</f>
        <v>0</v>
      </c>
      <c r="W47" s="3263"/>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62" t="str">
        <f>A48</f>
        <v>比较价值（元/平方米）</v>
      </c>
      <c r="Q48" s="3262"/>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64" t="str">
        <f>A49</f>
        <v>估价对象XX用房的比较价值（楼面单价，元/平方米）</v>
      </c>
      <c r="Q49" s="3265"/>
      <c r="R49" s="3266" t="e">
        <f>IF(F1="售价",ROUND(AVERAGE(R48:V48),0),ROUND(AVERAGE(R48:V48),1))</f>
        <v>#DIV/0!</v>
      </c>
      <c r="S49" s="3266"/>
      <c r="T49" s="3266"/>
      <c r="U49" s="3266"/>
      <c r="V49" s="3266"/>
      <c r="W49" s="326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10648.409999999993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303" t="s">
        <v>2649</v>
      </c>
      <c r="Q4" s="3304"/>
      <c r="R4" s="3298" t="s">
        <v>2645</v>
      </c>
      <c r="S4" s="3299"/>
      <c r="T4" s="3298" t="s">
        <v>2646</v>
      </c>
      <c r="U4" s="3299"/>
      <c r="V4" s="3307" t="s">
        <v>2647</v>
      </c>
      <c r="W4" s="3307"/>
      <c r="X4" s="2670"/>
      <c r="Y4" s="3298" t="s">
        <v>2649</v>
      </c>
      <c r="Z4" s="3299"/>
      <c r="AA4" s="3297" t="s">
        <v>2645</v>
      </c>
      <c r="AB4" s="3297" t="s">
        <v>2646</v>
      </c>
      <c r="AC4" s="3300" t="s">
        <v>2647</v>
      </c>
    </row>
    <row r="5" spans="1:29" ht="15">
      <c r="A5" s="404"/>
      <c r="B5" s="405"/>
      <c r="C5" s="3295" t="s">
        <v>2540</v>
      </c>
      <c r="D5" s="3233"/>
      <c r="E5" s="3294" t="s">
        <v>2541</v>
      </c>
      <c r="F5" s="3231"/>
      <c r="G5" s="3295" t="s">
        <v>2542</v>
      </c>
      <c r="H5" s="3233"/>
      <c r="I5" s="3295" t="s">
        <v>2543</v>
      </c>
      <c r="J5" s="3233"/>
      <c r="K5" s="610"/>
      <c r="L5" s="1132"/>
      <c r="M5" s="1133"/>
      <c r="N5" s="1133"/>
      <c r="O5" s="1133"/>
      <c r="P5" s="3305"/>
      <c r="Q5" s="3247"/>
      <c r="R5" s="3228"/>
      <c r="S5" s="3229"/>
      <c r="T5" s="3228"/>
      <c r="U5" s="3229"/>
      <c r="V5" s="3223"/>
      <c r="W5" s="3223"/>
      <c r="X5" s="1815"/>
      <c r="Y5" s="3228"/>
      <c r="Z5" s="3229"/>
      <c r="AA5" s="3221"/>
      <c r="AB5" s="3221"/>
      <c r="AC5" s="3301"/>
    </row>
    <row r="6" spans="1:29" ht="15.75" thickBot="1">
      <c r="A6" s="406"/>
      <c r="B6" s="407"/>
      <c r="C6" s="3234" t="s">
        <v>2544</v>
      </c>
      <c r="D6" s="3235"/>
      <c r="E6" s="3296" t="s">
        <v>2544</v>
      </c>
      <c r="F6" s="3237"/>
      <c r="G6" s="3234" t="s">
        <v>2544</v>
      </c>
      <c r="H6" s="3235"/>
      <c r="I6" s="3234" t="s">
        <v>2544</v>
      </c>
      <c r="J6" s="3235"/>
      <c r="K6" s="610" t="s">
        <v>2545</v>
      </c>
      <c r="L6" s="1132"/>
      <c r="M6" s="1133"/>
      <c r="N6" s="1133"/>
      <c r="O6" s="1133"/>
      <c r="P6" s="3306"/>
      <c r="Q6" s="3249"/>
      <c r="R6" s="3228"/>
      <c r="S6" s="3229"/>
      <c r="T6" s="3250"/>
      <c r="U6" s="3251"/>
      <c r="V6" s="3223"/>
      <c r="W6" s="3223"/>
      <c r="X6" s="1815"/>
      <c r="Y6" s="3250"/>
      <c r="Z6" s="3251"/>
      <c r="AA6" s="3222"/>
      <c r="AB6" s="3222"/>
      <c r="AC6" s="3302"/>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8" t="s">
        <v>2547</v>
      </c>
      <c r="Q7" s="3252"/>
      <c r="R7" s="769" t="s">
        <v>17</v>
      </c>
      <c r="S7" s="770">
        <f t="shared" ref="S7:S15" si="0">F7</f>
        <v>0</v>
      </c>
      <c r="T7" s="769" t="s">
        <v>17</v>
      </c>
      <c r="U7" s="770">
        <f t="shared" ref="U7:U15" si="1">H7</f>
        <v>0</v>
      </c>
      <c r="V7" s="769" t="s">
        <v>17</v>
      </c>
      <c r="W7" s="770">
        <f t="shared" ref="W7:W15" si="2">J7</f>
        <v>0</v>
      </c>
      <c r="X7" s="771"/>
      <c r="Y7" s="3224" t="s">
        <v>2547</v>
      </c>
      <c r="Z7" s="3225"/>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8" t="s">
        <v>2550</v>
      </c>
      <c r="Q8" s="3225"/>
      <c r="R8" s="769" t="s">
        <v>17</v>
      </c>
      <c r="S8" s="770">
        <f t="shared" si="0"/>
        <v>0</v>
      </c>
      <c r="T8" s="769" t="s">
        <v>17</v>
      </c>
      <c r="U8" s="770">
        <f t="shared" si="1"/>
        <v>0</v>
      </c>
      <c r="V8" s="769" t="s">
        <v>17</v>
      </c>
      <c r="W8" s="770">
        <f t="shared" si="2"/>
        <v>0</v>
      </c>
      <c r="X8" s="771"/>
      <c r="Y8" s="3224" t="s">
        <v>2550</v>
      </c>
      <c r="Z8" s="3225"/>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9"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9"/>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9"/>
      <c r="Q11" s="1797"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9"/>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9"/>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9"/>
      <c r="Q14" s="1797">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3" t="s">
        <v>2558</v>
      </c>
      <c r="Q15" s="1812" t="str">
        <f t="shared" si="6"/>
        <v>办公集聚程度</v>
      </c>
      <c r="R15" s="773" t="s">
        <v>17</v>
      </c>
      <c r="S15" s="774">
        <f t="shared" si="0"/>
        <v>100</v>
      </c>
      <c r="T15" s="773" t="s">
        <v>17</v>
      </c>
      <c r="U15" s="774">
        <f t="shared" si="1"/>
        <v>100</v>
      </c>
      <c r="V15" s="773" t="s">
        <v>17</v>
      </c>
      <c r="W15" s="774">
        <f t="shared" si="2"/>
        <v>100</v>
      </c>
      <c r="X15" s="1815"/>
      <c r="Y15" s="3255"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54"/>
      <c r="Q16" s="1812"/>
      <c r="R16" s="773"/>
      <c r="S16" s="774"/>
      <c r="T16" s="773"/>
      <c r="U16" s="774"/>
      <c r="V16" s="773"/>
      <c r="W16" s="774"/>
      <c r="X16" s="1815"/>
      <c r="Y16" s="3256"/>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4"/>
      <c r="Q17" s="1812" t="str">
        <f>B17</f>
        <v>交通便捷度</v>
      </c>
      <c r="R17" s="773" t="s">
        <v>17</v>
      </c>
      <c r="S17" s="774">
        <f>F17</f>
        <v>100</v>
      </c>
      <c r="T17" s="773" t="s">
        <v>17</v>
      </c>
      <c r="U17" s="774">
        <f>H17</f>
        <v>100</v>
      </c>
      <c r="V17" s="773" t="s">
        <v>17</v>
      </c>
      <c r="W17" s="774">
        <f>J17</f>
        <v>100</v>
      </c>
      <c r="X17" s="1815"/>
      <c r="Y17" s="3256"/>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54"/>
      <c r="Q18" s="1812"/>
      <c r="R18" s="773"/>
      <c r="S18" s="774"/>
      <c r="T18" s="773"/>
      <c r="U18" s="774"/>
      <c r="V18" s="773"/>
      <c r="W18" s="774"/>
      <c r="X18" s="1815"/>
      <c r="Y18" s="3256"/>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4"/>
      <c r="Q19" s="1812" t="str">
        <f>B19</f>
        <v>公共配套设施</v>
      </c>
      <c r="R19" s="773" t="s">
        <v>17</v>
      </c>
      <c r="S19" s="774">
        <f>F19</f>
        <v>100</v>
      </c>
      <c r="T19" s="773" t="s">
        <v>17</v>
      </c>
      <c r="U19" s="774">
        <f>H19</f>
        <v>100</v>
      </c>
      <c r="V19" s="773" t="s">
        <v>17</v>
      </c>
      <c r="W19" s="774">
        <f>J19</f>
        <v>100</v>
      </c>
      <c r="X19" s="1815"/>
      <c r="Y19" s="3256"/>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54"/>
      <c r="Q20" s="1812"/>
      <c r="R20" s="773"/>
      <c r="S20" s="774"/>
      <c r="T20" s="773"/>
      <c r="U20" s="774"/>
      <c r="V20" s="773"/>
      <c r="W20" s="774"/>
      <c r="X20" s="1815"/>
      <c r="Y20" s="3256"/>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4"/>
      <c r="Q21" s="1812" t="str">
        <f>B21</f>
        <v>基础设施水平</v>
      </c>
      <c r="R21" s="773" t="s">
        <v>17</v>
      </c>
      <c r="S21" s="774">
        <f>F21</f>
        <v>100</v>
      </c>
      <c r="T21" s="773" t="s">
        <v>17</v>
      </c>
      <c r="U21" s="774">
        <f>H21</f>
        <v>100</v>
      </c>
      <c r="V21" s="773" t="s">
        <v>17</v>
      </c>
      <c r="W21" s="774">
        <f>J21</f>
        <v>100</v>
      </c>
      <c r="X21" s="1815"/>
      <c r="Y21" s="3256"/>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54"/>
      <c r="Q22" s="1812"/>
      <c r="R22" s="773"/>
      <c r="S22" s="774"/>
      <c r="T22" s="773"/>
      <c r="U22" s="774"/>
      <c r="V22" s="773"/>
      <c r="W22" s="774"/>
      <c r="X22" s="1815"/>
      <c r="Y22" s="3256"/>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4"/>
      <c r="Q23" s="1812" t="str">
        <f>B23</f>
        <v>环境质量</v>
      </c>
      <c r="R23" s="773" t="s">
        <v>17</v>
      </c>
      <c r="S23" s="774">
        <f>F23</f>
        <v>100</v>
      </c>
      <c r="T23" s="773" t="s">
        <v>17</v>
      </c>
      <c r="U23" s="774">
        <f>H23</f>
        <v>100</v>
      </c>
      <c r="V23" s="773" t="s">
        <v>17</v>
      </c>
      <c r="W23" s="774">
        <f>J23</f>
        <v>100</v>
      </c>
      <c r="X23" s="1815"/>
      <c r="Y23" s="3256"/>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54"/>
      <c r="Q24" s="1812"/>
      <c r="R24" s="773"/>
      <c r="S24" s="774"/>
      <c r="T24" s="773"/>
      <c r="U24" s="774"/>
      <c r="V24" s="773"/>
      <c r="W24" s="774"/>
      <c r="X24" s="1815"/>
      <c r="Y24" s="3256"/>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54"/>
      <c r="Q25" s="1812" t="str">
        <f>B25</f>
        <v>毗邻道路的类型与等级</v>
      </c>
      <c r="R25" s="773" t="s">
        <v>17</v>
      </c>
      <c r="S25" s="774">
        <f>F25</f>
        <v>100</v>
      </c>
      <c r="T25" s="773" t="s">
        <v>17</v>
      </c>
      <c r="U25" s="774">
        <f>H25</f>
        <v>100</v>
      </c>
      <c r="V25" s="773" t="s">
        <v>17</v>
      </c>
      <c r="W25" s="774">
        <f>J25</f>
        <v>100</v>
      </c>
      <c r="X25" s="1815"/>
      <c r="Y25" s="3256"/>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54"/>
      <c r="Q26" s="1812"/>
      <c r="R26" s="773"/>
      <c r="S26" s="774"/>
      <c r="T26" s="773"/>
      <c r="U26" s="774"/>
      <c r="V26" s="773"/>
      <c r="W26" s="774"/>
      <c r="X26" s="1815"/>
      <c r="Y26" s="3256"/>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54"/>
      <c r="Q27" s="1812" t="str">
        <f t="shared" ref="Q27:Q47" si="11">B27</f>
        <v>楼层</v>
      </c>
      <c r="R27" s="773" t="s">
        <v>17</v>
      </c>
      <c r="S27" s="774">
        <f>F27</f>
        <v>100</v>
      </c>
      <c r="T27" s="773" t="s">
        <v>17</v>
      </c>
      <c r="U27" s="774">
        <f>H27</f>
        <v>100</v>
      </c>
      <c r="V27" s="773" t="s">
        <v>17</v>
      </c>
      <c r="W27" s="774">
        <f>J27</f>
        <v>100</v>
      </c>
      <c r="X27" s="1815"/>
      <c r="Y27" s="3256"/>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54"/>
      <c r="Q28" s="1797" t="str">
        <f t="shared" si="11"/>
        <v>朝向</v>
      </c>
      <c r="R28" s="769" t="s">
        <v>17</v>
      </c>
      <c r="S28" s="770">
        <f>F28</f>
        <v>100</v>
      </c>
      <c r="T28" s="769" t="s">
        <v>17</v>
      </c>
      <c r="U28" s="770">
        <f>H28</f>
        <v>100</v>
      </c>
      <c r="V28" s="769" t="s">
        <v>17</v>
      </c>
      <c r="W28" s="770">
        <f>J28</f>
        <v>100</v>
      </c>
      <c r="X28" s="771"/>
      <c r="Y28" s="3256"/>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54"/>
      <c r="Q29" s="1812">
        <f t="shared" si="11"/>
        <v>111</v>
      </c>
      <c r="R29" s="773" t="s">
        <v>17</v>
      </c>
      <c r="S29" s="774">
        <f t="shared" ref="S29:S47" si="12">F29</f>
        <v>100</v>
      </c>
      <c r="T29" s="773" t="s">
        <v>17</v>
      </c>
      <c r="U29" s="774">
        <f t="shared" ref="U29:U47" si="13">H29</f>
        <v>100</v>
      </c>
      <c r="V29" s="773" t="s">
        <v>17</v>
      </c>
      <c r="W29" s="774">
        <f t="shared" ref="W29:W47" si="14">J29</f>
        <v>100</v>
      </c>
      <c r="X29" s="1815"/>
      <c r="Y29" s="3256"/>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54"/>
      <c r="Q30" s="1812">
        <f t="shared" si="11"/>
        <v>111</v>
      </c>
      <c r="R30" s="773" t="s">
        <v>17</v>
      </c>
      <c r="S30" s="774">
        <f t="shared" si="12"/>
        <v>100</v>
      </c>
      <c r="T30" s="773" t="s">
        <v>17</v>
      </c>
      <c r="U30" s="774">
        <f t="shared" si="13"/>
        <v>100</v>
      </c>
      <c r="V30" s="773" t="s">
        <v>17</v>
      </c>
      <c r="W30" s="774">
        <f t="shared" si="14"/>
        <v>100</v>
      </c>
      <c r="X30" s="1815"/>
      <c r="Y30" s="3256"/>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54"/>
      <c r="Q31" s="1812">
        <f t="shared" si="11"/>
        <v>111</v>
      </c>
      <c r="R31" s="773" t="s">
        <v>17</v>
      </c>
      <c r="S31" s="774">
        <f t="shared" si="12"/>
        <v>100</v>
      </c>
      <c r="T31" s="773" t="s">
        <v>17</v>
      </c>
      <c r="U31" s="774">
        <f t="shared" si="13"/>
        <v>100</v>
      </c>
      <c r="V31" s="773" t="s">
        <v>17</v>
      </c>
      <c r="W31" s="774">
        <f t="shared" si="14"/>
        <v>100</v>
      </c>
      <c r="X31" s="1815"/>
      <c r="Y31" s="3256"/>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54"/>
      <c r="Q32" s="1812">
        <f t="shared" si="11"/>
        <v>111</v>
      </c>
      <c r="R32" s="773" t="s">
        <v>17</v>
      </c>
      <c r="S32" s="774">
        <f t="shared" si="12"/>
        <v>100</v>
      </c>
      <c r="T32" s="773" t="s">
        <v>17</v>
      </c>
      <c r="U32" s="774">
        <f t="shared" si="13"/>
        <v>100</v>
      </c>
      <c r="V32" s="773" t="s">
        <v>17</v>
      </c>
      <c r="W32" s="774">
        <f t="shared" si="14"/>
        <v>100</v>
      </c>
      <c r="X32" s="1815"/>
      <c r="Y32" s="3256"/>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57" t="s">
        <v>2563</v>
      </c>
      <c r="Q33" s="1812" t="str">
        <f t="shared" si="11"/>
        <v>建筑类型</v>
      </c>
      <c r="R33" s="773" t="s">
        <v>17</v>
      </c>
      <c r="S33" s="774">
        <f t="shared" si="12"/>
        <v>100</v>
      </c>
      <c r="T33" s="773" t="s">
        <v>17</v>
      </c>
      <c r="U33" s="774">
        <f t="shared" si="13"/>
        <v>100</v>
      </c>
      <c r="V33" s="773" t="s">
        <v>17</v>
      </c>
      <c r="W33" s="774">
        <f t="shared" si="14"/>
        <v>100</v>
      </c>
      <c r="X33" s="1815"/>
      <c r="Y33" s="3260"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8"/>
      <c r="Q34" s="775" t="str">
        <f t="shared" si="11"/>
        <v>项目建筑规模</v>
      </c>
      <c r="R34" s="776" t="s">
        <v>17</v>
      </c>
      <c r="S34" s="777" t="e">
        <f t="shared" si="12"/>
        <v>#N/A</v>
      </c>
      <c r="T34" s="776" t="s">
        <v>17</v>
      </c>
      <c r="U34" s="777" t="e">
        <f t="shared" si="13"/>
        <v>#N/A</v>
      </c>
      <c r="V34" s="776" t="s">
        <v>17</v>
      </c>
      <c r="W34" s="777" t="e">
        <f t="shared" si="14"/>
        <v>#N/A</v>
      </c>
      <c r="X34" s="778"/>
      <c r="Y34" s="3260"/>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8"/>
      <c r="Q35" s="1812" t="str">
        <f t="shared" si="11"/>
        <v>建筑结构</v>
      </c>
      <c r="R35" s="773" t="s">
        <v>17</v>
      </c>
      <c r="S35" s="774">
        <f t="shared" si="12"/>
        <v>100</v>
      </c>
      <c r="T35" s="773" t="s">
        <v>17</v>
      </c>
      <c r="U35" s="774">
        <f t="shared" si="13"/>
        <v>100</v>
      </c>
      <c r="V35" s="773" t="s">
        <v>17</v>
      </c>
      <c r="W35" s="774">
        <f t="shared" si="14"/>
        <v>100</v>
      </c>
      <c r="X35" s="1815"/>
      <c r="Y35" s="3260"/>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8"/>
      <c r="Q36" s="1812" t="str">
        <f t="shared" si="11"/>
        <v>公共部分装修</v>
      </c>
      <c r="R36" s="773" t="s">
        <v>17</v>
      </c>
      <c r="S36" s="774">
        <f t="shared" si="12"/>
        <v>100</v>
      </c>
      <c r="T36" s="773" t="s">
        <v>17</v>
      </c>
      <c r="U36" s="774">
        <f t="shared" si="13"/>
        <v>100</v>
      </c>
      <c r="V36" s="773" t="s">
        <v>17</v>
      </c>
      <c r="W36" s="774">
        <f t="shared" si="14"/>
        <v>100</v>
      </c>
      <c r="X36" s="1815"/>
      <c r="Y36" s="3260"/>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8"/>
      <c r="Q37" s="1812" t="str">
        <f t="shared" si="11"/>
        <v>成新度</v>
      </c>
      <c r="R37" s="773" t="s">
        <v>17</v>
      </c>
      <c r="S37" s="774" t="e">
        <f t="shared" si="12"/>
        <v>#N/A</v>
      </c>
      <c r="T37" s="773" t="s">
        <v>17</v>
      </c>
      <c r="U37" s="774" t="e">
        <f t="shared" si="13"/>
        <v>#N/A</v>
      </c>
      <c r="V37" s="773" t="s">
        <v>17</v>
      </c>
      <c r="W37" s="774" t="e">
        <f t="shared" si="14"/>
        <v>#N/A</v>
      </c>
      <c r="X37" s="1815"/>
      <c r="Y37" s="3260"/>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8"/>
      <c r="Q38" s="1797" t="str">
        <f t="shared" si="11"/>
        <v>写字楼等级</v>
      </c>
      <c r="R38" s="769" t="s">
        <v>17</v>
      </c>
      <c r="S38" s="770">
        <f t="shared" si="12"/>
        <v>100</v>
      </c>
      <c r="T38" s="769" t="s">
        <v>17</v>
      </c>
      <c r="U38" s="770">
        <f t="shared" si="13"/>
        <v>100</v>
      </c>
      <c r="V38" s="769" t="s">
        <v>17</v>
      </c>
      <c r="W38" s="770">
        <f t="shared" si="14"/>
        <v>100</v>
      </c>
      <c r="X38" s="771"/>
      <c r="Y38" s="3260"/>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8" t="s">
        <v>2563</v>
      </c>
      <c r="Q39" s="1812" t="str">
        <f t="shared" si="11"/>
        <v>物业管理</v>
      </c>
      <c r="R39" s="773" t="s">
        <v>17</v>
      </c>
      <c r="S39" s="774">
        <f t="shared" si="12"/>
        <v>100</v>
      </c>
      <c r="T39" s="773" t="s">
        <v>17</v>
      </c>
      <c r="U39" s="774">
        <f t="shared" si="13"/>
        <v>100</v>
      </c>
      <c r="V39" s="773" t="s">
        <v>17</v>
      </c>
      <c r="W39" s="774">
        <f t="shared" si="14"/>
        <v>100</v>
      </c>
      <c r="X39" s="1815"/>
      <c r="Y39" s="3260"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8"/>
      <c r="Q40" s="1812" t="str">
        <f t="shared" si="11"/>
        <v>市政基础设施</v>
      </c>
      <c r="R40" s="773" t="s">
        <v>17</v>
      </c>
      <c r="S40" s="774">
        <f t="shared" si="12"/>
        <v>100</v>
      </c>
      <c r="T40" s="773" t="s">
        <v>17</v>
      </c>
      <c r="U40" s="774">
        <f t="shared" si="13"/>
        <v>100</v>
      </c>
      <c r="V40" s="773" t="s">
        <v>17</v>
      </c>
      <c r="W40" s="774">
        <f t="shared" si="14"/>
        <v>100</v>
      </c>
      <c r="X40" s="1815"/>
      <c r="Y40" s="3260"/>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8"/>
      <c r="Q41" s="1812" t="str">
        <f t="shared" si="11"/>
        <v>层高</v>
      </c>
      <c r="R41" s="773" t="s">
        <v>17</v>
      </c>
      <c r="S41" s="774">
        <f t="shared" si="12"/>
        <v>100</v>
      </c>
      <c r="T41" s="773" t="s">
        <v>17</v>
      </c>
      <c r="U41" s="774">
        <f t="shared" si="13"/>
        <v>100</v>
      </c>
      <c r="V41" s="773" t="s">
        <v>17</v>
      </c>
      <c r="W41" s="774">
        <f t="shared" si="14"/>
        <v>100</v>
      </c>
      <c r="X41" s="1815"/>
      <c r="Y41" s="3260"/>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8"/>
      <c r="Q42" s="775" t="str">
        <f t="shared" si="11"/>
        <v>单套建筑面积</v>
      </c>
      <c r="R42" s="776" t="s">
        <v>17</v>
      </c>
      <c r="S42" s="777">
        <f t="shared" si="12"/>
        <v>100</v>
      </c>
      <c r="T42" s="776" t="s">
        <v>17</v>
      </c>
      <c r="U42" s="777">
        <f t="shared" si="13"/>
        <v>100</v>
      </c>
      <c r="V42" s="776" t="s">
        <v>17</v>
      </c>
      <c r="W42" s="777">
        <f t="shared" si="14"/>
        <v>100</v>
      </c>
      <c r="X42" s="778"/>
      <c r="Y42" s="3260"/>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8"/>
      <c r="Q43" s="1812" t="str">
        <f t="shared" si="11"/>
        <v>内部装修</v>
      </c>
      <c r="R43" s="773" t="s">
        <v>17</v>
      </c>
      <c r="S43" s="774">
        <f t="shared" si="12"/>
        <v>100</v>
      </c>
      <c r="T43" s="773" t="s">
        <v>17</v>
      </c>
      <c r="U43" s="774">
        <f t="shared" si="13"/>
        <v>100</v>
      </c>
      <c r="V43" s="773" t="s">
        <v>17</v>
      </c>
      <c r="W43" s="774">
        <f t="shared" si="14"/>
        <v>100</v>
      </c>
      <c r="X43" s="1815"/>
      <c r="Y43" s="3260"/>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58"/>
      <c r="Q44" s="1812" t="str">
        <f t="shared" si="11"/>
        <v>内部装修维护情况</v>
      </c>
      <c r="R44" s="773" t="s">
        <v>17</v>
      </c>
      <c r="S44" s="774">
        <f t="shared" si="12"/>
        <v>100</v>
      </c>
      <c r="T44" s="773" t="s">
        <v>17</v>
      </c>
      <c r="U44" s="774">
        <f t="shared" si="13"/>
        <v>100</v>
      </c>
      <c r="V44" s="773" t="s">
        <v>17</v>
      </c>
      <c r="W44" s="774">
        <f t="shared" si="14"/>
        <v>100</v>
      </c>
      <c r="X44" s="1815"/>
      <c r="Y44" s="3260"/>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8"/>
      <c r="Q45" s="1797">
        <f t="shared" si="11"/>
        <v>111</v>
      </c>
      <c r="R45" s="769" t="s">
        <v>17</v>
      </c>
      <c r="S45" s="770">
        <f t="shared" si="12"/>
        <v>100</v>
      </c>
      <c r="T45" s="769" t="s">
        <v>17</v>
      </c>
      <c r="U45" s="770">
        <f t="shared" si="13"/>
        <v>100</v>
      </c>
      <c r="V45" s="769" t="s">
        <v>17</v>
      </c>
      <c r="W45" s="770">
        <f t="shared" si="14"/>
        <v>100</v>
      </c>
      <c r="X45" s="771"/>
      <c r="Y45" s="3260"/>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8"/>
      <c r="Q46" s="1812">
        <f t="shared" si="11"/>
        <v>111</v>
      </c>
      <c r="R46" s="773" t="s">
        <v>17</v>
      </c>
      <c r="S46" s="774">
        <f t="shared" si="12"/>
        <v>100</v>
      </c>
      <c r="T46" s="773" t="s">
        <v>17</v>
      </c>
      <c r="U46" s="774">
        <f t="shared" si="13"/>
        <v>100</v>
      </c>
      <c r="V46" s="773" t="s">
        <v>17</v>
      </c>
      <c r="W46" s="774">
        <f t="shared" si="14"/>
        <v>100</v>
      </c>
      <c r="X46" s="1815"/>
      <c r="Y46" s="3260"/>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9"/>
      <c r="Q47" s="1812">
        <f t="shared" si="11"/>
        <v>111</v>
      </c>
      <c r="R47" s="773" t="s">
        <v>17</v>
      </c>
      <c r="S47" s="774">
        <f t="shared" si="12"/>
        <v>100</v>
      </c>
      <c r="T47" s="773" t="s">
        <v>17</v>
      </c>
      <c r="U47" s="774">
        <f t="shared" si="13"/>
        <v>100</v>
      </c>
      <c r="V47" s="773" t="s">
        <v>17</v>
      </c>
      <c r="W47" s="774">
        <f t="shared" si="14"/>
        <v>100</v>
      </c>
      <c r="X47" s="1815"/>
      <c r="Y47" s="3261"/>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9" t="str">
        <f>A48</f>
        <v>成交单价（元/平方米）</v>
      </c>
      <c r="Q48" s="3262"/>
      <c r="R48" s="3263">
        <f>E48</f>
        <v>0</v>
      </c>
      <c r="S48" s="3263"/>
      <c r="T48" s="3263">
        <f>G48</f>
        <v>0</v>
      </c>
      <c r="U48" s="3263"/>
      <c r="V48" s="3263">
        <f>I48</f>
        <v>0</v>
      </c>
      <c r="W48" s="3263"/>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9" t="str">
        <f>A49</f>
        <v>比较价值（元/平方米）</v>
      </c>
      <c r="Q49" s="3262"/>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09" t="str">
        <f>A50</f>
        <v>估价对象XX用房的比较价值（楼面单价，元/平方米）</v>
      </c>
      <c r="Q50" s="3310"/>
      <c r="R50" s="3311" t="e">
        <f>IF(F1="售价",ROUND(AVERAGE(R49:V49),0),ROUND(AVERAGE(R49:V49),1))</f>
        <v>#DIV/0!</v>
      </c>
      <c r="S50" s="3311"/>
      <c r="T50" s="3311"/>
      <c r="U50" s="3311"/>
      <c r="V50" s="3311"/>
      <c r="W50" s="3311"/>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10648.409999999993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1" t="s">
        <v>2646</v>
      </c>
      <c r="AC4" s="3220" t="s">
        <v>2647</v>
      </c>
    </row>
    <row r="5" spans="1:29" ht="15">
      <c r="A5" s="404"/>
      <c r="B5" s="405"/>
      <c r="C5" s="3295" t="s">
        <v>2540</v>
      </c>
      <c r="D5" s="3233"/>
      <c r="E5" s="3294" t="s">
        <v>2541</v>
      </c>
      <c r="F5" s="3231"/>
      <c r="G5" s="3295" t="s">
        <v>2542</v>
      </c>
      <c r="H5" s="3233"/>
      <c r="I5" s="3295" t="s">
        <v>2543</v>
      </c>
      <c r="J5" s="3233"/>
      <c r="K5" s="610"/>
      <c r="L5" s="1132"/>
      <c r="M5" s="1133"/>
      <c r="N5" s="1133"/>
      <c r="O5" s="1133"/>
      <c r="P5" s="3246"/>
      <c r="Q5" s="3247"/>
      <c r="R5" s="3228"/>
      <c r="S5" s="3229"/>
      <c r="T5" s="3228"/>
      <c r="U5" s="3229"/>
      <c r="V5" s="3223"/>
      <c r="W5" s="3223"/>
      <c r="X5" s="1815"/>
      <c r="Y5" s="3228"/>
      <c r="Z5" s="3229"/>
      <c r="AA5" s="3221"/>
      <c r="AB5" s="3221"/>
      <c r="AC5" s="3221"/>
    </row>
    <row r="6" spans="1:29" ht="15.75" thickBot="1">
      <c r="A6" s="406"/>
      <c r="B6" s="407"/>
      <c r="C6" s="3234" t="s">
        <v>2544</v>
      </c>
      <c r="D6" s="3235"/>
      <c r="E6" s="3296" t="s">
        <v>2544</v>
      </c>
      <c r="F6" s="3237"/>
      <c r="G6" s="3234" t="s">
        <v>2544</v>
      </c>
      <c r="H6" s="3235"/>
      <c r="I6" s="3234" t="s">
        <v>2544</v>
      </c>
      <c r="J6" s="3235"/>
      <c r="K6" s="610" t="s">
        <v>2545</v>
      </c>
      <c r="L6" s="1132"/>
      <c r="M6" s="1133"/>
      <c r="N6" s="1133"/>
      <c r="O6" s="1133"/>
      <c r="P6" s="3248"/>
      <c r="Q6" s="3249"/>
      <c r="R6" s="3228"/>
      <c r="S6" s="3229"/>
      <c r="T6" s="3250"/>
      <c r="U6" s="3251"/>
      <c r="V6" s="3223"/>
      <c r="W6" s="3223"/>
      <c r="X6" s="1815"/>
      <c r="Y6" s="3250"/>
      <c r="Z6" s="3251"/>
      <c r="AA6" s="3222"/>
      <c r="AB6" s="3222"/>
      <c r="AC6" s="3222"/>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4" t="s">
        <v>2547</v>
      </c>
      <c r="Q7" s="3252"/>
      <c r="R7" s="769" t="s">
        <v>17</v>
      </c>
      <c r="S7" s="770">
        <f t="shared" ref="S7:S15" si="0">F7</f>
        <v>0</v>
      </c>
      <c r="T7" s="769" t="s">
        <v>17</v>
      </c>
      <c r="U7" s="770">
        <f t="shared" ref="U7:U15" si="1">H7</f>
        <v>0</v>
      </c>
      <c r="V7" s="769" t="s">
        <v>17</v>
      </c>
      <c r="W7" s="770">
        <f t="shared" ref="W7:W15" si="2">J7</f>
        <v>0</v>
      </c>
      <c r="X7" s="771"/>
      <c r="Y7" s="3224" t="s">
        <v>2547</v>
      </c>
      <c r="Z7" s="3225"/>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4" t="s">
        <v>2550</v>
      </c>
      <c r="Q8" s="3225"/>
      <c r="R8" s="769" t="s">
        <v>17</v>
      </c>
      <c r="S8" s="770">
        <f t="shared" si="0"/>
        <v>0</v>
      </c>
      <c r="T8" s="769" t="s">
        <v>17</v>
      </c>
      <c r="U8" s="770">
        <f t="shared" si="1"/>
        <v>0</v>
      </c>
      <c r="V8" s="769" t="s">
        <v>17</v>
      </c>
      <c r="W8" s="770">
        <f t="shared" si="2"/>
        <v>0</v>
      </c>
      <c r="X8" s="771"/>
      <c r="Y8" s="3224" t="s">
        <v>2550</v>
      </c>
      <c r="Z8" s="3225"/>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62"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62"/>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62"/>
      <c r="Q11" s="1797"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62"/>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62"/>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62"/>
      <c r="Q14" s="1797">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55" t="s">
        <v>2558</v>
      </c>
      <c r="Q15" s="1812" t="str">
        <f t="shared" si="6"/>
        <v>产业集聚程度</v>
      </c>
      <c r="R15" s="773" t="s">
        <v>17</v>
      </c>
      <c r="S15" s="774">
        <f t="shared" si="0"/>
        <v>100</v>
      </c>
      <c r="T15" s="773" t="s">
        <v>17</v>
      </c>
      <c r="U15" s="774">
        <f t="shared" si="1"/>
        <v>100</v>
      </c>
      <c r="V15" s="773" t="s">
        <v>17</v>
      </c>
      <c r="W15" s="774">
        <f t="shared" si="2"/>
        <v>100</v>
      </c>
      <c r="X15" s="1815"/>
      <c r="Y15" s="3255"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6"/>
      <c r="Q16" s="1812"/>
      <c r="R16" s="773"/>
      <c r="S16" s="774"/>
      <c r="T16" s="773"/>
      <c r="U16" s="774"/>
      <c r="V16" s="773"/>
      <c r="W16" s="774"/>
      <c r="X16" s="1815"/>
      <c r="Y16" s="3256"/>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6"/>
      <c r="Q17" s="1812" t="str">
        <f>B17</f>
        <v>交通便捷度</v>
      </c>
      <c r="R17" s="773" t="s">
        <v>17</v>
      </c>
      <c r="S17" s="774">
        <f>F17</f>
        <v>100</v>
      </c>
      <c r="T17" s="773" t="s">
        <v>17</v>
      </c>
      <c r="U17" s="774">
        <f>H17</f>
        <v>100</v>
      </c>
      <c r="V17" s="773" t="s">
        <v>17</v>
      </c>
      <c r="W17" s="774">
        <f>J17</f>
        <v>100</v>
      </c>
      <c r="X17" s="1815"/>
      <c r="Y17" s="325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56"/>
      <c r="Q18" s="1812"/>
      <c r="R18" s="773"/>
      <c r="S18" s="774"/>
      <c r="T18" s="773"/>
      <c r="U18" s="774"/>
      <c r="V18" s="773"/>
      <c r="W18" s="774"/>
      <c r="X18" s="1815"/>
      <c r="Y18" s="3256"/>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6"/>
      <c r="Q19" s="1812" t="str">
        <f>B19</f>
        <v>公共配套设施</v>
      </c>
      <c r="R19" s="773" t="s">
        <v>17</v>
      </c>
      <c r="S19" s="774">
        <f>F19</f>
        <v>100</v>
      </c>
      <c r="T19" s="773" t="s">
        <v>17</v>
      </c>
      <c r="U19" s="774">
        <f>H19</f>
        <v>100</v>
      </c>
      <c r="V19" s="773" t="s">
        <v>17</v>
      </c>
      <c r="W19" s="774">
        <f>J19</f>
        <v>100</v>
      </c>
      <c r="X19" s="1815"/>
      <c r="Y19" s="325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56"/>
      <c r="Q20" s="1812"/>
      <c r="R20" s="773"/>
      <c r="S20" s="774"/>
      <c r="T20" s="773"/>
      <c r="U20" s="774"/>
      <c r="V20" s="773"/>
      <c r="W20" s="774"/>
      <c r="X20" s="1815"/>
      <c r="Y20" s="3256"/>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6"/>
      <c r="Q21" s="1812" t="str">
        <f>B21</f>
        <v>基础设施水平</v>
      </c>
      <c r="R21" s="773" t="s">
        <v>17</v>
      </c>
      <c r="S21" s="774">
        <f>F21</f>
        <v>100</v>
      </c>
      <c r="T21" s="773" t="s">
        <v>17</v>
      </c>
      <c r="U21" s="774">
        <f>H21</f>
        <v>100</v>
      </c>
      <c r="V21" s="773" t="s">
        <v>17</v>
      </c>
      <c r="W21" s="774">
        <f>J21</f>
        <v>100</v>
      </c>
      <c r="X21" s="1815"/>
      <c r="Y21" s="325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56"/>
      <c r="Q22" s="1812"/>
      <c r="R22" s="773"/>
      <c r="S22" s="774"/>
      <c r="T22" s="773"/>
      <c r="U22" s="774"/>
      <c r="V22" s="773"/>
      <c r="W22" s="774"/>
      <c r="X22" s="1815"/>
      <c r="Y22" s="3256"/>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6"/>
      <c r="Q23" s="1812" t="str">
        <f>B23</f>
        <v>环境质量</v>
      </c>
      <c r="R23" s="773" t="s">
        <v>17</v>
      </c>
      <c r="S23" s="774">
        <f>F23</f>
        <v>100</v>
      </c>
      <c r="T23" s="773" t="s">
        <v>17</v>
      </c>
      <c r="U23" s="774">
        <f>H23</f>
        <v>100</v>
      </c>
      <c r="V23" s="773" t="s">
        <v>17</v>
      </c>
      <c r="W23" s="774">
        <f>J23</f>
        <v>100</v>
      </c>
      <c r="X23" s="1815"/>
      <c r="Y23" s="3256"/>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56"/>
      <c r="Q24" s="1812"/>
      <c r="R24" s="773"/>
      <c r="S24" s="774"/>
      <c r="T24" s="773"/>
      <c r="U24" s="774"/>
      <c r="V24" s="773"/>
      <c r="W24" s="774"/>
      <c r="X24" s="1815"/>
      <c r="Y24" s="325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6"/>
      <c r="Q25" s="1812">
        <f>B25</f>
        <v>111</v>
      </c>
      <c r="R25" s="773" t="s">
        <v>17</v>
      </c>
      <c r="S25" s="774">
        <f>F25</f>
        <v>100</v>
      </c>
      <c r="T25" s="773" t="s">
        <v>17</v>
      </c>
      <c r="U25" s="774">
        <f>H25</f>
        <v>100</v>
      </c>
      <c r="V25" s="773" t="s">
        <v>17</v>
      </c>
      <c r="W25" s="774">
        <f>J25</f>
        <v>100</v>
      </c>
      <c r="X25" s="1815"/>
      <c r="Y25" s="325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6"/>
      <c r="Q26" s="1812">
        <f t="shared" ref="Q26:Q40" si="11">B26</f>
        <v>111</v>
      </c>
      <c r="R26" s="773" t="s">
        <v>17</v>
      </c>
      <c r="S26" s="774">
        <f>F26</f>
        <v>100</v>
      </c>
      <c r="T26" s="773" t="s">
        <v>17</v>
      </c>
      <c r="U26" s="774">
        <f>H26</f>
        <v>100</v>
      </c>
      <c r="V26" s="773" t="s">
        <v>17</v>
      </c>
      <c r="W26" s="774">
        <f>J26</f>
        <v>100</v>
      </c>
      <c r="X26" s="1815"/>
      <c r="Y26" s="325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6"/>
      <c r="Q27" s="1797">
        <f t="shared" si="11"/>
        <v>111</v>
      </c>
      <c r="R27" s="769" t="s">
        <v>17</v>
      </c>
      <c r="S27" s="770">
        <f>F27</f>
        <v>100</v>
      </c>
      <c r="T27" s="769" t="s">
        <v>17</v>
      </c>
      <c r="U27" s="770">
        <f>H27</f>
        <v>100</v>
      </c>
      <c r="V27" s="769" t="s">
        <v>17</v>
      </c>
      <c r="W27" s="770">
        <f>J27</f>
        <v>100</v>
      </c>
      <c r="X27" s="771"/>
      <c r="Y27" s="325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6"/>
      <c r="Q28" s="1812">
        <f t="shared" si="11"/>
        <v>111</v>
      </c>
      <c r="R28" s="773" t="s">
        <v>17</v>
      </c>
      <c r="S28" s="774">
        <f t="shared" ref="S28:S40" si="12">F28</f>
        <v>100</v>
      </c>
      <c r="T28" s="773" t="s">
        <v>17</v>
      </c>
      <c r="U28" s="774">
        <f t="shared" ref="U28:U40" si="13">H28</f>
        <v>100</v>
      </c>
      <c r="V28" s="773" t="s">
        <v>17</v>
      </c>
      <c r="W28" s="774">
        <f t="shared" ref="W28:W40" si="14">J28</f>
        <v>100</v>
      </c>
      <c r="X28" s="1815"/>
      <c r="Y28" s="3256"/>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2" t="s">
        <v>2563</v>
      </c>
      <c r="Q29" s="1812" t="str">
        <f t="shared" si="11"/>
        <v>建筑类型</v>
      </c>
      <c r="R29" s="773" t="s">
        <v>17</v>
      </c>
      <c r="S29" s="774">
        <f t="shared" si="12"/>
        <v>100</v>
      </c>
      <c r="T29" s="773" t="s">
        <v>17</v>
      </c>
      <c r="U29" s="774">
        <f t="shared" si="13"/>
        <v>100</v>
      </c>
      <c r="V29" s="773" t="s">
        <v>17</v>
      </c>
      <c r="W29" s="774">
        <f t="shared" si="14"/>
        <v>100</v>
      </c>
      <c r="X29" s="1815"/>
      <c r="Y29" s="3260"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60"/>
      <c r="Q30" s="775" t="str">
        <f t="shared" si="11"/>
        <v>项目建筑规模</v>
      </c>
      <c r="R30" s="776" t="s">
        <v>17</v>
      </c>
      <c r="S30" s="777" t="e">
        <f t="shared" si="12"/>
        <v>#N/A</v>
      </c>
      <c r="T30" s="776" t="s">
        <v>17</v>
      </c>
      <c r="U30" s="777" t="e">
        <f t="shared" si="13"/>
        <v>#N/A</v>
      </c>
      <c r="V30" s="776" t="s">
        <v>17</v>
      </c>
      <c r="W30" s="777" t="e">
        <f t="shared" si="14"/>
        <v>#N/A</v>
      </c>
      <c r="X30" s="778"/>
      <c r="Y30" s="3260"/>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60"/>
      <c r="Q31" s="1812" t="str">
        <f t="shared" si="11"/>
        <v>建筑结构</v>
      </c>
      <c r="R31" s="773" t="s">
        <v>17</v>
      </c>
      <c r="S31" s="774">
        <f t="shared" si="12"/>
        <v>100</v>
      </c>
      <c r="T31" s="773" t="s">
        <v>17</v>
      </c>
      <c r="U31" s="774">
        <f t="shared" si="13"/>
        <v>100</v>
      </c>
      <c r="V31" s="773" t="s">
        <v>17</v>
      </c>
      <c r="W31" s="774">
        <f t="shared" si="14"/>
        <v>100</v>
      </c>
      <c r="X31" s="1815"/>
      <c r="Y31" s="3260"/>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60"/>
      <c r="Q32" s="1812" t="str">
        <f t="shared" si="11"/>
        <v>公共部分装修</v>
      </c>
      <c r="R32" s="773" t="s">
        <v>17</v>
      </c>
      <c r="S32" s="774">
        <f t="shared" si="12"/>
        <v>100</v>
      </c>
      <c r="T32" s="773" t="s">
        <v>17</v>
      </c>
      <c r="U32" s="774">
        <f t="shared" si="13"/>
        <v>100</v>
      </c>
      <c r="V32" s="773" t="s">
        <v>17</v>
      </c>
      <c r="W32" s="774">
        <f t="shared" si="14"/>
        <v>100</v>
      </c>
      <c r="X32" s="1815"/>
      <c r="Y32" s="3260"/>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60"/>
      <c r="Q33" s="1812" t="str">
        <f t="shared" si="11"/>
        <v>成新度</v>
      </c>
      <c r="R33" s="773" t="s">
        <v>17</v>
      </c>
      <c r="S33" s="774" t="e">
        <f t="shared" si="12"/>
        <v>#N/A</v>
      </c>
      <c r="T33" s="773" t="s">
        <v>17</v>
      </c>
      <c r="U33" s="774" t="e">
        <f t="shared" si="13"/>
        <v>#N/A</v>
      </c>
      <c r="V33" s="773" t="s">
        <v>17</v>
      </c>
      <c r="W33" s="774" t="e">
        <f t="shared" si="14"/>
        <v>#N/A</v>
      </c>
      <c r="X33" s="1815"/>
      <c r="Y33" s="3260"/>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60"/>
      <c r="Q34" s="1797" t="str">
        <f t="shared" si="11"/>
        <v>物业管理</v>
      </c>
      <c r="R34" s="769" t="s">
        <v>17</v>
      </c>
      <c r="S34" s="770">
        <f t="shared" si="12"/>
        <v>100</v>
      </c>
      <c r="T34" s="769" t="s">
        <v>17</v>
      </c>
      <c r="U34" s="770">
        <f t="shared" si="13"/>
        <v>100</v>
      </c>
      <c r="V34" s="769" t="s">
        <v>17</v>
      </c>
      <c r="W34" s="770">
        <f t="shared" si="14"/>
        <v>100</v>
      </c>
      <c r="X34" s="771"/>
      <c r="Y34" s="3260"/>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60" t="s">
        <v>2563</v>
      </c>
      <c r="Q35" s="1812" t="str">
        <f t="shared" si="11"/>
        <v>市政基础设施</v>
      </c>
      <c r="R35" s="773" t="s">
        <v>17</v>
      </c>
      <c r="S35" s="774">
        <f t="shared" si="12"/>
        <v>100</v>
      </c>
      <c r="T35" s="773" t="s">
        <v>17</v>
      </c>
      <c r="U35" s="774">
        <f t="shared" si="13"/>
        <v>100</v>
      </c>
      <c r="V35" s="773" t="s">
        <v>17</v>
      </c>
      <c r="W35" s="774">
        <f t="shared" si="14"/>
        <v>100</v>
      </c>
      <c r="X35" s="1815"/>
      <c r="Y35" s="3260"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60"/>
      <c r="Q36" s="1812" t="str">
        <f t="shared" si="11"/>
        <v>内部装修</v>
      </c>
      <c r="R36" s="773" t="s">
        <v>17</v>
      </c>
      <c r="S36" s="774">
        <f t="shared" si="12"/>
        <v>100</v>
      </c>
      <c r="T36" s="773" t="s">
        <v>17</v>
      </c>
      <c r="U36" s="774">
        <f t="shared" si="13"/>
        <v>100</v>
      </c>
      <c r="V36" s="773" t="s">
        <v>17</v>
      </c>
      <c r="W36" s="774">
        <f t="shared" si="14"/>
        <v>100</v>
      </c>
      <c r="X36" s="1815"/>
      <c r="Y36" s="3260"/>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60"/>
      <c r="Q37" s="1812" t="str">
        <f t="shared" si="11"/>
        <v>内部装修状况</v>
      </c>
      <c r="R37" s="773" t="s">
        <v>17</v>
      </c>
      <c r="S37" s="774">
        <f t="shared" si="12"/>
        <v>100</v>
      </c>
      <c r="T37" s="773" t="s">
        <v>17</v>
      </c>
      <c r="U37" s="774">
        <f t="shared" si="13"/>
        <v>100</v>
      </c>
      <c r="V37" s="773" t="s">
        <v>17</v>
      </c>
      <c r="W37" s="774">
        <f t="shared" si="14"/>
        <v>100</v>
      </c>
      <c r="X37" s="1815"/>
      <c r="Y37" s="326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60"/>
      <c r="Q38" s="775">
        <f t="shared" si="11"/>
        <v>111</v>
      </c>
      <c r="R38" s="776" t="s">
        <v>17</v>
      </c>
      <c r="S38" s="777">
        <f t="shared" si="12"/>
        <v>100</v>
      </c>
      <c r="T38" s="776" t="s">
        <v>17</v>
      </c>
      <c r="U38" s="777">
        <f t="shared" si="13"/>
        <v>100</v>
      </c>
      <c r="V38" s="776" t="s">
        <v>17</v>
      </c>
      <c r="W38" s="777">
        <f t="shared" si="14"/>
        <v>100</v>
      </c>
      <c r="X38" s="778"/>
      <c r="Y38" s="3260"/>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60"/>
      <c r="Q39" s="1812">
        <f t="shared" si="11"/>
        <v>111</v>
      </c>
      <c r="R39" s="773" t="s">
        <v>17</v>
      </c>
      <c r="S39" s="774">
        <f t="shared" si="12"/>
        <v>100</v>
      </c>
      <c r="T39" s="773" t="s">
        <v>17</v>
      </c>
      <c r="U39" s="774">
        <f t="shared" si="13"/>
        <v>100</v>
      </c>
      <c r="V39" s="773" t="s">
        <v>17</v>
      </c>
      <c r="W39" s="774">
        <f t="shared" si="14"/>
        <v>100</v>
      </c>
      <c r="X39" s="1815"/>
      <c r="Y39" s="3260"/>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1"/>
      <c r="Q40" s="1812">
        <f t="shared" si="11"/>
        <v>111</v>
      </c>
      <c r="R40" s="773" t="s">
        <v>17</v>
      </c>
      <c r="S40" s="774">
        <f t="shared" si="12"/>
        <v>100</v>
      </c>
      <c r="T40" s="773" t="s">
        <v>17</v>
      </c>
      <c r="U40" s="774">
        <f t="shared" si="13"/>
        <v>100</v>
      </c>
      <c r="V40" s="773" t="s">
        <v>17</v>
      </c>
      <c r="W40" s="774">
        <f t="shared" si="14"/>
        <v>100</v>
      </c>
      <c r="X40" s="1815"/>
      <c r="Y40" s="3261"/>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62" t="str">
        <f>A41</f>
        <v>成交单价（元/平方米）</v>
      </c>
      <c r="Q41" s="3262"/>
      <c r="R41" s="3263">
        <f>E41</f>
        <v>0</v>
      </c>
      <c r="S41" s="3263"/>
      <c r="T41" s="3263">
        <f>G41</f>
        <v>0</v>
      </c>
      <c r="U41" s="3263"/>
      <c r="V41" s="3263">
        <f>I41</f>
        <v>0</v>
      </c>
      <c r="W41" s="3263"/>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62" t="str">
        <f>A42</f>
        <v>比较价值（元/平方米）</v>
      </c>
      <c r="Q42" s="3262"/>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64" t="str">
        <f>A43</f>
        <v>估价对象XX用房的比较价值（楼面单价，元/平方米）</v>
      </c>
      <c r="Q43" s="3265"/>
      <c r="R43" s="3266" t="e">
        <f>IF(F1="售价",ROUND(AVERAGE(R42:V42),0),ROUND(AVERAGE(R42:V42),1))</f>
        <v>#DIV/0!</v>
      </c>
      <c r="S43" s="3266"/>
      <c r="T43" s="3266"/>
      <c r="U43" s="3266"/>
      <c r="V43" s="3266"/>
      <c r="W43" s="326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估价对象为湖北省武汉市房地产，为武汉统建所有。根据，估价对象（分摊）出让国有建设用地使用权面积为3042.4平方米，建筑面积为10648.41平方米。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估价对象为湖北省武汉市房地产,属武汉统建开发建设的商业项目，该项目尚在开发建设中。根据，估价对象（分摊）出让国有建设用地使用权面积为3042.4平方米，规划建筑面积为10648.41平方米。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1" t="s">
        <v>2646</v>
      </c>
      <c r="AC4" s="3220" t="s">
        <v>2647</v>
      </c>
    </row>
    <row r="5" spans="1:29" ht="15">
      <c r="A5" s="404"/>
      <c r="B5" s="405"/>
      <c r="C5" s="3295" t="s">
        <v>2540</v>
      </c>
      <c r="D5" s="3233"/>
      <c r="E5" s="3294" t="s">
        <v>2541</v>
      </c>
      <c r="F5" s="3231"/>
      <c r="G5" s="3295" t="s">
        <v>2542</v>
      </c>
      <c r="H5" s="3233"/>
      <c r="I5" s="3295" t="s">
        <v>2543</v>
      </c>
      <c r="J5" s="3233"/>
      <c r="K5" s="610"/>
      <c r="L5" s="1132"/>
      <c r="M5" s="1133"/>
      <c r="N5" s="1133"/>
      <c r="O5" s="1133"/>
      <c r="P5" s="3246"/>
      <c r="Q5" s="3247"/>
      <c r="R5" s="3228"/>
      <c r="S5" s="3229"/>
      <c r="T5" s="3228"/>
      <c r="U5" s="3229"/>
      <c r="V5" s="3223"/>
      <c r="W5" s="3223"/>
      <c r="X5" s="1815"/>
      <c r="Y5" s="3228"/>
      <c r="Z5" s="3229"/>
      <c r="AA5" s="3221"/>
      <c r="AB5" s="3221"/>
      <c r="AC5" s="3221"/>
    </row>
    <row r="6" spans="1:29" ht="15.75" thickBot="1">
      <c r="A6" s="406"/>
      <c r="B6" s="407"/>
      <c r="C6" s="3234" t="s">
        <v>2544</v>
      </c>
      <c r="D6" s="3235"/>
      <c r="E6" s="3296" t="s">
        <v>2544</v>
      </c>
      <c r="F6" s="3237"/>
      <c r="G6" s="3234" t="s">
        <v>2544</v>
      </c>
      <c r="H6" s="3235"/>
      <c r="I6" s="3234" t="s">
        <v>2544</v>
      </c>
      <c r="J6" s="3235"/>
      <c r="K6" s="610" t="s">
        <v>2545</v>
      </c>
      <c r="L6" s="1132"/>
      <c r="M6" s="1133"/>
      <c r="N6" s="1133"/>
      <c r="O6" s="1133"/>
      <c r="P6" s="3248"/>
      <c r="Q6" s="3249"/>
      <c r="R6" s="3228"/>
      <c r="S6" s="3229"/>
      <c r="T6" s="3250"/>
      <c r="U6" s="3251"/>
      <c r="V6" s="3223"/>
      <c r="W6" s="3223"/>
      <c r="X6" s="1815"/>
      <c r="Y6" s="3250"/>
      <c r="Z6" s="3251"/>
      <c r="AA6" s="3222"/>
      <c r="AB6" s="3222"/>
      <c r="AC6" s="3222"/>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4" t="s">
        <v>2547</v>
      </c>
      <c r="Q7" s="3252"/>
      <c r="R7" s="769" t="s">
        <v>17</v>
      </c>
      <c r="S7" s="770">
        <f t="shared" ref="S7:S14" si="0">F7</f>
        <v>0</v>
      </c>
      <c r="T7" s="769" t="s">
        <v>17</v>
      </c>
      <c r="U7" s="770">
        <f t="shared" ref="U7:U14" si="1">H7</f>
        <v>0</v>
      </c>
      <c r="V7" s="769" t="s">
        <v>17</v>
      </c>
      <c r="W7" s="770">
        <f t="shared" ref="W7:W14" si="2">J7</f>
        <v>0</v>
      </c>
      <c r="X7" s="771"/>
      <c r="Y7" s="3224" t="s">
        <v>2547</v>
      </c>
      <c r="Z7" s="3225"/>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4" t="s">
        <v>2550</v>
      </c>
      <c r="Q8" s="3225"/>
      <c r="R8" s="769" t="s">
        <v>17</v>
      </c>
      <c r="S8" s="770">
        <f t="shared" si="0"/>
        <v>0</v>
      </c>
      <c r="T8" s="769" t="s">
        <v>17</v>
      </c>
      <c r="U8" s="770">
        <f t="shared" si="1"/>
        <v>0</v>
      </c>
      <c r="V8" s="769" t="s">
        <v>17</v>
      </c>
      <c r="W8" s="770">
        <f t="shared" si="2"/>
        <v>0</v>
      </c>
      <c r="X8" s="771"/>
      <c r="Y8" s="3224" t="s">
        <v>2550</v>
      </c>
      <c r="Z8" s="3225"/>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62" t="s">
        <v>2553</v>
      </c>
      <c r="Q9" s="1797" t="str">
        <f t="shared" ref="Q9:Q14" si="6">B9</f>
        <v>用途</v>
      </c>
      <c r="R9" s="769" t="s">
        <v>17</v>
      </c>
      <c r="S9" s="770">
        <f t="shared" si="0"/>
        <v>100</v>
      </c>
      <c r="T9" s="769" t="s">
        <v>17</v>
      </c>
      <c r="U9" s="770">
        <f t="shared" si="1"/>
        <v>100</v>
      </c>
      <c r="V9" s="769" t="s">
        <v>17</v>
      </c>
      <c r="W9" s="770">
        <f t="shared" si="2"/>
        <v>100</v>
      </c>
      <c r="X9" s="771"/>
      <c r="Y9" s="3097"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62"/>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62"/>
      <c r="Q11" s="1797">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62"/>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62"/>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55" t="s">
        <v>2558</v>
      </c>
      <c r="Q14" s="1812" t="str">
        <f t="shared" si="6"/>
        <v>交通便捷度</v>
      </c>
      <c r="R14" s="773" t="s">
        <v>17</v>
      </c>
      <c r="S14" s="774">
        <f t="shared" si="0"/>
        <v>100</v>
      </c>
      <c r="T14" s="773" t="s">
        <v>17</v>
      </c>
      <c r="U14" s="774">
        <f t="shared" si="1"/>
        <v>100</v>
      </c>
      <c r="V14" s="773" t="s">
        <v>17</v>
      </c>
      <c r="W14" s="774">
        <f t="shared" si="2"/>
        <v>100</v>
      </c>
      <c r="X14" s="1815"/>
      <c r="Y14" s="3255"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56"/>
      <c r="Q15" s="1812"/>
      <c r="R15" s="773"/>
      <c r="S15" s="774"/>
      <c r="T15" s="773"/>
      <c r="U15" s="774"/>
      <c r="V15" s="773"/>
      <c r="W15" s="774"/>
      <c r="X15" s="1815"/>
      <c r="Y15" s="3256"/>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6"/>
      <c r="Q16" s="1812" t="str">
        <f>B16</f>
        <v>公共配套设施</v>
      </c>
      <c r="R16" s="773" t="s">
        <v>17</v>
      </c>
      <c r="S16" s="774">
        <f>F16</f>
        <v>100</v>
      </c>
      <c r="T16" s="773" t="s">
        <v>17</v>
      </c>
      <c r="U16" s="774">
        <f>H16</f>
        <v>100</v>
      </c>
      <c r="V16" s="773" t="s">
        <v>17</v>
      </c>
      <c r="W16" s="774">
        <f>J16</f>
        <v>100</v>
      </c>
      <c r="X16" s="1815"/>
      <c r="Y16" s="3256"/>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56"/>
      <c r="Q17" s="1812"/>
      <c r="R17" s="773"/>
      <c r="S17" s="774"/>
      <c r="T17" s="773"/>
      <c r="U17" s="774"/>
      <c r="V17" s="773"/>
      <c r="W17" s="774"/>
      <c r="X17" s="1815"/>
      <c r="Y17" s="3256"/>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6"/>
      <c r="Q18" s="1812" t="str">
        <f>B18</f>
        <v>基础设施水平</v>
      </c>
      <c r="R18" s="773" t="s">
        <v>17</v>
      </c>
      <c r="S18" s="774">
        <f>F18</f>
        <v>100</v>
      </c>
      <c r="T18" s="773" t="s">
        <v>17</v>
      </c>
      <c r="U18" s="774">
        <f>H18</f>
        <v>100</v>
      </c>
      <c r="V18" s="773" t="s">
        <v>17</v>
      </c>
      <c r="W18" s="774">
        <f>J18</f>
        <v>100</v>
      </c>
      <c r="X18" s="1815"/>
      <c r="Y18" s="3256"/>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56"/>
      <c r="Q19" s="1812"/>
      <c r="R19" s="773"/>
      <c r="S19" s="774"/>
      <c r="T19" s="773"/>
      <c r="U19" s="774"/>
      <c r="V19" s="773"/>
      <c r="W19" s="774"/>
      <c r="X19" s="1815"/>
      <c r="Y19" s="3256"/>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6"/>
      <c r="Q20" s="1812" t="str">
        <f>B20</f>
        <v>自然及人文环境</v>
      </c>
      <c r="R20" s="773" t="s">
        <v>17</v>
      </c>
      <c r="S20" s="774">
        <f>F20</f>
        <v>100</v>
      </c>
      <c r="T20" s="773" t="s">
        <v>17</v>
      </c>
      <c r="U20" s="774">
        <f>H20</f>
        <v>100</v>
      </c>
      <c r="V20" s="773" t="s">
        <v>17</v>
      </c>
      <c r="W20" s="774">
        <f>J20</f>
        <v>100</v>
      </c>
      <c r="X20" s="1815"/>
      <c r="Y20" s="3256"/>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56"/>
      <c r="Q21" s="1812"/>
      <c r="R21" s="773"/>
      <c r="S21" s="774"/>
      <c r="T21" s="773"/>
      <c r="U21" s="774"/>
      <c r="V21" s="773"/>
      <c r="W21" s="774"/>
      <c r="X21" s="1815"/>
      <c r="Y21" s="3256"/>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6"/>
      <c r="Q22" s="1812" t="str">
        <f>B22</f>
        <v>楼层</v>
      </c>
      <c r="R22" s="773" t="s">
        <v>17</v>
      </c>
      <c r="S22" s="774">
        <f>F22</f>
        <v>100</v>
      </c>
      <c r="T22" s="773" t="s">
        <v>17</v>
      </c>
      <c r="U22" s="774">
        <f>H22</f>
        <v>100</v>
      </c>
      <c r="V22" s="773" t="s">
        <v>17</v>
      </c>
      <c r="W22" s="774">
        <f>J22</f>
        <v>100</v>
      </c>
      <c r="X22" s="1815"/>
      <c r="Y22" s="3256"/>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6"/>
      <c r="Q23" s="1812">
        <f>B23</f>
        <v>111</v>
      </c>
      <c r="R23" s="773" t="s">
        <v>17</v>
      </c>
      <c r="S23" s="774">
        <f>F23</f>
        <v>100</v>
      </c>
      <c r="T23" s="773" t="s">
        <v>17</v>
      </c>
      <c r="U23" s="774">
        <f>H23</f>
        <v>100</v>
      </c>
      <c r="V23" s="773" t="s">
        <v>17</v>
      </c>
      <c r="W23" s="774">
        <f>J23</f>
        <v>100</v>
      </c>
      <c r="X23" s="1815"/>
      <c r="Y23" s="3256"/>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6"/>
      <c r="Q24" s="1812">
        <f t="shared" ref="Q24:Q36" si="11">B24</f>
        <v>111</v>
      </c>
      <c r="R24" s="773" t="s">
        <v>17</v>
      </c>
      <c r="S24" s="774">
        <f>F24</f>
        <v>100</v>
      </c>
      <c r="T24" s="773" t="s">
        <v>17</v>
      </c>
      <c r="U24" s="774">
        <f>H24</f>
        <v>100</v>
      </c>
      <c r="V24" s="773" t="s">
        <v>17</v>
      </c>
      <c r="W24" s="774">
        <f>J24</f>
        <v>100</v>
      </c>
      <c r="X24" s="1815"/>
      <c r="Y24" s="3256"/>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56"/>
      <c r="Q25" s="1797">
        <f t="shared" si="11"/>
        <v>111</v>
      </c>
      <c r="R25" s="769" t="s">
        <v>17</v>
      </c>
      <c r="S25" s="770">
        <f>F25</f>
        <v>100</v>
      </c>
      <c r="T25" s="769" t="s">
        <v>17</v>
      </c>
      <c r="U25" s="770">
        <f>H25</f>
        <v>100</v>
      </c>
      <c r="V25" s="769" t="s">
        <v>17</v>
      </c>
      <c r="W25" s="770">
        <f>J25</f>
        <v>100</v>
      </c>
      <c r="X25" s="771"/>
      <c r="Y25" s="3256"/>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2"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60"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60"/>
      <c r="Q27" s="775" t="str">
        <f t="shared" si="11"/>
        <v>项目停车位配比</v>
      </c>
      <c r="R27" s="776" t="s">
        <v>17</v>
      </c>
      <c r="S27" s="777">
        <f t="shared" si="12"/>
        <v>100</v>
      </c>
      <c r="T27" s="776" t="s">
        <v>17</v>
      </c>
      <c r="U27" s="777">
        <f t="shared" si="13"/>
        <v>100</v>
      </c>
      <c r="V27" s="776" t="s">
        <v>17</v>
      </c>
      <c r="W27" s="777">
        <f t="shared" si="14"/>
        <v>100</v>
      </c>
      <c r="X27" s="778"/>
      <c r="Y27" s="3260"/>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60"/>
      <c r="Q28" s="1812" t="str">
        <f t="shared" si="11"/>
        <v>公共部分装修</v>
      </c>
      <c r="R28" s="773" t="s">
        <v>17</v>
      </c>
      <c r="S28" s="774">
        <f t="shared" si="12"/>
        <v>100</v>
      </c>
      <c r="T28" s="773" t="s">
        <v>17</v>
      </c>
      <c r="U28" s="774">
        <f t="shared" si="13"/>
        <v>100</v>
      </c>
      <c r="V28" s="773" t="s">
        <v>17</v>
      </c>
      <c r="W28" s="774">
        <f t="shared" si="14"/>
        <v>100</v>
      </c>
      <c r="X28" s="1815"/>
      <c r="Y28" s="3260"/>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60"/>
      <c r="Q29" s="1812" t="str">
        <f t="shared" si="11"/>
        <v>成新率</v>
      </c>
      <c r="R29" s="773" t="s">
        <v>17</v>
      </c>
      <c r="S29" s="774" t="e">
        <f t="shared" si="12"/>
        <v>#N/A</v>
      </c>
      <c r="T29" s="773" t="s">
        <v>17</v>
      </c>
      <c r="U29" s="774" t="e">
        <f t="shared" si="13"/>
        <v>#N/A</v>
      </c>
      <c r="V29" s="773" t="s">
        <v>17</v>
      </c>
      <c r="W29" s="774" t="e">
        <f t="shared" si="14"/>
        <v>#N/A</v>
      </c>
      <c r="X29" s="1815"/>
      <c r="Y29" s="3260"/>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60"/>
      <c r="Q30" s="1812" t="str">
        <f t="shared" si="11"/>
        <v>物业等级</v>
      </c>
      <c r="R30" s="773" t="s">
        <v>17</v>
      </c>
      <c r="S30" s="774">
        <f t="shared" si="12"/>
        <v>100</v>
      </c>
      <c r="T30" s="773" t="s">
        <v>17</v>
      </c>
      <c r="U30" s="774">
        <f t="shared" si="13"/>
        <v>100</v>
      </c>
      <c r="V30" s="773" t="s">
        <v>17</v>
      </c>
      <c r="W30" s="774">
        <f t="shared" si="14"/>
        <v>100</v>
      </c>
      <c r="X30" s="1815"/>
      <c r="Y30" s="3260"/>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60"/>
      <c r="Q31" s="1797" t="str">
        <f t="shared" si="11"/>
        <v>停车位面积</v>
      </c>
      <c r="R31" s="769" t="s">
        <v>17</v>
      </c>
      <c r="S31" s="770" t="e">
        <f t="shared" si="12"/>
        <v>#N/A</v>
      </c>
      <c r="T31" s="769" t="s">
        <v>17</v>
      </c>
      <c r="U31" s="770" t="e">
        <f t="shared" si="13"/>
        <v>#N/A</v>
      </c>
      <c r="V31" s="769" t="s">
        <v>17</v>
      </c>
      <c r="W31" s="770" t="e">
        <f t="shared" si="14"/>
        <v>#N/A</v>
      </c>
      <c r="X31" s="771"/>
      <c r="Y31" s="3260"/>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60" t="s">
        <v>2563</v>
      </c>
      <c r="Q32" s="1812" t="str">
        <f t="shared" si="11"/>
        <v>车位类型</v>
      </c>
      <c r="R32" s="773" t="s">
        <v>17</v>
      </c>
      <c r="S32" s="774">
        <f t="shared" si="12"/>
        <v>100</v>
      </c>
      <c r="T32" s="773" t="s">
        <v>17</v>
      </c>
      <c r="U32" s="774">
        <f t="shared" si="13"/>
        <v>100</v>
      </c>
      <c r="V32" s="773" t="s">
        <v>17</v>
      </c>
      <c r="W32" s="774">
        <f t="shared" si="14"/>
        <v>100</v>
      </c>
      <c r="X32" s="1815"/>
      <c r="Y32" s="3260"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60"/>
      <c r="Q33" s="1812" t="str">
        <f t="shared" si="11"/>
        <v>是否直接入户</v>
      </c>
      <c r="R33" s="773" t="s">
        <v>17</v>
      </c>
      <c r="S33" s="774">
        <f t="shared" si="12"/>
        <v>100</v>
      </c>
      <c r="T33" s="773" t="s">
        <v>17</v>
      </c>
      <c r="U33" s="774">
        <f t="shared" si="13"/>
        <v>100</v>
      </c>
      <c r="V33" s="773" t="s">
        <v>17</v>
      </c>
      <c r="W33" s="774">
        <f t="shared" si="14"/>
        <v>100</v>
      </c>
      <c r="X33" s="1815"/>
      <c r="Y33" s="3260"/>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60"/>
      <c r="Q34" s="1812">
        <f t="shared" si="11"/>
        <v>111</v>
      </c>
      <c r="R34" s="773" t="s">
        <v>17</v>
      </c>
      <c r="S34" s="774">
        <f t="shared" si="12"/>
        <v>100</v>
      </c>
      <c r="T34" s="773" t="s">
        <v>17</v>
      </c>
      <c r="U34" s="774">
        <f t="shared" si="13"/>
        <v>100</v>
      </c>
      <c r="V34" s="773" t="s">
        <v>17</v>
      </c>
      <c r="W34" s="774">
        <f t="shared" si="14"/>
        <v>100</v>
      </c>
      <c r="X34" s="1815"/>
      <c r="Y34" s="3260"/>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60"/>
      <c r="Q35" s="775">
        <f t="shared" si="11"/>
        <v>111</v>
      </c>
      <c r="R35" s="776" t="s">
        <v>17</v>
      </c>
      <c r="S35" s="777">
        <f t="shared" si="12"/>
        <v>100</v>
      </c>
      <c r="T35" s="776" t="s">
        <v>17</v>
      </c>
      <c r="U35" s="777">
        <f t="shared" si="13"/>
        <v>100</v>
      </c>
      <c r="V35" s="776" t="s">
        <v>17</v>
      </c>
      <c r="W35" s="777">
        <f t="shared" si="14"/>
        <v>100</v>
      </c>
      <c r="X35" s="778"/>
      <c r="Y35" s="3260"/>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60"/>
      <c r="Q36" s="1812">
        <f t="shared" si="11"/>
        <v>111</v>
      </c>
      <c r="R36" s="773" t="s">
        <v>17</v>
      </c>
      <c r="S36" s="774">
        <f t="shared" si="12"/>
        <v>100</v>
      </c>
      <c r="T36" s="773" t="s">
        <v>17</v>
      </c>
      <c r="U36" s="774">
        <f t="shared" si="13"/>
        <v>100</v>
      </c>
      <c r="V36" s="773" t="s">
        <v>17</v>
      </c>
      <c r="W36" s="774">
        <f t="shared" si="14"/>
        <v>100</v>
      </c>
      <c r="X36" s="1815"/>
      <c r="Y36" s="3260"/>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62" t="str">
        <f>A37</f>
        <v>成交单价</v>
      </c>
      <c r="Q37" s="3262"/>
      <c r="R37" s="3263">
        <f>E37</f>
        <v>0</v>
      </c>
      <c r="S37" s="3263"/>
      <c r="T37" s="3263">
        <f>G37</f>
        <v>0</v>
      </c>
      <c r="U37" s="3263"/>
      <c r="V37" s="3263">
        <f>I37</f>
        <v>0</v>
      </c>
      <c r="W37" s="3263"/>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62" t="str">
        <f>A38</f>
        <v>比较价值（元/平方米）</v>
      </c>
      <c r="Q38" s="3262"/>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64" t="str">
        <f>A39</f>
        <v>估价对象XX用房的比较价值（楼面单价，元/平方米）</v>
      </c>
      <c r="Q39" s="3265"/>
      <c r="R39" s="3266" t="e">
        <f>IF(F1="售价",ROUND(AVERAGE(R38:V38),0),ROUND(AVERAGE(R38:V38),1))</f>
        <v>#DIV/0!</v>
      </c>
      <c r="S39" s="3266"/>
      <c r="T39" s="3266"/>
      <c r="U39" s="3266"/>
      <c r="V39" s="3266"/>
      <c r="W39" s="326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1" t="s">
        <v>2646</v>
      </c>
      <c r="AC4" s="3220" t="s">
        <v>2647</v>
      </c>
    </row>
    <row r="5" spans="1:29" ht="15">
      <c r="A5" s="404"/>
      <c r="B5" s="405"/>
      <c r="C5" s="3295" t="s">
        <v>2540</v>
      </c>
      <c r="D5" s="3233"/>
      <c r="E5" s="3294" t="s">
        <v>2541</v>
      </c>
      <c r="F5" s="3231"/>
      <c r="G5" s="3295" t="s">
        <v>2542</v>
      </c>
      <c r="H5" s="3233"/>
      <c r="I5" s="3295" t="s">
        <v>2543</v>
      </c>
      <c r="J5" s="3233"/>
      <c r="K5" s="610"/>
      <c r="L5" s="1132"/>
      <c r="M5" s="1133"/>
      <c r="N5" s="1133"/>
      <c r="O5" s="1133"/>
      <c r="P5" s="3246"/>
      <c r="Q5" s="3247"/>
      <c r="R5" s="3228"/>
      <c r="S5" s="3229"/>
      <c r="T5" s="3228"/>
      <c r="U5" s="3229"/>
      <c r="V5" s="3223"/>
      <c r="W5" s="3223"/>
      <c r="X5" s="1815"/>
      <c r="Y5" s="3228"/>
      <c r="Z5" s="3229"/>
      <c r="AA5" s="3221"/>
      <c r="AB5" s="3221"/>
      <c r="AC5" s="3221"/>
    </row>
    <row r="6" spans="1:29" ht="15.75" thickBot="1">
      <c r="A6" s="406"/>
      <c r="B6" s="407"/>
      <c r="C6" s="3234" t="s">
        <v>2544</v>
      </c>
      <c r="D6" s="3235"/>
      <c r="E6" s="3296" t="s">
        <v>2544</v>
      </c>
      <c r="F6" s="3237"/>
      <c r="G6" s="3234" t="s">
        <v>2544</v>
      </c>
      <c r="H6" s="3235"/>
      <c r="I6" s="3234" t="s">
        <v>2544</v>
      </c>
      <c r="J6" s="3235"/>
      <c r="K6" s="610" t="s">
        <v>2545</v>
      </c>
      <c r="L6" s="1132"/>
      <c r="M6" s="1133"/>
      <c r="N6" s="1133"/>
      <c r="O6" s="1133"/>
      <c r="P6" s="3248"/>
      <c r="Q6" s="3249"/>
      <c r="R6" s="3228"/>
      <c r="S6" s="3229"/>
      <c r="T6" s="3250"/>
      <c r="U6" s="3251"/>
      <c r="V6" s="3223"/>
      <c r="W6" s="3223"/>
      <c r="X6" s="1815"/>
      <c r="Y6" s="3250"/>
      <c r="Z6" s="3251"/>
      <c r="AA6" s="3222"/>
      <c r="AB6" s="3222"/>
      <c r="AC6" s="3222"/>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24" t="s">
        <v>2547</v>
      </c>
      <c r="Q7" s="3252"/>
      <c r="R7" s="769" t="s">
        <v>17</v>
      </c>
      <c r="S7" s="770">
        <f t="shared" ref="S7:S14" si="0">F7</f>
        <v>0</v>
      </c>
      <c r="T7" s="769" t="s">
        <v>17</v>
      </c>
      <c r="U7" s="770">
        <f t="shared" ref="U7:U14" si="1">H7</f>
        <v>0</v>
      </c>
      <c r="V7" s="769" t="s">
        <v>17</v>
      </c>
      <c r="W7" s="770">
        <f t="shared" ref="W7:W14" si="2">J7</f>
        <v>0</v>
      </c>
      <c r="X7" s="771"/>
      <c r="Y7" s="3224" t="s">
        <v>2547</v>
      </c>
      <c r="Z7" s="3225"/>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4" t="s">
        <v>2550</v>
      </c>
      <c r="Q8" s="3225"/>
      <c r="R8" s="769" t="s">
        <v>17</v>
      </c>
      <c r="S8" s="770">
        <f t="shared" si="0"/>
        <v>0</v>
      </c>
      <c r="T8" s="769" t="s">
        <v>17</v>
      </c>
      <c r="U8" s="770">
        <f t="shared" si="1"/>
        <v>0</v>
      </c>
      <c r="V8" s="769" t="s">
        <v>17</v>
      </c>
      <c r="W8" s="770">
        <f t="shared" si="2"/>
        <v>0</v>
      </c>
      <c r="X8" s="771"/>
      <c r="Y8" s="3224" t="s">
        <v>2550</v>
      </c>
      <c r="Z8" s="3225"/>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62" t="s">
        <v>2553</v>
      </c>
      <c r="Q9" s="1797" t="str">
        <f t="shared" ref="Q9:Q14" si="6">B9</f>
        <v>用途</v>
      </c>
      <c r="R9" s="769" t="s">
        <v>17</v>
      </c>
      <c r="S9" s="770">
        <f t="shared" si="0"/>
        <v>100</v>
      </c>
      <c r="T9" s="769" t="s">
        <v>17</v>
      </c>
      <c r="U9" s="770">
        <f t="shared" si="1"/>
        <v>100</v>
      </c>
      <c r="V9" s="769" t="s">
        <v>17</v>
      </c>
      <c r="W9" s="770">
        <f t="shared" si="2"/>
        <v>100</v>
      </c>
      <c r="X9" s="771"/>
      <c r="Y9" s="3097"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62"/>
      <c r="Q10" s="1797" t="str">
        <f t="shared" si="6"/>
        <v>土地使用年限（年）</v>
      </c>
      <c r="R10" s="769" t="s">
        <v>17</v>
      </c>
      <c r="S10" s="770">
        <f t="shared" si="0"/>
        <v>100</v>
      </c>
      <c r="T10" s="769" t="s">
        <v>17</v>
      </c>
      <c r="U10" s="770">
        <f t="shared" si="1"/>
        <v>100</v>
      </c>
      <c r="V10" s="769" t="s">
        <v>17</v>
      </c>
      <c r="W10" s="770">
        <f t="shared" si="2"/>
        <v>100</v>
      </c>
      <c r="X10" s="771"/>
      <c r="Y10" s="3097"/>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62"/>
      <c r="Q11" s="1797">
        <f t="shared" si="6"/>
        <v>111</v>
      </c>
      <c r="R11" s="769" t="s">
        <v>17</v>
      </c>
      <c r="S11" s="770">
        <f t="shared" si="0"/>
        <v>100</v>
      </c>
      <c r="T11" s="769" t="s">
        <v>17</v>
      </c>
      <c r="U11" s="770">
        <f t="shared" si="1"/>
        <v>100</v>
      </c>
      <c r="V11" s="769" t="s">
        <v>17</v>
      </c>
      <c r="W11" s="770">
        <f t="shared" si="2"/>
        <v>100</v>
      </c>
      <c r="X11" s="771"/>
      <c r="Y11" s="3097"/>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62"/>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62"/>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55" t="s">
        <v>2558</v>
      </c>
      <c r="Q14" s="1812" t="str">
        <f t="shared" si="6"/>
        <v>交通便捷度</v>
      </c>
      <c r="R14" s="773" t="s">
        <v>17</v>
      </c>
      <c r="S14" s="774">
        <f t="shared" si="0"/>
        <v>100</v>
      </c>
      <c r="T14" s="773" t="s">
        <v>17</v>
      </c>
      <c r="U14" s="774">
        <f t="shared" si="1"/>
        <v>100</v>
      </c>
      <c r="V14" s="773" t="s">
        <v>17</v>
      </c>
      <c r="W14" s="774">
        <f t="shared" si="2"/>
        <v>100</v>
      </c>
      <c r="X14" s="1815"/>
      <c r="Y14" s="3255"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6"/>
      <c r="Q15" s="1812"/>
      <c r="R15" s="773"/>
      <c r="S15" s="774"/>
      <c r="T15" s="773"/>
      <c r="U15" s="774"/>
      <c r="V15" s="773"/>
      <c r="W15" s="774"/>
      <c r="X15" s="1815"/>
      <c r="Y15" s="3256"/>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6"/>
      <c r="Q16" s="1812" t="str">
        <f>B16</f>
        <v>公共配套设施</v>
      </c>
      <c r="R16" s="773" t="s">
        <v>17</v>
      </c>
      <c r="S16" s="774">
        <f>F16</f>
        <v>100</v>
      </c>
      <c r="T16" s="773" t="s">
        <v>17</v>
      </c>
      <c r="U16" s="774">
        <f>H16</f>
        <v>100</v>
      </c>
      <c r="V16" s="773" t="s">
        <v>17</v>
      </c>
      <c r="W16" s="774">
        <f>J16</f>
        <v>100</v>
      </c>
      <c r="X16" s="1815"/>
      <c r="Y16" s="3256"/>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56"/>
      <c r="Q17" s="1812"/>
      <c r="R17" s="773"/>
      <c r="S17" s="774"/>
      <c r="T17" s="773"/>
      <c r="U17" s="774"/>
      <c r="V17" s="773"/>
      <c r="W17" s="774"/>
      <c r="X17" s="1815"/>
      <c r="Y17" s="3256"/>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6"/>
      <c r="Q18" s="1812" t="str">
        <f>B18</f>
        <v>基础设施水平</v>
      </c>
      <c r="R18" s="773" t="s">
        <v>17</v>
      </c>
      <c r="S18" s="774">
        <f>F18</f>
        <v>100</v>
      </c>
      <c r="T18" s="773" t="s">
        <v>17</v>
      </c>
      <c r="U18" s="774">
        <f>H18</f>
        <v>100</v>
      </c>
      <c r="V18" s="773" t="s">
        <v>17</v>
      </c>
      <c r="W18" s="774">
        <f>J18</f>
        <v>100</v>
      </c>
      <c r="X18" s="1815"/>
      <c r="Y18" s="3256"/>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56"/>
      <c r="Q19" s="1812"/>
      <c r="R19" s="773"/>
      <c r="S19" s="774"/>
      <c r="T19" s="773"/>
      <c r="U19" s="774"/>
      <c r="V19" s="773"/>
      <c r="W19" s="774"/>
      <c r="X19" s="1815"/>
      <c r="Y19" s="3256"/>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6"/>
      <c r="Q20" s="1812" t="str">
        <f>B20</f>
        <v>自然及人文环境</v>
      </c>
      <c r="R20" s="773" t="s">
        <v>17</v>
      </c>
      <c r="S20" s="774">
        <f>F20</f>
        <v>100</v>
      </c>
      <c r="T20" s="773" t="s">
        <v>17</v>
      </c>
      <c r="U20" s="774">
        <f>H20</f>
        <v>100</v>
      </c>
      <c r="V20" s="773" t="s">
        <v>17</v>
      </c>
      <c r="W20" s="774">
        <f>J20</f>
        <v>100</v>
      </c>
      <c r="X20" s="1815"/>
      <c r="Y20" s="325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6"/>
      <c r="Q21" s="1812"/>
      <c r="R21" s="773"/>
      <c r="S21" s="774"/>
      <c r="T21" s="773"/>
      <c r="U21" s="774"/>
      <c r="V21" s="773"/>
      <c r="W21" s="774"/>
      <c r="X21" s="1815"/>
      <c r="Y21" s="3256"/>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6"/>
      <c r="Q22" s="1812" t="str">
        <f>B22</f>
        <v>楼层</v>
      </c>
      <c r="R22" s="773" t="s">
        <v>17</v>
      </c>
      <c r="S22" s="774">
        <f>F22</f>
        <v>100</v>
      </c>
      <c r="T22" s="773" t="s">
        <v>17</v>
      </c>
      <c r="U22" s="774">
        <f>H22</f>
        <v>100</v>
      </c>
      <c r="V22" s="773" t="s">
        <v>17</v>
      </c>
      <c r="W22" s="774">
        <f>J22</f>
        <v>100</v>
      </c>
      <c r="X22" s="1815"/>
      <c r="Y22" s="3256"/>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6"/>
      <c r="Q23" s="1812">
        <f>B23</f>
        <v>111</v>
      </c>
      <c r="R23" s="773" t="s">
        <v>17</v>
      </c>
      <c r="S23" s="774">
        <f>F23</f>
        <v>100</v>
      </c>
      <c r="T23" s="773" t="s">
        <v>17</v>
      </c>
      <c r="U23" s="774">
        <f>H23</f>
        <v>100</v>
      </c>
      <c r="V23" s="773" t="s">
        <v>17</v>
      </c>
      <c r="W23" s="774">
        <f>J23</f>
        <v>100</v>
      </c>
      <c r="X23" s="1815"/>
      <c r="Y23" s="3256"/>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6"/>
      <c r="Q24" s="1812">
        <f t="shared" ref="Q24:Q34" si="11">B24</f>
        <v>111</v>
      </c>
      <c r="R24" s="773" t="s">
        <v>17</v>
      </c>
      <c r="S24" s="774">
        <f>F24</f>
        <v>100</v>
      </c>
      <c r="T24" s="773" t="s">
        <v>17</v>
      </c>
      <c r="U24" s="774">
        <f>H24</f>
        <v>100</v>
      </c>
      <c r="V24" s="773" t="s">
        <v>17</v>
      </c>
      <c r="W24" s="774">
        <f>J24</f>
        <v>100</v>
      </c>
      <c r="X24" s="1815"/>
      <c r="Y24" s="3256"/>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56"/>
      <c r="Q25" s="1797">
        <f t="shared" si="11"/>
        <v>111</v>
      </c>
      <c r="R25" s="769" t="s">
        <v>17</v>
      </c>
      <c r="S25" s="770">
        <f>F25</f>
        <v>100</v>
      </c>
      <c r="T25" s="769" t="s">
        <v>17</v>
      </c>
      <c r="U25" s="770">
        <f>H25</f>
        <v>100</v>
      </c>
      <c r="V25" s="769" t="s">
        <v>17</v>
      </c>
      <c r="W25" s="770">
        <f>J25</f>
        <v>100</v>
      </c>
      <c r="X25" s="771"/>
      <c r="Y25" s="3256"/>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2"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60"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60"/>
      <c r="Q27" s="775" t="str">
        <f t="shared" si="11"/>
        <v>成新率</v>
      </c>
      <c r="R27" s="776" t="s">
        <v>17</v>
      </c>
      <c r="S27" s="777" t="e">
        <f t="shared" si="12"/>
        <v>#N/A</v>
      </c>
      <c r="T27" s="776" t="s">
        <v>17</v>
      </c>
      <c r="U27" s="777" t="e">
        <f t="shared" si="13"/>
        <v>#N/A</v>
      </c>
      <c r="V27" s="776" t="s">
        <v>17</v>
      </c>
      <c r="W27" s="777" t="e">
        <f t="shared" si="14"/>
        <v>#N/A</v>
      </c>
      <c r="X27" s="778"/>
      <c r="Y27" s="3260"/>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60"/>
      <c r="Q28" s="1812" t="str">
        <f t="shared" si="11"/>
        <v>物业等级</v>
      </c>
      <c r="R28" s="773" t="s">
        <v>17</v>
      </c>
      <c r="S28" s="774">
        <f t="shared" si="12"/>
        <v>100</v>
      </c>
      <c r="T28" s="773" t="s">
        <v>17</v>
      </c>
      <c r="U28" s="774">
        <f t="shared" si="13"/>
        <v>100</v>
      </c>
      <c r="V28" s="773" t="s">
        <v>17</v>
      </c>
      <c r="W28" s="774">
        <f t="shared" si="14"/>
        <v>100</v>
      </c>
      <c r="X28" s="1815"/>
      <c r="Y28" s="3260"/>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60"/>
      <c r="Q29" s="1812" t="str">
        <f t="shared" si="11"/>
        <v>有无电梯</v>
      </c>
      <c r="R29" s="773" t="s">
        <v>17</v>
      </c>
      <c r="S29" s="774">
        <f t="shared" si="12"/>
        <v>100</v>
      </c>
      <c r="T29" s="773" t="s">
        <v>17</v>
      </c>
      <c r="U29" s="774">
        <f t="shared" si="13"/>
        <v>100</v>
      </c>
      <c r="V29" s="773" t="s">
        <v>17</v>
      </c>
      <c r="W29" s="774">
        <f t="shared" si="14"/>
        <v>100</v>
      </c>
      <c r="X29" s="1815"/>
      <c r="Y29" s="3260"/>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60"/>
      <c r="Q30" s="1812" t="str">
        <f t="shared" si="11"/>
        <v>建筑面积</v>
      </c>
      <c r="R30" s="773" t="s">
        <v>17</v>
      </c>
      <c r="S30" s="774" t="e">
        <f t="shared" si="12"/>
        <v>#N/A</v>
      </c>
      <c r="T30" s="773" t="s">
        <v>17</v>
      </c>
      <c r="U30" s="774" t="e">
        <f t="shared" si="13"/>
        <v>#N/A</v>
      </c>
      <c r="V30" s="773" t="s">
        <v>17</v>
      </c>
      <c r="W30" s="774" t="e">
        <f t="shared" si="14"/>
        <v>#N/A</v>
      </c>
      <c r="X30" s="1815"/>
      <c r="Y30" s="3260"/>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60"/>
      <c r="Q31" s="1797" t="str">
        <f t="shared" si="11"/>
        <v>是否封闭</v>
      </c>
      <c r="R31" s="769" t="s">
        <v>17</v>
      </c>
      <c r="S31" s="770">
        <f t="shared" si="12"/>
        <v>100</v>
      </c>
      <c r="T31" s="769" t="s">
        <v>17</v>
      </c>
      <c r="U31" s="770">
        <f t="shared" si="13"/>
        <v>100</v>
      </c>
      <c r="V31" s="769" t="s">
        <v>17</v>
      </c>
      <c r="W31" s="770">
        <f t="shared" si="14"/>
        <v>100</v>
      </c>
      <c r="X31" s="771"/>
      <c r="Y31" s="3260"/>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60" t="s">
        <v>2563</v>
      </c>
      <c r="Q32" s="1812">
        <f t="shared" si="11"/>
        <v>111</v>
      </c>
      <c r="R32" s="773" t="s">
        <v>17</v>
      </c>
      <c r="S32" s="774">
        <f t="shared" si="12"/>
        <v>100</v>
      </c>
      <c r="T32" s="773" t="s">
        <v>17</v>
      </c>
      <c r="U32" s="774">
        <f t="shared" si="13"/>
        <v>100</v>
      </c>
      <c r="V32" s="773" t="s">
        <v>17</v>
      </c>
      <c r="W32" s="774">
        <f t="shared" si="14"/>
        <v>100</v>
      </c>
      <c r="X32" s="1815"/>
      <c r="Y32" s="3260"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60"/>
      <c r="Q33" s="1812">
        <f t="shared" si="11"/>
        <v>111</v>
      </c>
      <c r="R33" s="773" t="s">
        <v>17</v>
      </c>
      <c r="S33" s="774">
        <f t="shared" si="12"/>
        <v>100</v>
      </c>
      <c r="T33" s="773" t="s">
        <v>17</v>
      </c>
      <c r="U33" s="774">
        <f t="shared" si="13"/>
        <v>100</v>
      </c>
      <c r="V33" s="773" t="s">
        <v>17</v>
      </c>
      <c r="W33" s="774">
        <f t="shared" si="14"/>
        <v>100</v>
      </c>
      <c r="X33" s="1815"/>
      <c r="Y33" s="3260"/>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60"/>
      <c r="Q34" s="1812">
        <f t="shared" si="11"/>
        <v>111</v>
      </c>
      <c r="R34" s="773" t="s">
        <v>17</v>
      </c>
      <c r="S34" s="774">
        <f t="shared" si="12"/>
        <v>100</v>
      </c>
      <c r="T34" s="773" t="s">
        <v>17</v>
      </c>
      <c r="U34" s="774">
        <f t="shared" si="13"/>
        <v>100</v>
      </c>
      <c r="V34" s="773" t="s">
        <v>17</v>
      </c>
      <c r="W34" s="774">
        <f t="shared" si="14"/>
        <v>100</v>
      </c>
      <c r="X34" s="1815"/>
      <c r="Y34" s="3260"/>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62" t="str">
        <f>A35</f>
        <v>成交单价（元/平方米）</v>
      </c>
      <c r="Q35" s="3262"/>
      <c r="R35" s="3263">
        <f>E35</f>
        <v>0</v>
      </c>
      <c r="S35" s="3263"/>
      <c r="T35" s="3263">
        <f>G35</f>
        <v>0</v>
      </c>
      <c r="U35" s="3263"/>
      <c r="V35" s="3263">
        <f>I35</f>
        <v>0</v>
      </c>
      <c r="W35" s="3263"/>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62" t="str">
        <f>A36</f>
        <v>比较价值（元/平方米）</v>
      </c>
      <c r="Q36" s="3262"/>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64" t="str">
        <f>A37</f>
        <v>估价对象XX用房的比较价值（楼面单价，元/平方米）</v>
      </c>
      <c r="Q37" s="3265"/>
      <c r="R37" s="3266" t="e">
        <f>IF(F1="售价",ROUND(AVERAGE(R36:V36),0),ROUND(AVERAGE(R36:V36),1))</f>
        <v>#DIV/0!</v>
      </c>
      <c r="S37" s="3266"/>
      <c r="T37" s="3266"/>
      <c r="U37" s="3266"/>
      <c r="V37" s="3266"/>
      <c r="W37" s="326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1" t="s">
        <v>2646</v>
      </c>
      <c r="AC4" s="3220" t="s">
        <v>2647</v>
      </c>
    </row>
    <row r="5" spans="1:30" ht="15">
      <c r="A5" s="404"/>
      <c r="B5" s="405"/>
      <c r="C5" s="3295" t="s">
        <v>2540</v>
      </c>
      <c r="D5" s="3233"/>
      <c r="E5" s="3294" t="s">
        <v>2541</v>
      </c>
      <c r="F5" s="3231"/>
      <c r="G5" s="3295" t="s">
        <v>2542</v>
      </c>
      <c r="H5" s="3233"/>
      <c r="I5" s="3295" t="s">
        <v>2543</v>
      </c>
      <c r="J5" s="3233"/>
      <c r="K5" s="610"/>
      <c r="L5" s="1132"/>
      <c r="M5" s="1133"/>
      <c r="N5" s="1133"/>
      <c r="O5" s="1133"/>
      <c r="P5" s="3246"/>
      <c r="Q5" s="3247"/>
      <c r="R5" s="3228"/>
      <c r="S5" s="3229"/>
      <c r="T5" s="3228"/>
      <c r="U5" s="3229"/>
      <c r="V5" s="3223"/>
      <c r="W5" s="3223"/>
      <c r="X5" s="1815"/>
      <c r="Y5" s="3228"/>
      <c r="Z5" s="3229"/>
      <c r="AA5" s="3221"/>
      <c r="AB5" s="3221"/>
      <c r="AC5" s="3221"/>
    </row>
    <row r="6" spans="1:30" ht="15.75" thickBot="1">
      <c r="A6" s="406"/>
      <c r="B6" s="407"/>
      <c r="C6" s="3234" t="s">
        <v>2544</v>
      </c>
      <c r="D6" s="3235"/>
      <c r="E6" s="3296" t="s">
        <v>2544</v>
      </c>
      <c r="F6" s="3237"/>
      <c r="G6" s="3234" t="s">
        <v>2544</v>
      </c>
      <c r="H6" s="3235"/>
      <c r="I6" s="3234" t="s">
        <v>2544</v>
      </c>
      <c r="J6" s="3235"/>
      <c r="K6" s="610" t="s">
        <v>2545</v>
      </c>
      <c r="L6" s="1132"/>
      <c r="M6" s="1133"/>
      <c r="N6" s="1133"/>
      <c r="O6" s="1133"/>
      <c r="P6" s="3248"/>
      <c r="Q6" s="3249"/>
      <c r="R6" s="3228"/>
      <c r="S6" s="3229"/>
      <c r="T6" s="3250"/>
      <c r="U6" s="3251"/>
      <c r="V6" s="3223"/>
      <c r="W6" s="3223"/>
      <c r="X6" s="1815"/>
      <c r="Y6" s="3250"/>
      <c r="Z6" s="3251"/>
      <c r="AA6" s="3222"/>
      <c r="AB6" s="3222"/>
      <c r="AC6" s="3222"/>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24" t="s">
        <v>2547</v>
      </c>
      <c r="Q7" s="3252"/>
      <c r="R7" s="769" t="s">
        <v>17</v>
      </c>
      <c r="S7" s="770">
        <f t="shared" ref="S7:S15" si="0">F7</f>
        <v>0</v>
      </c>
      <c r="T7" s="769" t="s">
        <v>17</v>
      </c>
      <c r="U7" s="770">
        <f t="shared" ref="U7:U15" si="1">H7</f>
        <v>0</v>
      </c>
      <c r="V7" s="769" t="s">
        <v>17</v>
      </c>
      <c r="W7" s="770">
        <f t="shared" ref="W7:W15" si="2">J7</f>
        <v>0</v>
      </c>
      <c r="X7" s="771"/>
      <c r="Y7" s="3224" t="s">
        <v>2547</v>
      </c>
      <c r="Z7" s="3225"/>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4" t="s">
        <v>2550</v>
      </c>
      <c r="Q8" s="3225"/>
      <c r="R8" s="769" t="s">
        <v>17</v>
      </c>
      <c r="S8" s="770">
        <f t="shared" si="0"/>
        <v>0</v>
      </c>
      <c r="T8" s="769" t="s">
        <v>17</v>
      </c>
      <c r="U8" s="770">
        <f t="shared" si="1"/>
        <v>0</v>
      </c>
      <c r="V8" s="769" t="s">
        <v>17</v>
      </c>
      <c r="W8" s="770">
        <f t="shared" si="2"/>
        <v>0</v>
      </c>
      <c r="X8" s="771"/>
      <c r="Y8" s="3224" t="s">
        <v>2550</v>
      </c>
      <c r="Z8" s="3225"/>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62"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262"/>
      <c r="Q10" s="1797" t="str">
        <f t="shared" si="6"/>
        <v>土地使用年限（年）</v>
      </c>
      <c r="R10" s="769" t="s">
        <v>17</v>
      </c>
      <c r="S10" s="770">
        <f t="shared" si="0"/>
        <v>104</v>
      </c>
      <c r="T10" s="769" t="s">
        <v>17</v>
      </c>
      <c r="U10" s="770">
        <f t="shared" si="1"/>
        <v>104</v>
      </c>
      <c r="V10" s="769" t="s">
        <v>17</v>
      </c>
      <c r="W10" s="770">
        <f t="shared" si="2"/>
        <v>104</v>
      </c>
      <c r="X10" s="771"/>
      <c r="Y10" s="3097"/>
      <c r="Z10" s="55" t="str">
        <f t="shared" si="7"/>
        <v>土地使用年限（年）</v>
      </c>
      <c r="AA10" s="772">
        <f t="shared" si="3"/>
        <v>0.96153846153846156</v>
      </c>
      <c r="AB10" s="772">
        <f t="shared" si="4"/>
        <v>0.96153846153846156</v>
      </c>
      <c r="AC10" s="772">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62"/>
      <c r="Q11" s="1797"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62"/>
      <c r="Q12" s="1797" t="str">
        <f t="shared" si="6"/>
        <v>配建</v>
      </c>
      <c r="R12" s="769" t="s">
        <v>17</v>
      </c>
      <c r="S12" s="770">
        <f t="shared" si="0"/>
        <v>100</v>
      </c>
      <c r="T12" s="769" t="s">
        <v>17</v>
      </c>
      <c r="U12" s="770">
        <f t="shared" si="1"/>
        <v>100</v>
      </c>
      <c r="V12" s="769" t="s">
        <v>17</v>
      </c>
      <c r="W12" s="770">
        <f t="shared" si="2"/>
        <v>100</v>
      </c>
      <c r="X12" s="771"/>
      <c r="Y12" s="3097"/>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62"/>
      <c r="Q13" s="1797">
        <f t="shared" si="6"/>
        <v>111</v>
      </c>
      <c r="R13" s="769" t="s">
        <v>17</v>
      </c>
      <c r="S13" s="770">
        <f t="shared" si="0"/>
        <v>100</v>
      </c>
      <c r="T13" s="769" t="s">
        <v>17</v>
      </c>
      <c r="U13" s="770">
        <f t="shared" si="1"/>
        <v>100</v>
      </c>
      <c r="V13" s="769" t="s">
        <v>17</v>
      </c>
      <c r="W13" s="770">
        <f t="shared" si="2"/>
        <v>100</v>
      </c>
      <c r="X13" s="771"/>
      <c r="Y13" s="3097"/>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62"/>
      <c r="Q14" s="1797">
        <f t="shared" si="6"/>
        <v>111</v>
      </c>
      <c r="R14" s="769" t="s">
        <v>17</v>
      </c>
      <c r="S14" s="770">
        <f t="shared" si="0"/>
        <v>100</v>
      </c>
      <c r="T14" s="769" t="s">
        <v>17</v>
      </c>
      <c r="U14" s="770">
        <f t="shared" si="1"/>
        <v>100</v>
      </c>
      <c r="V14" s="769" t="s">
        <v>17</v>
      </c>
      <c r="W14" s="770">
        <f t="shared" si="2"/>
        <v>100</v>
      </c>
      <c r="X14" s="771"/>
      <c r="Y14" s="3097"/>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55" t="s">
        <v>2558</v>
      </c>
      <c r="Q15" s="1812" t="str">
        <f t="shared" si="6"/>
        <v>居住社区成熟度</v>
      </c>
      <c r="R15" s="773" t="s">
        <v>17</v>
      </c>
      <c r="S15" s="774">
        <f t="shared" si="0"/>
        <v>100</v>
      </c>
      <c r="T15" s="773" t="s">
        <v>17</v>
      </c>
      <c r="U15" s="774">
        <f t="shared" si="1"/>
        <v>100</v>
      </c>
      <c r="V15" s="773" t="s">
        <v>17</v>
      </c>
      <c r="W15" s="774">
        <f t="shared" si="2"/>
        <v>100</v>
      </c>
      <c r="X15" s="1815"/>
      <c r="Y15" s="3255"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56"/>
      <c r="Q16" s="1812"/>
      <c r="R16" s="773"/>
      <c r="S16" s="774"/>
      <c r="T16" s="773"/>
      <c r="U16" s="774"/>
      <c r="V16" s="773"/>
      <c r="W16" s="774"/>
      <c r="X16" s="1815"/>
      <c r="Y16" s="3256"/>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56"/>
      <c r="Q17" s="1812" t="str">
        <f>B17</f>
        <v>商业繁华度</v>
      </c>
      <c r="R17" s="773" t="s">
        <v>17</v>
      </c>
      <c r="S17" s="774">
        <f>F17</f>
        <v>100</v>
      </c>
      <c r="T17" s="773" t="s">
        <v>17</v>
      </c>
      <c r="U17" s="774">
        <f>H17</f>
        <v>100</v>
      </c>
      <c r="V17" s="773" t="s">
        <v>17</v>
      </c>
      <c r="W17" s="774">
        <f>J17</f>
        <v>100</v>
      </c>
      <c r="X17" s="1815"/>
      <c r="Y17" s="3256"/>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56"/>
      <c r="Q18" s="1812"/>
      <c r="R18" s="773"/>
      <c r="S18" s="774"/>
      <c r="T18" s="773"/>
      <c r="U18" s="774"/>
      <c r="V18" s="773"/>
      <c r="W18" s="774"/>
      <c r="X18" s="1815"/>
      <c r="Y18" s="3256"/>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56"/>
      <c r="Q19" s="1812" t="str">
        <f>B19</f>
        <v>办公集聚程度</v>
      </c>
      <c r="R19" s="773" t="s">
        <v>17</v>
      </c>
      <c r="S19" s="774">
        <f>F19</f>
        <v>100</v>
      </c>
      <c r="T19" s="773" t="s">
        <v>17</v>
      </c>
      <c r="U19" s="774">
        <f>H19</f>
        <v>100</v>
      </c>
      <c r="V19" s="773" t="s">
        <v>17</v>
      </c>
      <c r="W19" s="774">
        <f>J19</f>
        <v>100</v>
      </c>
      <c r="X19" s="1815"/>
      <c r="Y19" s="3256"/>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56"/>
      <c r="Q20" s="1812"/>
      <c r="R20" s="773"/>
      <c r="S20" s="774"/>
      <c r="T20" s="773"/>
      <c r="U20" s="774"/>
      <c r="V20" s="773"/>
      <c r="W20" s="774"/>
      <c r="X20" s="1815"/>
      <c r="Y20" s="3256"/>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56"/>
      <c r="Q21" s="1812" t="str">
        <f>B21</f>
        <v>交通便捷度</v>
      </c>
      <c r="R21" s="773" t="s">
        <v>17</v>
      </c>
      <c r="S21" s="774">
        <f>F21</f>
        <v>100</v>
      </c>
      <c r="T21" s="773" t="s">
        <v>17</v>
      </c>
      <c r="U21" s="774">
        <f>H21</f>
        <v>100</v>
      </c>
      <c r="V21" s="773" t="s">
        <v>17</v>
      </c>
      <c r="W21" s="774">
        <f>J21</f>
        <v>100</v>
      </c>
      <c r="X21" s="1815"/>
      <c r="Y21" s="3256"/>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56"/>
      <c r="Q22" s="1812"/>
      <c r="R22" s="773"/>
      <c r="S22" s="774"/>
      <c r="T22" s="773"/>
      <c r="U22" s="774"/>
      <c r="V22" s="773"/>
      <c r="W22" s="774"/>
      <c r="X22" s="1815"/>
      <c r="Y22" s="3256"/>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56"/>
      <c r="Q23" s="1812" t="str">
        <f t="shared" ref="Q23:Q37" si="8">B23</f>
        <v>区域土地利用方向</v>
      </c>
      <c r="R23" s="773" t="s">
        <v>17</v>
      </c>
      <c r="S23" s="774">
        <f>F23</f>
        <v>100</v>
      </c>
      <c r="T23" s="773" t="s">
        <v>17</v>
      </c>
      <c r="U23" s="774">
        <f>H23</f>
        <v>100</v>
      </c>
      <c r="V23" s="773" t="s">
        <v>17</v>
      </c>
      <c r="W23" s="774">
        <f>J23</f>
        <v>100</v>
      </c>
      <c r="X23" s="1815"/>
      <c r="Y23" s="3256"/>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56"/>
      <c r="Q24" s="1812"/>
      <c r="R24" s="773"/>
      <c r="S24" s="774"/>
      <c r="T24" s="773"/>
      <c r="U24" s="774"/>
      <c r="V24" s="773"/>
      <c r="W24" s="774"/>
      <c r="X24" s="1815"/>
      <c r="Y24" s="3256"/>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56"/>
      <c r="Q25" s="1812" t="str">
        <f t="shared" si="8"/>
        <v>自然及人文环境状况</v>
      </c>
      <c r="R25" s="773" t="s">
        <v>17</v>
      </c>
      <c r="S25" s="774">
        <f>F25</f>
        <v>100</v>
      </c>
      <c r="T25" s="773" t="s">
        <v>17</v>
      </c>
      <c r="U25" s="774">
        <f>H25</f>
        <v>100</v>
      </c>
      <c r="V25" s="773" t="s">
        <v>17</v>
      </c>
      <c r="W25" s="774">
        <f>J25</f>
        <v>100</v>
      </c>
      <c r="X25" s="1815"/>
      <c r="Y25" s="3256"/>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56"/>
      <c r="Q26" s="1812"/>
      <c r="R26" s="773"/>
      <c r="S26" s="774"/>
      <c r="T26" s="773"/>
      <c r="U26" s="774"/>
      <c r="V26" s="773"/>
      <c r="W26" s="774"/>
      <c r="X26" s="1815"/>
      <c r="Y26" s="3256"/>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56"/>
      <c r="Q27" s="1797" t="str">
        <f t="shared" si="8"/>
        <v>公共配套设施</v>
      </c>
      <c r="R27" s="769" t="s">
        <v>17</v>
      </c>
      <c r="S27" s="770">
        <f>F27</f>
        <v>100</v>
      </c>
      <c r="T27" s="769" t="s">
        <v>17</v>
      </c>
      <c r="U27" s="770">
        <f>H27</f>
        <v>100</v>
      </c>
      <c r="V27" s="769" t="s">
        <v>17</v>
      </c>
      <c r="W27" s="770">
        <f>J27</f>
        <v>100</v>
      </c>
      <c r="X27" s="771"/>
      <c r="Y27" s="3256"/>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56"/>
      <c r="Q28" s="1797"/>
      <c r="R28" s="769"/>
      <c r="S28" s="770"/>
      <c r="T28" s="769"/>
      <c r="U28" s="770"/>
      <c r="V28" s="769"/>
      <c r="W28" s="770"/>
      <c r="X28" s="771"/>
      <c r="Y28" s="3256"/>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56"/>
      <c r="Q29" s="1797" t="str">
        <f t="shared" ref="Q29" si="9">B29</f>
        <v>基础设施水平</v>
      </c>
      <c r="R29" s="769" t="s">
        <v>17</v>
      </c>
      <c r="S29" s="770">
        <f>F29</f>
        <v>100</v>
      </c>
      <c r="T29" s="769" t="s">
        <v>17</v>
      </c>
      <c r="U29" s="770">
        <f>H29</f>
        <v>100</v>
      </c>
      <c r="V29" s="769" t="s">
        <v>17</v>
      </c>
      <c r="W29" s="770">
        <f>J29</f>
        <v>100</v>
      </c>
      <c r="X29" s="771"/>
      <c r="Y29" s="3256"/>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56"/>
      <c r="Q30" s="1797"/>
      <c r="R30" s="769"/>
      <c r="S30" s="770"/>
      <c r="T30" s="769"/>
      <c r="U30" s="770"/>
      <c r="V30" s="769"/>
      <c r="W30" s="770"/>
      <c r="X30" s="771"/>
      <c r="Y30" s="3256"/>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5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6"/>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56"/>
      <c r="Q32" s="1812" t="str">
        <f t="shared" si="8"/>
        <v>毗邻道路的类型与等级</v>
      </c>
      <c r="R32" s="773" t="s">
        <v>17</v>
      </c>
      <c r="S32" s="774">
        <f t="shared" si="10"/>
        <v>100</v>
      </c>
      <c r="T32" s="773" t="s">
        <v>17</v>
      </c>
      <c r="U32" s="774">
        <f t="shared" si="11"/>
        <v>100</v>
      </c>
      <c r="V32" s="773" t="s">
        <v>17</v>
      </c>
      <c r="W32" s="774">
        <f t="shared" si="12"/>
        <v>100</v>
      </c>
      <c r="X32" s="1815"/>
      <c r="Y32" s="3256"/>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56"/>
      <c r="Q33" s="1812"/>
      <c r="R33" s="773"/>
      <c r="S33" s="774"/>
      <c r="T33" s="773"/>
      <c r="U33" s="774"/>
      <c r="V33" s="773"/>
      <c r="W33" s="774"/>
      <c r="X33" s="1815"/>
      <c r="Y33" s="3256"/>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56"/>
      <c r="Q34" s="1812" t="str">
        <f t="shared" si="8"/>
        <v>土地级别</v>
      </c>
      <c r="R34" s="773" t="s">
        <v>17</v>
      </c>
      <c r="S34" s="774">
        <f t="shared" si="10"/>
        <v>100</v>
      </c>
      <c r="T34" s="773" t="s">
        <v>17</v>
      </c>
      <c r="U34" s="774">
        <f t="shared" si="11"/>
        <v>100</v>
      </c>
      <c r="V34" s="773" t="s">
        <v>17</v>
      </c>
      <c r="W34" s="774">
        <f t="shared" si="12"/>
        <v>100</v>
      </c>
      <c r="X34" s="1815"/>
      <c r="Y34" s="3256"/>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56"/>
      <c r="Q35" s="1812">
        <f t="shared" si="8"/>
        <v>111</v>
      </c>
      <c r="R35" s="773" t="s">
        <v>17</v>
      </c>
      <c r="S35" s="774">
        <f t="shared" si="10"/>
        <v>100</v>
      </c>
      <c r="T35" s="773" t="s">
        <v>17</v>
      </c>
      <c r="U35" s="774">
        <f t="shared" si="11"/>
        <v>100</v>
      </c>
      <c r="V35" s="773" t="s">
        <v>17</v>
      </c>
      <c r="W35" s="774">
        <f t="shared" si="12"/>
        <v>100</v>
      </c>
      <c r="X35" s="1815"/>
      <c r="Y35" s="3256"/>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2" t="s">
        <v>2563</v>
      </c>
      <c r="Q36" s="1812">
        <f t="shared" si="8"/>
        <v>111</v>
      </c>
      <c r="R36" s="773" t="s">
        <v>17</v>
      </c>
      <c r="S36" s="774">
        <f t="shared" si="10"/>
        <v>100</v>
      </c>
      <c r="T36" s="773" t="s">
        <v>17</v>
      </c>
      <c r="U36" s="774">
        <f t="shared" si="11"/>
        <v>100</v>
      </c>
      <c r="V36" s="773" t="s">
        <v>17</v>
      </c>
      <c r="W36" s="774">
        <f t="shared" si="12"/>
        <v>100</v>
      </c>
      <c r="X36" s="1815"/>
      <c r="Y36" s="3260"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60"/>
      <c r="Q37" s="1812">
        <f t="shared" si="8"/>
        <v>111</v>
      </c>
      <c r="R37" s="776" t="s">
        <v>17</v>
      </c>
      <c r="S37" s="777">
        <f t="shared" si="10"/>
        <v>100</v>
      </c>
      <c r="T37" s="776" t="s">
        <v>17</v>
      </c>
      <c r="U37" s="777">
        <f t="shared" si="11"/>
        <v>100</v>
      </c>
      <c r="V37" s="776" t="s">
        <v>17</v>
      </c>
      <c r="W37" s="777">
        <f t="shared" si="12"/>
        <v>100</v>
      </c>
      <c r="X37" s="778"/>
      <c r="Y37" s="3260"/>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60"/>
      <c r="Q38" s="1812" t="str">
        <f>B38</f>
        <v>宗地面积</v>
      </c>
      <c r="R38" s="773" t="s">
        <v>17</v>
      </c>
      <c r="S38" s="774" t="e">
        <f t="shared" si="10"/>
        <v>#N/A</v>
      </c>
      <c r="T38" s="773" t="s">
        <v>17</v>
      </c>
      <c r="U38" s="774" t="e">
        <f t="shared" si="11"/>
        <v>#N/A</v>
      </c>
      <c r="V38" s="773" t="s">
        <v>17</v>
      </c>
      <c r="W38" s="774" t="e">
        <f t="shared" si="12"/>
        <v>#N/A</v>
      </c>
      <c r="X38" s="1815"/>
      <c r="Y38" s="3260"/>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60"/>
      <c r="Q39" s="1812" t="str">
        <f t="shared" ref="Q39:Q45" si="14">B39</f>
        <v>宗地形状</v>
      </c>
      <c r="R39" s="773" t="s">
        <v>17</v>
      </c>
      <c r="S39" s="774">
        <f t="shared" si="10"/>
        <v>100</v>
      </c>
      <c r="T39" s="773" t="s">
        <v>17</v>
      </c>
      <c r="U39" s="774">
        <f t="shared" si="11"/>
        <v>100</v>
      </c>
      <c r="V39" s="773" t="s">
        <v>17</v>
      </c>
      <c r="W39" s="774">
        <f t="shared" si="12"/>
        <v>100</v>
      </c>
      <c r="X39" s="1815"/>
      <c r="Y39" s="3260"/>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60"/>
      <c r="Q40" s="1812" t="str">
        <f t="shared" si="14"/>
        <v>临街宽度及深度</v>
      </c>
      <c r="R40" s="773" t="s">
        <v>17</v>
      </c>
      <c r="S40" s="774">
        <f t="shared" si="10"/>
        <v>100</v>
      </c>
      <c r="T40" s="773" t="s">
        <v>17</v>
      </c>
      <c r="U40" s="774">
        <f t="shared" si="11"/>
        <v>100</v>
      </c>
      <c r="V40" s="773" t="s">
        <v>17</v>
      </c>
      <c r="W40" s="774">
        <f t="shared" si="12"/>
        <v>100</v>
      </c>
      <c r="X40" s="1815"/>
      <c r="Y40" s="3260"/>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60"/>
      <c r="Q41" s="1812" t="str">
        <f t="shared" si="14"/>
        <v>宗地开发程度</v>
      </c>
      <c r="R41" s="769" t="s">
        <v>17</v>
      </c>
      <c r="S41" s="770">
        <f t="shared" si="10"/>
        <v>100</v>
      </c>
      <c r="T41" s="769" t="s">
        <v>17</v>
      </c>
      <c r="U41" s="770">
        <f t="shared" si="11"/>
        <v>100</v>
      </c>
      <c r="V41" s="769" t="s">
        <v>17</v>
      </c>
      <c r="W41" s="770">
        <f t="shared" si="12"/>
        <v>100</v>
      </c>
      <c r="X41" s="771"/>
      <c r="Y41" s="3260"/>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60" t="s">
        <v>2563</v>
      </c>
      <c r="Q42" s="1812" t="str">
        <f t="shared" si="14"/>
        <v>工程地质条件</v>
      </c>
      <c r="R42" s="773" t="s">
        <v>17</v>
      </c>
      <c r="S42" s="774">
        <f t="shared" si="10"/>
        <v>100</v>
      </c>
      <c r="T42" s="773" t="s">
        <v>17</v>
      </c>
      <c r="U42" s="774">
        <f t="shared" si="11"/>
        <v>100</v>
      </c>
      <c r="V42" s="773" t="s">
        <v>17</v>
      </c>
      <c r="W42" s="774">
        <f t="shared" si="12"/>
        <v>100</v>
      </c>
      <c r="X42" s="1815"/>
      <c r="Y42" s="3260"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60"/>
      <c r="Q43" s="1812">
        <f t="shared" si="14"/>
        <v>111</v>
      </c>
      <c r="R43" s="773" t="s">
        <v>17</v>
      </c>
      <c r="S43" s="774">
        <f t="shared" si="10"/>
        <v>100</v>
      </c>
      <c r="T43" s="773" t="s">
        <v>17</v>
      </c>
      <c r="U43" s="774">
        <f t="shared" si="11"/>
        <v>100</v>
      </c>
      <c r="V43" s="773" t="s">
        <v>17</v>
      </c>
      <c r="W43" s="774">
        <f t="shared" si="12"/>
        <v>100</v>
      </c>
      <c r="X43" s="1815"/>
      <c r="Y43" s="3260"/>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60"/>
      <c r="Q44" s="1812">
        <f t="shared" si="14"/>
        <v>111</v>
      </c>
      <c r="R44" s="773" t="s">
        <v>17</v>
      </c>
      <c r="S44" s="774">
        <f t="shared" si="10"/>
        <v>100</v>
      </c>
      <c r="T44" s="773" t="s">
        <v>17</v>
      </c>
      <c r="U44" s="774">
        <f t="shared" si="11"/>
        <v>100</v>
      </c>
      <c r="V44" s="773" t="s">
        <v>17</v>
      </c>
      <c r="W44" s="774">
        <f t="shared" si="12"/>
        <v>100</v>
      </c>
      <c r="X44" s="1815"/>
      <c r="Y44" s="3260"/>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60"/>
      <c r="Q45" s="1812">
        <f t="shared" si="14"/>
        <v>111</v>
      </c>
      <c r="R45" s="776" t="s">
        <v>17</v>
      </c>
      <c r="S45" s="777">
        <f t="shared" si="10"/>
        <v>100</v>
      </c>
      <c r="T45" s="776" t="s">
        <v>17</v>
      </c>
      <c r="U45" s="777">
        <f t="shared" si="11"/>
        <v>100</v>
      </c>
      <c r="V45" s="776" t="s">
        <v>17</v>
      </c>
      <c r="W45" s="777">
        <f t="shared" si="12"/>
        <v>100</v>
      </c>
      <c r="X45" s="778"/>
      <c r="Y45" s="3260"/>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62" t="str">
        <f>A46</f>
        <v>成交单价</v>
      </c>
      <c r="Q46" s="3262"/>
      <c r="R46" s="3223">
        <f>E46</f>
        <v>0</v>
      </c>
      <c r="S46" s="3223"/>
      <c r="T46" s="3223">
        <f>G46</f>
        <v>0</v>
      </c>
      <c r="U46" s="3223"/>
      <c r="V46" s="3223">
        <f>I46</f>
        <v>0</v>
      </c>
      <c r="W46" s="3223"/>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62" t="str">
        <f>A47</f>
        <v>比较价值（元/平方米）</v>
      </c>
      <c r="Q47" s="3262"/>
      <c r="R47" s="3313" t="e">
        <f>ROUND(PRODUCT(R46,AA7:AA45),0)</f>
        <v>#DIV/0!</v>
      </c>
      <c r="S47" s="3313"/>
      <c r="T47" s="3313" t="e">
        <f>ROUND(PRODUCT(T46,AB7:AB45),0)</f>
        <v>#DIV/0!</v>
      </c>
      <c r="U47" s="3313"/>
      <c r="V47" s="3313" t="e">
        <f>ROUND(PRODUCT(V46,AC7:AC45),0)</f>
        <v>#DIV/0!</v>
      </c>
      <c r="W47" s="3313"/>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64" t="str">
        <f>A48</f>
        <v>估价对象XX用房的比较价值（楼面单价，元/平方米）</v>
      </c>
      <c r="Q48" s="3265"/>
      <c r="R48" s="3314" t="e">
        <f>ROUND(AVERAGE(R47:V47),0)</f>
        <v>#DIV/0!</v>
      </c>
      <c r="S48" s="3314"/>
      <c r="T48" s="3314"/>
      <c r="U48" s="3314"/>
      <c r="V48" s="3314"/>
      <c r="W48" s="331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40" t="s">
        <v>2762</v>
      </c>
      <c r="H55" s="3315"/>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10648.409999999993</v>
      </c>
      <c r="F56" s="1105" t="e">
        <f t="shared" ref="F56:F65" si="15">ROUND(B56*E56/10000,0)</f>
        <v>#DIV/0!</v>
      </c>
      <c r="G56" s="3239"/>
      <c r="H56" s="3262"/>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6"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6"/>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6"/>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6"/>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10648.409999999993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40" t="s">
        <v>2644</v>
      </c>
      <c r="D4" s="3241"/>
      <c r="E4" s="3242" t="s">
        <v>2645</v>
      </c>
      <c r="F4" s="3243"/>
      <c r="G4" s="3240" t="s">
        <v>2646</v>
      </c>
      <c r="H4" s="3241"/>
      <c r="I4" s="3240" t="s">
        <v>2647</v>
      </c>
      <c r="J4" s="3241"/>
      <c r="K4" s="610" t="s">
        <v>2648</v>
      </c>
      <c r="L4" s="1132"/>
      <c r="M4" s="1133"/>
      <c r="N4" s="1133"/>
      <c r="O4" s="1133"/>
      <c r="P4" s="3244" t="s">
        <v>2649</v>
      </c>
      <c r="Q4" s="3245"/>
      <c r="R4" s="3226" t="s">
        <v>2645</v>
      </c>
      <c r="S4" s="3227"/>
      <c r="T4" s="3226" t="s">
        <v>2646</v>
      </c>
      <c r="U4" s="3227"/>
      <c r="V4" s="3223" t="s">
        <v>2647</v>
      </c>
      <c r="W4" s="3223"/>
      <c r="X4" s="1815"/>
      <c r="Y4" s="3226" t="s">
        <v>2649</v>
      </c>
      <c r="Z4" s="3227"/>
      <c r="AA4" s="3220" t="s">
        <v>2645</v>
      </c>
      <c r="AB4" s="3221" t="s">
        <v>2646</v>
      </c>
      <c r="AC4" s="3220" t="s">
        <v>2647</v>
      </c>
    </row>
    <row r="5" spans="1:29" ht="15">
      <c r="A5" s="404"/>
      <c r="B5" s="405"/>
      <c r="C5" s="3295" t="s">
        <v>2540</v>
      </c>
      <c r="D5" s="3233"/>
      <c r="E5" s="3294" t="s">
        <v>2541</v>
      </c>
      <c r="F5" s="3231"/>
      <c r="G5" s="3295" t="s">
        <v>2542</v>
      </c>
      <c r="H5" s="3233"/>
      <c r="I5" s="3295" t="s">
        <v>2543</v>
      </c>
      <c r="J5" s="3233"/>
      <c r="K5" s="610"/>
      <c r="L5" s="1132"/>
      <c r="M5" s="1133"/>
      <c r="N5" s="1133"/>
      <c r="O5" s="1133"/>
      <c r="P5" s="3246"/>
      <c r="Q5" s="3247"/>
      <c r="R5" s="3228"/>
      <c r="S5" s="3229"/>
      <c r="T5" s="3228"/>
      <c r="U5" s="3229"/>
      <c r="V5" s="3223"/>
      <c r="W5" s="3223"/>
      <c r="X5" s="1815"/>
      <c r="Y5" s="3228"/>
      <c r="Z5" s="3229"/>
      <c r="AA5" s="3221"/>
      <c r="AB5" s="3221"/>
      <c r="AC5" s="3221"/>
    </row>
    <row r="6" spans="1:29" ht="15.75" thickBot="1">
      <c r="A6" s="406"/>
      <c r="B6" s="407"/>
      <c r="C6" s="3317" t="s">
        <v>2795</v>
      </c>
      <c r="D6" s="3318"/>
      <c r="E6" s="3319" t="s">
        <v>2795</v>
      </c>
      <c r="F6" s="3320"/>
      <c r="G6" s="3317" t="s">
        <v>2795</v>
      </c>
      <c r="H6" s="3318"/>
      <c r="I6" s="3317" t="s">
        <v>2795</v>
      </c>
      <c r="J6" s="3318"/>
      <c r="K6" s="610" t="s">
        <v>2545</v>
      </c>
      <c r="L6" s="1132"/>
      <c r="M6" s="1133"/>
      <c r="N6" s="1133"/>
      <c r="O6" s="1133"/>
      <c r="P6" s="3248"/>
      <c r="Q6" s="3249"/>
      <c r="R6" s="3228"/>
      <c r="S6" s="3229"/>
      <c r="T6" s="3250"/>
      <c r="U6" s="3251"/>
      <c r="V6" s="3223"/>
      <c r="W6" s="3223"/>
      <c r="X6" s="1815"/>
      <c r="Y6" s="3250"/>
      <c r="Z6" s="3251"/>
      <c r="AA6" s="3222"/>
      <c r="AB6" s="3222"/>
      <c r="AC6" s="3222"/>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24" t="s">
        <v>2547</v>
      </c>
      <c r="Q7" s="3252"/>
      <c r="R7" s="769" t="s">
        <v>17</v>
      </c>
      <c r="S7" s="770">
        <f t="shared" ref="S7:S15" si="0">F7</f>
        <v>0</v>
      </c>
      <c r="T7" s="769" t="s">
        <v>17</v>
      </c>
      <c r="U7" s="770">
        <f t="shared" ref="U7:U15" si="1">H7</f>
        <v>0</v>
      </c>
      <c r="V7" s="769" t="s">
        <v>17</v>
      </c>
      <c r="W7" s="770">
        <f t="shared" ref="W7:W15" si="2">J7</f>
        <v>0</v>
      </c>
      <c r="X7" s="771"/>
      <c r="Y7" s="3224" t="s">
        <v>2547</v>
      </c>
      <c r="Z7" s="3225"/>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4" t="s">
        <v>2550</v>
      </c>
      <c r="Q8" s="3225"/>
      <c r="R8" s="769" t="s">
        <v>17</v>
      </c>
      <c r="S8" s="770">
        <f t="shared" si="0"/>
        <v>0</v>
      </c>
      <c r="T8" s="769" t="s">
        <v>17</v>
      </c>
      <c r="U8" s="770">
        <f t="shared" si="1"/>
        <v>0</v>
      </c>
      <c r="V8" s="769" t="s">
        <v>17</v>
      </c>
      <c r="W8" s="770">
        <f t="shared" si="2"/>
        <v>0</v>
      </c>
      <c r="X8" s="771"/>
      <c r="Y8" s="3224" t="s">
        <v>2550</v>
      </c>
      <c r="Z8" s="3225"/>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62" t="s">
        <v>2553</v>
      </c>
      <c r="Q9" s="1797" t="str">
        <f t="shared" ref="Q9:Q15" si="6">B9</f>
        <v>用途</v>
      </c>
      <c r="R9" s="769" t="s">
        <v>17</v>
      </c>
      <c r="S9" s="770">
        <f t="shared" si="0"/>
        <v>100</v>
      </c>
      <c r="T9" s="769" t="s">
        <v>17</v>
      </c>
      <c r="U9" s="770">
        <f t="shared" si="1"/>
        <v>100</v>
      </c>
      <c r="V9" s="769" t="s">
        <v>17</v>
      </c>
      <c r="W9" s="770">
        <f t="shared" si="2"/>
        <v>100</v>
      </c>
      <c r="X9" s="771"/>
      <c r="Y9" s="3097"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262"/>
      <c r="Q10" s="1797" t="str">
        <f t="shared" si="6"/>
        <v>土地使用年限（年）</v>
      </c>
      <c r="R10" s="769" t="s">
        <v>17</v>
      </c>
      <c r="S10" s="770">
        <f t="shared" si="0"/>
        <v>104</v>
      </c>
      <c r="T10" s="769" t="s">
        <v>17</v>
      </c>
      <c r="U10" s="770">
        <f t="shared" si="1"/>
        <v>104</v>
      </c>
      <c r="V10" s="769" t="s">
        <v>17</v>
      </c>
      <c r="W10" s="770">
        <f t="shared" si="2"/>
        <v>104</v>
      </c>
      <c r="X10" s="771"/>
      <c r="Y10" s="3097"/>
      <c r="Z10" s="55" t="str">
        <f t="shared" si="7"/>
        <v>土地使用年限（年）</v>
      </c>
      <c r="AA10" s="772">
        <f t="shared" si="3"/>
        <v>0.96153846153846156</v>
      </c>
      <c r="AB10" s="772">
        <f t="shared" si="4"/>
        <v>0.96153846153846156</v>
      </c>
      <c r="AC10" s="772">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62"/>
      <c r="Q11" s="1797" t="str">
        <f t="shared" si="6"/>
        <v>容积率</v>
      </c>
      <c r="R11" s="769" t="s">
        <v>17</v>
      </c>
      <c r="S11" s="770" t="e">
        <f t="shared" si="0"/>
        <v>#N/A</v>
      </c>
      <c r="T11" s="769" t="s">
        <v>17</v>
      </c>
      <c r="U11" s="770" t="e">
        <f t="shared" si="1"/>
        <v>#N/A</v>
      </c>
      <c r="V11" s="769" t="s">
        <v>17</v>
      </c>
      <c r="W11" s="770" t="e">
        <f t="shared" si="2"/>
        <v>#N/A</v>
      </c>
      <c r="X11" s="771"/>
      <c r="Y11" s="3097"/>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62"/>
      <c r="Q12" s="1797">
        <f t="shared" si="6"/>
        <v>111</v>
      </c>
      <c r="R12" s="769" t="s">
        <v>17</v>
      </c>
      <c r="S12" s="770">
        <f t="shared" si="0"/>
        <v>100</v>
      </c>
      <c r="T12" s="769" t="s">
        <v>17</v>
      </c>
      <c r="U12" s="770">
        <f t="shared" si="1"/>
        <v>100</v>
      </c>
      <c r="V12" s="769" t="s">
        <v>17</v>
      </c>
      <c r="W12" s="770">
        <f t="shared" si="2"/>
        <v>100</v>
      </c>
      <c r="X12" s="771"/>
      <c r="Y12" s="3097"/>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62"/>
      <c r="Q13" s="1797">
        <f t="shared" si="6"/>
        <v>111</v>
      </c>
      <c r="R13" s="769" t="s">
        <v>17</v>
      </c>
      <c r="S13" s="770">
        <f t="shared" si="0"/>
        <v>100</v>
      </c>
      <c r="T13" s="769" t="s">
        <v>17</v>
      </c>
      <c r="U13" s="770">
        <f t="shared" si="1"/>
        <v>100</v>
      </c>
      <c r="V13" s="769" t="s">
        <v>17</v>
      </c>
      <c r="W13" s="770">
        <f t="shared" si="2"/>
        <v>100</v>
      </c>
      <c r="X13" s="771"/>
      <c r="Y13" s="3097"/>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62"/>
      <c r="Q14" s="1797">
        <f t="shared" si="6"/>
        <v>111</v>
      </c>
      <c r="R14" s="769" t="s">
        <v>17</v>
      </c>
      <c r="S14" s="770">
        <f t="shared" si="0"/>
        <v>100</v>
      </c>
      <c r="T14" s="769" t="s">
        <v>17</v>
      </c>
      <c r="U14" s="770">
        <f t="shared" si="1"/>
        <v>100</v>
      </c>
      <c r="V14" s="769" t="s">
        <v>17</v>
      </c>
      <c r="W14" s="770">
        <f t="shared" si="2"/>
        <v>100</v>
      </c>
      <c r="X14" s="771"/>
      <c r="Y14" s="3097"/>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55" t="s">
        <v>2558</v>
      </c>
      <c r="Q15" s="1812" t="str">
        <f t="shared" si="6"/>
        <v>产业集聚程度</v>
      </c>
      <c r="R15" s="773" t="s">
        <v>17</v>
      </c>
      <c r="S15" s="774">
        <f t="shared" si="0"/>
        <v>100</v>
      </c>
      <c r="T15" s="773" t="s">
        <v>17</v>
      </c>
      <c r="U15" s="774">
        <f t="shared" si="1"/>
        <v>100</v>
      </c>
      <c r="V15" s="773" t="s">
        <v>17</v>
      </c>
      <c r="W15" s="774">
        <f t="shared" si="2"/>
        <v>100</v>
      </c>
      <c r="X15" s="1815"/>
      <c r="Y15" s="3255"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56"/>
      <c r="Q16" s="1812"/>
      <c r="R16" s="773"/>
      <c r="S16" s="774"/>
      <c r="T16" s="773"/>
      <c r="U16" s="774"/>
      <c r="V16" s="773"/>
      <c r="W16" s="774"/>
      <c r="X16" s="1815"/>
      <c r="Y16" s="3256"/>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56"/>
      <c r="Q17" s="1812" t="str">
        <f>B17</f>
        <v>交通便捷度</v>
      </c>
      <c r="R17" s="773" t="s">
        <v>17</v>
      </c>
      <c r="S17" s="774">
        <f>F17</f>
        <v>100</v>
      </c>
      <c r="T17" s="773" t="s">
        <v>17</v>
      </c>
      <c r="U17" s="774">
        <f>H17</f>
        <v>100</v>
      </c>
      <c r="V17" s="773" t="s">
        <v>17</v>
      </c>
      <c r="W17" s="774">
        <f>J17</f>
        <v>100</v>
      </c>
      <c r="X17" s="1815"/>
      <c r="Y17" s="3256"/>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56"/>
      <c r="Q18" s="1812"/>
      <c r="R18" s="773"/>
      <c r="S18" s="774"/>
      <c r="T18" s="773"/>
      <c r="U18" s="774"/>
      <c r="V18" s="773"/>
      <c r="W18" s="774"/>
      <c r="X18" s="1815"/>
      <c r="Y18" s="3256"/>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56"/>
      <c r="Q19" s="1812" t="str">
        <f t="shared" ref="Q19:Q33" si="8">B19</f>
        <v>区域土地利用方向</v>
      </c>
      <c r="R19" s="773" t="s">
        <v>17</v>
      </c>
      <c r="S19" s="774">
        <f>F19</f>
        <v>100</v>
      </c>
      <c r="T19" s="773" t="s">
        <v>17</v>
      </c>
      <c r="U19" s="774">
        <f>H19</f>
        <v>100</v>
      </c>
      <c r="V19" s="773" t="s">
        <v>17</v>
      </c>
      <c r="W19" s="774">
        <f>J19</f>
        <v>100</v>
      </c>
      <c r="X19" s="1815"/>
      <c r="Y19" s="3256"/>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56"/>
      <c r="Q20" s="1812"/>
      <c r="R20" s="773"/>
      <c r="S20" s="774"/>
      <c r="T20" s="773"/>
      <c r="U20" s="774"/>
      <c r="V20" s="773"/>
      <c r="W20" s="774"/>
      <c r="X20" s="1815"/>
      <c r="Y20" s="3256"/>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56"/>
      <c r="Q21" s="1812" t="str">
        <f t="shared" si="8"/>
        <v>环境状况</v>
      </c>
      <c r="R21" s="773" t="s">
        <v>17</v>
      </c>
      <c r="S21" s="774">
        <f>F21</f>
        <v>100</v>
      </c>
      <c r="T21" s="773" t="s">
        <v>17</v>
      </c>
      <c r="U21" s="774">
        <f>H21</f>
        <v>100</v>
      </c>
      <c r="V21" s="773" t="s">
        <v>17</v>
      </c>
      <c r="W21" s="774">
        <f>J21</f>
        <v>100</v>
      </c>
      <c r="X21" s="1815"/>
      <c r="Y21" s="3256"/>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56"/>
      <c r="Q22" s="1812"/>
      <c r="R22" s="773"/>
      <c r="S22" s="774"/>
      <c r="T22" s="773"/>
      <c r="U22" s="774"/>
      <c r="V22" s="773"/>
      <c r="W22" s="774"/>
      <c r="X22" s="1815"/>
      <c r="Y22" s="3256"/>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56"/>
      <c r="Q23" s="1797" t="str">
        <f t="shared" si="8"/>
        <v>公共配套设施</v>
      </c>
      <c r="R23" s="769" t="s">
        <v>17</v>
      </c>
      <c r="S23" s="770">
        <f>F23</f>
        <v>100</v>
      </c>
      <c r="T23" s="769" t="s">
        <v>17</v>
      </c>
      <c r="U23" s="770">
        <f>H23</f>
        <v>100</v>
      </c>
      <c r="V23" s="769" t="s">
        <v>17</v>
      </c>
      <c r="W23" s="770">
        <f>J23</f>
        <v>100</v>
      </c>
      <c r="X23" s="771"/>
      <c r="Y23" s="3256"/>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56"/>
      <c r="Q24" s="1797"/>
      <c r="R24" s="769"/>
      <c r="S24" s="770"/>
      <c r="T24" s="769"/>
      <c r="U24" s="770"/>
      <c r="V24" s="769"/>
      <c r="W24" s="770"/>
      <c r="X24" s="771"/>
      <c r="Y24" s="3256"/>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56"/>
      <c r="Q25" s="1797" t="str">
        <f t="shared" ref="Q25" si="9">B25</f>
        <v>基础设施水平</v>
      </c>
      <c r="R25" s="769" t="s">
        <v>17</v>
      </c>
      <c r="S25" s="770">
        <f>F25</f>
        <v>100</v>
      </c>
      <c r="T25" s="769" t="s">
        <v>17</v>
      </c>
      <c r="U25" s="770">
        <f>H25</f>
        <v>100</v>
      </c>
      <c r="V25" s="769" t="s">
        <v>17</v>
      </c>
      <c r="W25" s="770">
        <f>J25</f>
        <v>100</v>
      </c>
      <c r="X25" s="771"/>
      <c r="Y25" s="3256"/>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56"/>
      <c r="Q26" s="1797"/>
      <c r="R26" s="769"/>
      <c r="S26" s="770"/>
      <c r="T26" s="769"/>
      <c r="U26" s="770"/>
      <c r="V26" s="769"/>
      <c r="W26" s="770"/>
      <c r="X26" s="771"/>
      <c r="Y26" s="3256"/>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5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6"/>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56"/>
      <c r="Q28" s="1812" t="str">
        <f t="shared" si="8"/>
        <v>毗邻道路的类型与等级</v>
      </c>
      <c r="R28" s="773" t="s">
        <v>17</v>
      </c>
      <c r="S28" s="774">
        <f t="shared" si="10"/>
        <v>100</v>
      </c>
      <c r="T28" s="773" t="s">
        <v>17</v>
      </c>
      <c r="U28" s="774">
        <f t="shared" si="11"/>
        <v>100</v>
      </c>
      <c r="V28" s="773" t="s">
        <v>17</v>
      </c>
      <c r="W28" s="774">
        <f t="shared" si="12"/>
        <v>100</v>
      </c>
      <c r="X28" s="1815"/>
      <c r="Y28" s="3256"/>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56"/>
      <c r="Q29" s="1812"/>
      <c r="R29" s="773"/>
      <c r="S29" s="774"/>
      <c r="T29" s="773"/>
      <c r="U29" s="774"/>
      <c r="V29" s="773"/>
      <c r="W29" s="774"/>
      <c r="X29" s="1815"/>
      <c r="Y29" s="3256"/>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56"/>
      <c r="Q30" s="1812" t="str">
        <f t="shared" si="8"/>
        <v>土地级别</v>
      </c>
      <c r="R30" s="773" t="s">
        <v>17</v>
      </c>
      <c r="S30" s="774">
        <f t="shared" si="10"/>
        <v>100</v>
      </c>
      <c r="T30" s="773" t="s">
        <v>17</v>
      </c>
      <c r="U30" s="774">
        <f t="shared" si="11"/>
        <v>100</v>
      </c>
      <c r="V30" s="773" t="s">
        <v>17</v>
      </c>
      <c r="W30" s="774">
        <f t="shared" si="12"/>
        <v>100</v>
      </c>
      <c r="X30" s="1815"/>
      <c r="Y30" s="3256"/>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6"/>
      <c r="Q31" s="1812">
        <f t="shared" si="8"/>
        <v>111</v>
      </c>
      <c r="R31" s="773" t="s">
        <v>17</v>
      </c>
      <c r="S31" s="774">
        <f t="shared" si="10"/>
        <v>100</v>
      </c>
      <c r="T31" s="773" t="s">
        <v>17</v>
      </c>
      <c r="U31" s="774">
        <f t="shared" si="11"/>
        <v>100</v>
      </c>
      <c r="V31" s="773" t="s">
        <v>17</v>
      </c>
      <c r="W31" s="774">
        <f t="shared" si="12"/>
        <v>100</v>
      </c>
      <c r="X31" s="1815"/>
      <c r="Y31" s="3256"/>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2" t="s">
        <v>2563</v>
      </c>
      <c r="Q32" s="1812">
        <f t="shared" si="8"/>
        <v>111</v>
      </c>
      <c r="R32" s="773" t="s">
        <v>17</v>
      </c>
      <c r="S32" s="774">
        <f t="shared" si="10"/>
        <v>100</v>
      </c>
      <c r="T32" s="773" t="s">
        <v>17</v>
      </c>
      <c r="U32" s="774">
        <f t="shared" si="11"/>
        <v>100</v>
      </c>
      <c r="V32" s="773" t="s">
        <v>17</v>
      </c>
      <c r="W32" s="774">
        <f t="shared" si="12"/>
        <v>100</v>
      </c>
      <c r="X32" s="1815"/>
      <c r="Y32" s="3260"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60"/>
      <c r="Q33" s="1812">
        <f t="shared" si="8"/>
        <v>111</v>
      </c>
      <c r="R33" s="776" t="s">
        <v>17</v>
      </c>
      <c r="S33" s="777">
        <f t="shared" si="10"/>
        <v>100</v>
      </c>
      <c r="T33" s="776" t="s">
        <v>17</v>
      </c>
      <c r="U33" s="777">
        <f t="shared" si="11"/>
        <v>100</v>
      </c>
      <c r="V33" s="776" t="s">
        <v>17</v>
      </c>
      <c r="W33" s="777">
        <f t="shared" si="12"/>
        <v>100</v>
      </c>
      <c r="X33" s="778"/>
      <c r="Y33" s="3260"/>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60"/>
      <c r="Q34" s="1812" t="str">
        <f>B34</f>
        <v>宗地面积</v>
      </c>
      <c r="R34" s="773" t="s">
        <v>17</v>
      </c>
      <c r="S34" s="774" t="e">
        <f t="shared" si="10"/>
        <v>#N/A</v>
      </c>
      <c r="T34" s="773" t="s">
        <v>17</v>
      </c>
      <c r="U34" s="774" t="e">
        <f t="shared" si="11"/>
        <v>#N/A</v>
      </c>
      <c r="V34" s="773" t="s">
        <v>17</v>
      </c>
      <c r="W34" s="774" t="e">
        <f t="shared" si="12"/>
        <v>#N/A</v>
      </c>
      <c r="X34" s="1815"/>
      <c r="Y34" s="3260"/>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60"/>
      <c r="Q35" s="1812" t="str">
        <f t="shared" ref="Q35:Q40" si="14">B35</f>
        <v>宗地形状</v>
      </c>
      <c r="R35" s="773" t="s">
        <v>17</v>
      </c>
      <c r="S35" s="774">
        <f t="shared" si="10"/>
        <v>100</v>
      </c>
      <c r="T35" s="773" t="s">
        <v>17</v>
      </c>
      <c r="U35" s="774">
        <f t="shared" si="11"/>
        <v>100</v>
      </c>
      <c r="V35" s="773" t="s">
        <v>17</v>
      </c>
      <c r="W35" s="774">
        <f t="shared" si="12"/>
        <v>100</v>
      </c>
      <c r="X35" s="1815"/>
      <c r="Y35" s="3260"/>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60"/>
      <c r="Q36" s="1812" t="str">
        <f t="shared" si="14"/>
        <v>宗地开发程度</v>
      </c>
      <c r="R36" s="769" t="s">
        <v>17</v>
      </c>
      <c r="S36" s="770">
        <f t="shared" si="10"/>
        <v>100</v>
      </c>
      <c r="T36" s="769" t="s">
        <v>17</v>
      </c>
      <c r="U36" s="770">
        <f t="shared" si="11"/>
        <v>100</v>
      </c>
      <c r="V36" s="769" t="s">
        <v>17</v>
      </c>
      <c r="W36" s="770">
        <f t="shared" si="12"/>
        <v>100</v>
      </c>
      <c r="X36" s="771"/>
      <c r="Y36" s="3260"/>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60" t="s">
        <v>2563</v>
      </c>
      <c r="Q37" s="1812" t="str">
        <f t="shared" si="14"/>
        <v>工程地质条件</v>
      </c>
      <c r="R37" s="773" t="s">
        <v>17</v>
      </c>
      <c r="S37" s="774">
        <f t="shared" si="10"/>
        <v>100</v>
      </c>
      <c r="T37" s="773" t="s">
        <v>17</v>
      </c>
      <c r="U37" s="774">
        <f t="shared" si="11"/>
        <v>100</v>
      </c>
      <c r="V37" s="773" t="s">
        <v>17</v>
      </c>
      <c r="W37" s="774">
        <f t="shared" si="12"/>
        <v>100</v>
      </c>
      <c r="X37" s="1815"/>
      <c r="Y37" s="3260"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60"/>
      <c r="Q38" s="1812">
        <f t="shared" si="14"/>
        <v>111</v>
      </c>
      <c r="R38" s="773" t="s">
        <v>17</v>
      </c>
      <c r="S38" s="774">
        <f t="shared" si="10"/>
        <v>100</v>
      </c>
      <c r="T38" s="773" t="s">
        <v>17</v>
      </c>
      <c r="U38" s="774">
        <f t="shared" si="11"/>
        <v>100</v>
      </c>
      <c r="V38" s="773" t="s">
        <v>17</v>
      </c>
      <c r="W38" s="774">
        <f t="shared" si="12"/>
        <v>100</v>
      </c>
      <c r="X38" s="1815"/>
      <c r="Y38" s="3260"/>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60"/>
      <c r="Q39" s="1812">
        <f t="shared" si="14"/>
        <v>111</v>
      </c>
      <c r="R39" s="773" t="s">
        <v>17</v>
      </c>
      <c r="S39" s="774">
        <f t="shared" si="10"/>
        <v>100</v>
      </c>
      <c r="T39" s="773" t="s">
        <v>17</v>
      </c>
      <c r="U39" s="774">
        <f t="shared" si="11"/>
        <v>100</v>
      </c>
      <c r="V39" s="773" t="s">
        <v>17</v>
      </c>
      <c r="W39" s="774">
        <f t="shared" si="12"/>
        <v>100</v>
      </c>
      <c r="X39" s="1815"/>
      <c r="Y39" s="3260"/>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60"/>
      <c r="Q40" s="1812">
        <f t="shared" si="14"/>
        <v>111</v>
      </c>
      <c r="R40" s="776" t="s">
        <v>17</v>
      </c>
      <c r="S40" s="777">
        <f t="shared" si="10"/>
        <v>100</v>
      </c>
      <c r="T40" s="776" t="s">
        <v>17</v>
      </c>
      <c r="U40" s="777">
        <f t="shared" si="11"/>
        <v>100</v>
      </c>
      <c r="V40" s="776" t="s">
        <v>17</v>
      </c>
      <c r="W40" s="777">
        <f t="shared" si="12"/>
        <v>100</v>
      </c>
      <c r="X40" s="778"/>
      <c r="Y40" s="3260"/>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62" t="str">
        <f>A41</f>
        <v>成交单价</v>
      </c>
      <c r="Q41" s="3262"/>
      <c r="R41" s="3223">
        <f>E41</f>
        <v>0</v>
      </c>
      <c r="S41" s="3223"/>
      <c r="T41" s="3223">
        <f>G41</f>
        <v>0</v>
      </c>
      <c r="U41" s="3223"/>
      <c r="V41" s="3223">
        <f>I41</f>
        <v>0</v>
      </c>
      <c r="W41" s="3223"/>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62" t="str">
        <f>A42</f>
        <v>比较价值（元/平方米）</v>
      </c>
      <c r="Q42" s="3262"/>
      <c r="R42" s="3313" t="e">
        <f>ROUND(PRODUCT(R41,AA7:AA40),0)</f>
        <v>#DIV/0!</v>
      </c>
      <c r="S42" s="3313"/>
      <c r="T42" s="3313" t="e">
        <f>ROUND(PRODUCT(T41,AB7:AB40),0)</f>
        <v>#DIV/0!</v>
      </c>
      <c r="U42" s="3313"/>
      <c r="V42" s="3313" t="e">
        <f>ROUND(PRODUCT(V41,AC7:AC40),0)</f>
        <v>#DIV/0!</v>
      </c>
      <c r="W42" s="3313"/>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64" t="str">
        <f>A43</f>
        <v>估价对象XX用房的比较价值（楼面单价，元/平方米）</v>
      </c>
      <c r="Q43" s="3265"/>
      <c r="R43" s="3314" t="e">
        <f>ROUND(AVERAGE(R42:V42),0)</f>
        <v>#DIV/0!</v>
      </c>
      <c r="S43" s="3314"/>
      <c r="T43" s="3314"/>
      <c r="U43" s="3314"/>
      <c r="V43" s="3314"/>
      <c r="W43" s="331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40" t="s">
        <v>2762</v>
      </c>
      <c r="H50" s="3315"/>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10648.409999999993</v>
      </c>
      <c r="F51" s="690" t="e">
        <f t="shared" ref="F51:F60" si="15">ROUND(B51*E51/10000,0)</f>
        <v>#DIV/0!</v>
      </c>
      <c r="G51" s="3239"/>
      <c r="H51" s="3262"/>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6"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6"/>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6"/>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6"/>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3042.4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5"/>
      <c r="B4" s="3336"/>
      <c r="C4" s="3336"/>
      <c r="D4" s="3337"/>
      <c r="E4" s="3337"/>
      <c r="F4" s="3337"/>
      <c r="G4" s="3337"/>
      <c r="H4" s="3337"/>
      <c r="I4" s="3337"/>
      <c r="J4" s="3338"/>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21"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3.5</v>
      </c>
      <c r="AA7" s="1608"/>
      <c r="AB7" s="1608"/>
      <c r="AC7" s="1609"/>
      <c r="AD7" s="1610"/>
      <c r="AE7" s="1610"/>
      <c r="AF7" s="1610"/>
      <c r="AG7" s="1610"/>
      <c r="AH7" s="1610"/>
      <c r="AI7" s="1610"/>
      <c r="AJ7" s="1611"/>
    </row>
    <row r="8" spans="1:36" ht="15">
      <c r="A8" s="3322"/>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2" t="s">
        <v>2838</v>
      </c>
      <c r="X8" s="3333"/>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2"/>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4"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2"/>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2"/>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4" t="s">
        <v>2862</v>
      </c>
      <c r="X11" s="1616" t="s">
        <v>2863</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321"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4"/>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9"/>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34"/>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339"/>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40"/>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1"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2"/>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29"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0"/>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0"/>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31"/>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23" t="s">
        <v>2972</v>
      </c>
      <c r="B90" s="3323"/>
      <c r="C90" s="3323"/>
      <c r="D90" s="3323"/>
      <c r="E90" s="3323"/>
      <c r="F90" s="3323"/>
      <c r="G90" s="3323"/>
      <c r="H90" s="3323"/>
      <c r="I90" s="3323"/>
      <c r="J90" s="3323"/>
      <c r="K90" s="2892"/>
      <c r="L90" s="2892"/>
      <c r="M90" s="2892"/>
      <c r="N90" s="2892"/>
    </row>
    <row r="91" spans="1:37">
      <c r="A91" s="3325" t="s">
        <v>2973</v>
      </c>
      <c r="B91" s="3325" t="s">
        <v>2974</v>
      </c>
      <c r="C91" s="2846" t="s">
        <v>2975</v>
      </c>
      <c r="D91" s="2847"/>
      <c r="E91" s="2847"/>
      <c r="F91" s="2847"/>
      <c r="G91" s="2847"/>
      <c r="H91" s="2847"/>
      <c r="I91" s="2847"/>
      <c r="J91" s="2893"/>
      <c r="K91" s="2894"/>
      <c r="L91" s="2894"/>
      <c r="M91" s="2894"/>
      <c r="N91" s="2894"/>
    </row>
    <row r="92" spans="1:37">
      <c r="A92" s="3325"/>
      <c r="B92" s="3325"/>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26"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7"/>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2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6" t="s">
        <v>2977</v>
      </c>
      <c r="B101" s="2899" t="s">
        <v>2978</v>
      </c>
      <c r="C101" s="2900">
        <f>$G$3</f>
        <v>3.5</v>
      </c>
      <c r="D101" s="2900">
        <f t="shared" ref="D101:N101" si="31">$G$3</f>
        <v>3.5</v>
      </c>
      <c r="E101" s="2900">
        <f t="shared" si="31"/>
        <v>3.5</v>
      </c>
      <c r="F101" s="2900">
        <f t="shared" si="31"/>
        <v>3.5</v>
      </c>
      <c r="G101" s="2900">
        <f t="shared" si="31"/>
        <v>3.5</v>
      </c>
      <c r="H101" s="2900">
        <f t="shared" si="31"/>
        <v>3.5</v>
      </c>
      <c r="I101" s="2900">
        <f t="shared" si="31"/>
        <v>3.5</v>
      </c>
      <c r="J101" s="2900">
        <f t="shared" si="31"/>
        <v>3.5</v>
      </c>
      <c r="K101" s="2900">
        <f t="shared" si="31"/>
        <v>3.5</v>
      </c>
      <c r="L101" s="2900">
        <f t="shared" si="31"/>
        <v>3.5</v>
      </c>
      <c r="M101" s="2900">
        <f t="shared" si="31"/>
        <v>3.5</v>
      </c>
      <c r="N101" s="2900">
        <f t="shared" si="31"/>
        <v>3.5</v>
      </c>
    </row>
    <row r="102" spans="1:14">
      <c r="A102" s="3327"/>
      <c r="B102" s="2895">
        <v>1</v>
      </c>
      <c r="C102" s="2896">
        <f>1.9362/C101</f>
        <v>0.55320000000000003</v>
      </c>
      <c r="D102" s="2896">
        <f>1.9362/D101</f>
        <v>0.55320000000000003</v>
      </c>
      <c r="E102" s="2896">
        <f>1.8629/E101</f>
        <v>0.53225714285714287</v>
      </c>
      <c r="F102" s="2896">
        <f>1.8629/F101</f>
        <v>0.53225714285714287</v>
      </c>
      <c r="G102" s="2896">
        <f>1.8629/G101</f>
        <v>0.53225714285714287</v>
      </c>
      <c r="H102" s="2896">
        <f>1.8629/H101</f>
        <v>0.53225714285714287</v>
      </c>
      <c r="I102" s="2896">
        <f>1.8629/I101</f>
        <v>0.53225714285714287</v>
      </c>
      <c r="J102" s="2896">
        <f>1.942/J101</f>
        <v>0.55485714285714283</v>
      </c>
      <c r="K102" s="2896">
        <f>1.942/K101</f>
        <v>0.55485714285714283</v>
      </c>
      <c r="L102" s="2896">
        <f>1.942/L101</f>
        <v>0.55485714285714283</v>
      </c>
      <c r="M102" s="2896">
        <f>1.942/M101</f>
        <v>0.55485714285714283</v>
      </c>
      <c r="N102" s="2896">
        <f>1.942/N101</f>
        <v>0.55485714285714283</v>
      </c>
    </row>
    <row r="103" spans="1:14">
      <c r="A103" s="3327"/>
      <c r="B103" s="2895">
        <v>2</v>
      </c>
      <c r="C103" s="2896">
        <f>1.4198/C101</f>
        <v>0.40565714285714283</v>
      </c>
      <c r="D103" s="2896">
        <f>1.4198/D101</f>
        <v>0.40565714285714283</v>
      </c>
      <c r="E103" s="2896">
        <f>1.3372/E101</f>
        <v>0.38205714285714282</v>
      </c>
      <c r="F103" s="2896">
        <f>1.3372/F101</f>
        <v>0.38205714285714282</v>
      </c>
      <c r="G103" s="2896">
        <f>1.3372/G101</f>
        <v>0.38205714285714282</v>
      </c>
      <c r="H103" s="2896">
        <f>1.3372/H101</f>
        <v>0.38205714285714282</v>
      </c>
      <c r="I103" s="2896">
        <f>1.3372/I101</f>
        <v>0.38205714285714282</v>
      </c>
      <c r="J103" s="2896">
        <f>1.2799/J101</f>
        <v>0.36568571428571428</v>
      </c>
      <c r="K103" s="2896">
        <f>1.2799/K101</f>
        <v>0.36568571428571428</v>
      </c>
      <c r="L103" s="2896">
        <f>1.2799/L101</f>
        <v>0.36568571428571428</v>
      </c>
      <c r="M103" s="2896">
        <f>1.2799/M101</f>
        <v>0.36568571428571428</v>
      </c>
      <c r="N103" s="2896">
        <f>1.2799/N101</f>
        <v>0.36568571428571428</v>
      </c>
    </row>
    <row r="104" spans="1:14">
      <c r="A104" s="3327"/>
      <c r="B104" s="2895">
        <v>3</v>
      </c>
      <c r="C104" s="2896">
        <f>1.1594/C101</f>
        <v>0.33125714285714286</v>
      </c>
      <c r="D104" s="2896">
        <f>1.1594/D101</f>
        <v>0.33125714285714286</v>
      </c>
      <c r="E104" s="2896">
        <f>1.0788/E101</f>
        <v>0.30822857142857141</v>
      </c>
      <c r="F104" s="2896">
        <f>1.0788/F101</f>
        <v>0.30822857142857141</v>
      </c>
      <c r="G104" s="2896">
        <f>1.0788/G101</f>
        <v>0.30822857142857141</v>
      </c>
      <c r="H104" s="2896">
        <f>1.0788/H101</f>
        <v>0.30822857142857141</v>
      </c>
      <c r="I104" s="2896">
        <f>1.0788/I101</f>
        <v>0.30822857142857141</v>
      </c>
      <c r="J104" s="2896">
        <f>1.0072/J101</f>
        <v>0.28777142857142862</v>
      </c>
      <c r="K104" s="2896">
        <f>1.0072/K101</f>
        <v>0.28777142857142862</v>
      </c>
      <c r="L104" s="2896">
        <f>1.0072/L101</f>
        <v>0.28777142857142862</v>
      </c>
      <c r="M104" s="2896">
        <f>1.0072/M101</f>
        <v>0.28777142857142862</v>
      </c>
      <c r="N104" s="2896">
        <f>1.0072/N101</f>
        <v>0.28777142857142862</v>
      </c>
    </row>
    <row r="105" spans="1:14">
      <c r="A105" s="3327"/>
      <c r="B105" s="2895">
        <v>4</v>
      </c>
      <c r="C105" s="2896">
        <f>0.9622/C101</f>
        <v>0.27491428571428572</v>
      </c>
      <c r="D105" s="2896">
        <f>0.9622/D101</f>
        <v>0.27491428571428572</v>
      </c>
      <c r="E105" s="2896">
        <f>0.8656/E101</f>
        <v>0.24731428571428574</v>
      </c>
      <c r="F105" s="2896">
        <f>0.8656/F101</f>
        <v>0.24731428571428574</v>
      </c>
      <c r="G105" s="2896">
        <f>0.8656/G101</f>
        <v>0.24731428571428574</v>
      </c>
      <c r="H105" s="2896">
        <f>0.8656/H101</f>
        <v>0.24731428571428574</v>
      </c>
      <c r="I105" s="2896">
        <f>0.8656/I101</f>
        <v>0.24731428571428574</v>
      </c>
      <c r="J105" s="2896">
        <f>0.7525/J101</f>
        <v>0.215</v>
      </c>
      <c r="K105" s="2896">
        <f>0.7525/K101</f>
        <v>0.215</v>
      </c>
      <c r="L105" s="2896">
        <f>0.7525/L101</f>
        <v>0.215</v>
      </c>
      <c r="M105" s="2896">
        <f>0.7525/M101</f>
        <v>0.215</v>
      </c>
      <c r="N105" s="2896">
        <f>0.7525/N101</f>
        <v>0.215</v>
      </c>
    </row>
    <row r="106" spans="1:14">
      <c r="A106" s="3327"/>
      <c r="B106" s="2895">
        <v>5</v>
      </c>
      <c r="C106" s="2896">
        <f>0.8417/C101</f>
        <v>0.24048571428571427</v>
      </c>
      <c r="D106" s="2896">
        <f>0.8417/D101</f>
        <v>0.24048571428571427</v>
      </c>
      <c r="E106" s="2896">
        <f>0.7371/E101</f>
        <v>0.21059999999999998</v>
      </c>
      <c r="F106" s="2896">
        <f>0.7371/F101</f>
        <v>0.21059999999999998</v>
      </c>
      <c r="G106" s="2896">
        <f>0.7371/G101</f>
        <v>0.21059999999999998</v>
      </c>
      <c r="H106" s="2896">
        <f>0.7371/H101</f>
        <v>0.21059999999999998</v>
      </c>
      <c r="I106" s="2896">
        <f>0.7371/I101</f>
        <v>0.21059999999999998</v>
      </c>
      <c r="J106" s="2896">
        <f>0.5659/J101</f>
        <v>0.16168571428571427</v>
      </c>
      <c r="K106" s="2896">
        <f>0.5659/K101</f>
        <v>0.16168571428571427</v>
      </c>
      <c r="L106" s="2896">
        <f>0.5659/L101</f>
        <v>0.16168571428571427</v>
      </c>
      <c r="M106" s="2896">
        <f>0.5659/M101</f>
        <v>0.16168571428571427</v>
      </c>
      <c r="N106" s="2896">
        <f>0.5659/N101</f>
        <v>0.16168571428571427</v>
      </c>
    </row>
    <row r="107" spans="1:14">
      <c r="A107" s="3327"/>
      <c r="B107" s="2895">
        <v>6</v>
      </c>
      <c r="C107" s="2896">
        <f>0.7608/C101</f>
        <v>0.21737142857142858</v>
      </c>
      <c r="D107" s="2896">
        <f>0.7608/D101</f>
        <v>0.21737142857142858</v>
      </c>
      <c r="E107" s="2896">
        <f>0.6482/E101</f>
        <v>0.1852</v>
      </c>
      <c r="F107" s="2896">
        <f>0.6482/F101</f>
        <v>0.1852</v>
      </c>
      <c r="G107" s="2896">
        <f>0.6482/G101</f>
        <v>0.1852</v>
      </c>
      <c r="H107" s="2896">
        <f>0.6482/H101</f>
        <v>0.1852</v>
      </c>
      <c r="I107" s="2896">
        <f>0.6482/I101</f>
        <v>0.1852</v>
      </c>
      <c r="J107" s="2896">
        <f>0.4525/J101</f>
        <v>0.12928571428571428</v>
      </c>
      <c r="K107" s="2896">
        <f>0.4525/K101</f>
        <v>0.12928571428571428</v>
      </c>
      <c r="L107" s="2896">
        <f>0.4525/L101</f>
        <v>0.12928571428571428</v>
      </c>
      <c r="M107" s="2896">
        <f>0.4525/M101</f>
        <v>0.12928571428571428</v>
      </c>
      <c r="N107" s="2896">
        <f>0.4525/N101</f>
        <v>0.12928571428571428</v>
      </c>
    </row>
    <row r="108" spans="1:14">
      <c r="A108" s="3327"/>
      <c r="B108" s="3151"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28"/>
      <c r="B109" s="3152"/>
      <c r="C109" s="2898">
        <f>(-0.163*(C108^2)-0.59*C108+7617)*(10^(-4))/C101</f>
        <v>0.21762857142857145</v>
      </c>
      <c r="D109" s="2898">
        <f>(-0.163*(D108^2)-0.59*D108+7617)*(10^(-4))/D101</f>
        <v>0.21762857142857145</v>
      </c>
      <c r="E109" s="2898">
        <f>(-0.161*(E108^2)-7.509*E108+6533)*(10^(-4))/E101</f>
        <v>0.18665714285714285</v>
      </c>
      <c r="F109" s="2898">
        <f>(-0.161*(F108^2)-7.509*F108+6533)*(10^(-4))/F101</f>
        <v>0.18665714285714285</v>
      </c>
      <c r="G109" s="2898">
        <f>(-0.161*(G108^2)-7.509*G108+6533)*(10^(-4))/G101</f>
        <v>0.18665714285714285</v>
      </c>
      <c r="H109" s="2898">
        <f>(-0.161*(H108^2)-7.509*H108+6533)*(10^(-4))/H101</f>
        <v>0.18665714285714285</v>
      </c>
      <c r="I109" s="2898">
        <f>(-0.161*(I108^2)-7.509*I108+6533)*(10^(-4))/I101</f>
        <v>0.18665714285714285</v>
      </c>
      <c r="J109" s="2898">
        <f>(-0.214*(J108^2)-21.991*J108+4665)*(10^(-4))/J101</f>
        <v>0.13328571428571429</v>
      </c>
      <c r="K109" s="2898">
        <f>(-0.214*(K108^2)-21.991*K108+4665)*(10^(-4))/K101</f>
        <v>0.13328571428571429</v>
      </c>
      <c r="L109" s="2898">
        <f>(-0.214*(L108^2)-21.991*L108+4665)*(10^(-4))/L101</f>
        <v>0.13328571428571429</v>
      </c>
      <c r="M109" s="2898">
        <f>(-0.214*(M108^2)-21.991*M108+4665)*(10^(-4))/M101</f>
        <v>0.13328571428571429</v>
      </c>
      <c r="N109" s="2898">
        <f>(-0.214*(N108^2)-21.991*N108+4665)*(10^(-4))/N101</f>
        <v>0.13328571428571429</v>
      </c>
    </row>
    <row r="110" spans="1:14">
      <c r="A110" s="3324" t="s">
        <v>2980</v>
      </c>
      <c r="B110" s="3324"/>
      <c r="C110" s="3324"/>
      <c r="D110" s="3324"/>
      <c r="E110" s="3324"/>
      <c r="F110" s="3324"/>
      <c r="G110" s="3324"/>
      <c r="H110" s="3324"/>
      <c r="I110" s="3324"/>
      <c r="J110" s="3324"/>
      <c r="K110" s="2901"/>
      <c r="L110" s="2901"/>
      <c r="M110" s="2901"/>
      <c r="N110" s="2901"/>
    </row>
    <row r="112" spans="1:14" ht="13.5" thickBot="1"/>
    <row r="113" spans="1:13" ht="25.5" thickBot="1">
      <c r="A113" s="902" t="s">
        <v>2981</v>
      </c>
      <c r="B113" s="1289">
        <f>G3</f>
        <v>3.5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1" t="s">
        <v>183</v>
      </c>
      <c r="B18" s="881" t="s">
        <v>560</v>
      </c>
      <c r="C18" s="882" t="s">
        <v>561</v>
      </c>
      <c r="D18" s="883"/>
      <c r="E18" s="881">
        <v>1</v>
      </c>
      <c r="F18" s="884" t="s">
        <v>562</v>
      </c>
      <c r="G18" s="885"/>
      <c r="H18" s="877"/>
      <c r="I18" s="877"/>
    </row>
    <row r="19" spans="1:9" s="886" customFormat="1" ht="19.5" customHeight="1">
      <c r="A19" s="3341"/>
      <c r="B19" s="3341" t="s">
        <v>563</v>
      </c>
      <c r="C19" s="882" t="s">
        <v>564</v>
      </c>
      <c r="D19" s="883"/>
      <c r="E19" s="881">
        <v>0.9</v>
      </c>
      <c r="F19" s="884" t="s">
        <v>565</v>
      </c>
      <c r="G19" s="885"/>
      <c r="H19" s="877"/>
      <c r="I19" s="877"/>
    </row>
    <row r="20" spans="1:9" s="886" customFormat="1" ht="19.5" customHeight="1">
      <c r="A20" s="3341"/>
      <c r="B20" s="3341"/>
      <c r="C20" s="882" t="s">
        <v>566</v>
      </c>
      <c r="D20" s="883"/>
      <c r="E20" s="881">
        <v>1.1000000000000001</v>
      </c>
      <c r="F20" s="884" t="s">
        <v>567</v>
      </c>
      <c r="G20" s="885"/>
      <c r="H20" s="877"/>
      <c r="I20" s="877"/>
    </row>
    <row r="21" spans="1:9" s="886" customFormat="1" ht="19.5" customHeight="1">
      <c r="A21" s="3341"/>
      <c r="B21" s="3341"/>
      <c r="C21" s="882" t="s">
        <v>568</v>
      </c>
      <c r="D21" s="883"/>
      <c r="E21" s="881">
        <v>0.8</v>
      </c>
      <c r="F21" s="884" t="s">
        <v>569</v>
      </c>
      <c r="G21" s="885"/>
      <c r="H21" s="877"/>
      <c r="I21" s="877"/>
    </row>
    <row r="22" spans="1:9" s="886" customFormat="1" ht="19.5" customHeight="1">
      <c r="A22" s="3341"/>
      <c r="B22" s="3341"/>
      <c r="C22" s="882" t="s">
        <v>570</v>
      </c>
      <c r="D22" s="883"/>
      <c r="E22" s="881">
        <v>0.5</v>
      </c>
      <c r="F22" s="884"/>
      <c r="G22" s="885"/>
      <c r="H22" s="877"/>
      <c r="I22" s="877"/>
    </row>
    <row r="23" spans="1:9" s="886" customFormat="1" ht="19.5" customHeight="1">
      <c r="A23" s="3341" t="s">
        <v>184</v>
      </c>
      <c r="B23" s="881" t="s">
        <v>560</v>
      </c>
      <c r="C23" s="882" t="s">
        <v>571</v>
      </c>
      <c r="D23" s="883"/>
      <c r="E23" s="881">
        <v>1</v>
      </c>
      <c r="F23" s="884" t="s">
        <v>572</v>
      </c>
      <c r="G23" s="885"/>
      <c r="H23" s="877"/>
      <c r="I23" s="877"/>
    </row>
    <row r="24" spans="1:9" s="886" customFormat="1" ht="19.5" customHeight="1">
      <c r="A24" s="3341"/>
      <c r="B24" s="3341" t="s">
        <v>563</v>
      </c>
      <c r="C24" s="882" t="s">
        <v>573</v>
      </c>
      <c r="D24" s="883"/>
      <c r="E24" s="881">
        <v>0.5</v>
      </c>
      <c r="F24" s="884"/>
      <c r="G24" s="885"/>
      <c r="H24" s="877"/>
      <c r="I24" s="877"/>
    </row>
    <row r="25" spans="1:9" s="886" customFormat="1" ht="19.5" customHeight="1">
      <c r="A25" s="3341"/>
      <c r="B25" s="3341"/>
      <c r="C25" s="882" t="s">
        <v>574</v>
      </c>
      <c r="D25" s="883"/>
      <c r="E25" s="881">
        <v>1.1000000000000001</v>
      </c>
      <c r="F25" s="884"/>
      <c r="G25" s="885"/>
      <c r="H25" s="877"/>
      <c r="I25" s="877"/>
    </row>
    <row r="26" spans="1:9" s="886" customFormat="1" ht="19.5" customHeight="1">
      <c r="A26" s="3341"/>
      <c r="B26" s="3341"/>
      <c r="C26" s="882" t="s">
        <v>575</v>
      </c>
      <c r="D26" s="883"/>
      <c r="E26" s="881">
        <v>1.1000000000000001</v>
      </c>
      <c r="F26" s="884"/>
      <c r="G26" s="885"/>
      <c r="H26" s="877"/>
      <c r="I26" s="877"/>
    </row>
    <row r="27" spans="1:9" s="886" customFormat="1" ht="19.5" customHeight="1">
      <c r="A27" s="3341"/>
      <c r="B27" s="3341"/>
      <c r="C27" s="882" t="s">
        <v>576</v>
      </c>
      <c r="D27" s="883"/>
      <c r="E27" s="881">
        <v>0.9</v>
      </c>
      <c r="F27" s="884" t="s">
        <v>577</v>
      </c>
      <c r="G27" s="885"/>
      <c r="H27" s="877"/>
      <c r="I27" s="877"/>
    </row>
    <row r="28" spans="1:9" s="886" customFormat="1" ht="19.5" customHeight="1">
      <c r="A28" s="3341"/>
      <c r="B28" s="3341"/>
      <c r="C28" s="882" t="s">
        <v>578</v>
      </c>
      <c r="D28" s="883"/>
      <c r="E28" s="881">
        <v>0.9</v>
      </c>
      <c r="F28" s="884" t="s">
        <v>579</v>
      </c>
      <c r="G28" s="885"/>
      <c r="H28" s="877"/>
      <c r="I28" s="877"/>
    </row>
    <row r="29" spans="1:9" s="886" customFormat="1" ht="19.5" customHeight="1">
      <c r="A29" s="3341"/>
      <c r="B29" s="3341"/>
      <c r="C29" s="882" t="s">
        <v>580</v>
      </c>
      <c r="D29" s="883"/>
      <c r="E29" s="881">
        <v>0.9</v>
      </c>
      <c r="F29" s="884" t="s">
        <v>581</v>
      </c>
      <c r="G29" s="885"/>
      <c r="H29" s="877"/>
      <c r="I29" s="877"/>
    </row>
    <row r="30" spans="1:9" s="886" customFormat="1" ht="19.5" customHeight="1">
      <c r="A30" s="3341"/>
      <c r="B30" s="3341"/>
      <c r="C30" s="882" t="s">
        <v>582</v>
      </c>
      <c r="D30" s="883"/>
      <c r="E30" s="881">
        <v>0.9</v>
      </c>
      <c r="F30" s="884" t="s">
        <v>583</v>
      </c>
      <c r="G30" s="885"/>
      <c r="H30" s="877"/>
      <c r="I30" s="877"/>
    </row>
    <row r="31" spans="1:9" s="886" customFormat="1" ht="19.5" customHeight="1">
      <c r="A31" s="3341"/>
      <c r="B31" s="3341"/>
      <c r="C31" s="882" t="s">
        <v>584</v>
      </c>
      <c r="D31" s="883"/>
      <c r="E31" s="881">
        <v>0.8</v>
      </c>
      <c r="F31" s="884" t="s">
        <v>585</v>
      </c>
      <c r="G31" s="885"/>
      <c r="H31" s="877"/>
      <c r="I31" s="877"/>
    </row>
    <row r="32" spans="1:9" s="886" customFormat="1" ht="19.5" customHeight="1">
      <c r="A32" s="3341"/>
      <c r="B32" s="3341"/>
      <c r="C32" s="882" t="s">
        <v>586</v>
      </c>
      <c r="D32" s="883"/>
      <c r="E32" s="881">
        <v>0.8</v>
      </c>
      <c r="F32" s="884" t="s">
        <v>587</v>
      </c>
      <c r="G32" s="885"/>
      <c r="H32" s="877"/>
      <c r="I32" s="877"/>
    </row>
    <row r="33" spans="1:9" s="886" customFormat="1" ht="19.5" customHeight="1">
      <c r="A33" s="3341" t="s">
        <v>185</v>
      </c>
      <c r="B33" s="881" t="s">
        <v>560</v>
      </c>
      <c r="C33" s="882" t="s">
        <v>588</v>
      </c>
      <c r="D33" s="883"/>
      <c r="E33" s="881">
        <v>1</v>
      </c>
      <c r="F33" s="884" t="s">
        <v>589</v>
      </c>
      <c r="G33" s="885"/>
      <c r="H33" s="877"/>
      <c r="I33" s="877"/>
    </row>
    <row r="34" spans="1:9" s="886" customFormat="1" ht="19.5" customHeight="1">
      <c r="A34" s="3341"/>
      <c r="B34" s="881" t="s">
        <v>563</v>
      </c>
      <c r="C34" s="882" t="s">
        <v>590</v>
      </c>
      <c r="D34" s="883"/>
      <c r="E34" s="881">
        <v>1.5</v>
      </c>
      <c r="F34" s="884" t="s">
        <v>591</v>
      </c>
      <c r="G34" s="885"/>
      <c r="H34" s="877"/>
      <c r="I34" s="877"/>
    </row>
    <row r="35" spans="1:9" s="886" customFormat="1" ht="19.5" customHeight="1">
      <c r="A35" s="3341" t="s">
        <v>186</v>
      </c>
      <c r="B35" s="881" t="s">
        <v>560</v>
      </c>
      <c r="C35" s="882" t="s">
        <v>592</v>
      </c>
      <c r="D35" s="883"/>
      <c r="E35" s="881">
        <v>1</v>
      </c>
      <c r="F35" s="884" t="s">
        <v>593</v>
      </c>
      <c r="G35" s="885"/>
      <c r="H35" s="877"/>
      <c r="I35" s="877"/>
    </row>
    <row r="36" spans="1:9" s="886" customFormat="1" ht="19.5" customHeight="1">
      <c r="A36" s="3341"/>
      <c r="B36" s="3341" t="s">
        <v>563</v>
      </c>
      <c r="C36" s="882" t="s">
        <v>594</v>
      </c>
      <c r="D36" s="883"/>
      <c r="E36" s="881">
        <v>1</v>
      </c>
      <c r="F36" s="884" t="s">
        <v>595</v>
      </c>
      <c r="G36" s="885"/>
      <c r="H36" s="877"/>
      <c r="I36" s="877"/>
    </row>
    <row r="37" spans="1:9" s="886" customFormat="1" ht="19.5" customHeight="1">
      <c r="A37" s="3341"/>
      <c r="B37" s="3341"/>
      <c r="C37" s="882" t="s">
        <v>596</v>
      </c>
      <c r="D37" s="883"/>
      <c r="E37" s="881">
        <v>1.5</v>
      </c>
      <c r="F37" s="884" t="s">
        <v>597</v>
      </c>
      <c r="G37" s="885"/>
      <c r="H37" s="877"/>
      <c r="I37" s="877"/>
    </row>
    <row r="38" spans="1:9" s="886" customFormat="1" ht="19.5" customHeight="1">
      <c r="A38" s="3341"/>
      <c r="B38" s="3341"/>
      <c r="C38" s="882" t="s">
        <v>598</v>
      </c>
      <c r="D38" s="883"/>
      <c r="E38" s="881">
        <v>1</v>
      </c>
      <c r="F38" s="884" t="s">
        <v>599</v>
      </c>
      <c r="G38" s="885"/>
      <c r="H38" s="877"/>
      <c r="I38" s="877"/>
    </row>
    <row r="39" spans="1:9" s="886" customFormat="1" ht="19.5" customHeight="1">
      <c r="A39" s="3341"/>
      <c r="B39" s="334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1" t="s">
        <v>614</v>
      </c>
      <c r="C61" s="817" t="s">
        <v>615</v>
      </c>
      <c r="D61" s="817" t="s">
        <v>616</v>
      </c>
      <c r="E61" s="894">
        <v>0.5</v>
      </c>
      <c r="F61" s="881">
        <v>80</v>
      </c>
    </row>
    <row r="62" spans="1:8" s="877" customFormat="1" ht="24">
      <c r="A62" s="881">
        <v>2</v>
      </c>
      <c r="B62" s="3341"/>
      <c r="C62" s="817" t="s">
        <v>617</v>
      </c>
      <c r="D62" s="817" t="s">
        <v>618</v>
      </c>
      <c r="E62" s="894">
        <v>0.5</v>
      </c>
      <c r="F62" s="881">
        <v>80</v>
      </c>
    </row>
    <row r="63" spans="1:8" s="877" customFormat="1" ht="36">
      <c r="A63" s="881">
        <v>3</v>
      </c>
      <c r="B63" s="3341"/>
      <c r="C63" s="817" t="s">
        <v>619</v>
      </c>
      <c r="D63" s="817" t="s">
        <v>620</v>
      </c>
      <c r="E63" s="894">
        <v>0.5</v>
      </c>
      <c r="F63" s="881">
        <v>80</v>
      </c>
    </row>
    <row r="64" spans="1:8" s="877" customFormat="1" ht="36">
      <c r="A64" s="881">
        <v>4</v>
      </c>
      <c r="B64" s="3341"/>
      <c r="C64" s="817" t="s">
        <v>621</v>
      </c>
      <c r="D64" s="817" t="s">
        <v>622</v>
      </c>
      <c r="E64" s="894">
        <v>0.4</v>
      </c>
      <c r="F64" s="881">
        <v>60</v>
      </c>
    </row>
    <row r="65" spans="1:6" s="877" customFormat="1" ht="36">
      <c r="A65" s="881">
        <v>5</v>
      </c>
      <c r="B65" s="3341"/>
      <c r="C65" s="817" t="s">
        <v>623</v>
      </c>
      <c r="D65" s="817" t="s">
        <v>624</v>
      </c>
      <c r="E65" s="894">
        <v>0.2</v>
      </c>
      <c r="F65" s="881">
        <v>30</v>
      </c>
    </row>
    <row r="66" spans="1:6" s="877" customFormat="1" ht="36">
      <c r="A66" s="881">
        <v>6</v>
      </c>
      <c r="B66" s="3341"/>
      <c r="C66" s="817" t="s">
        <v>625</v>
      </c>
      <c r="D66" s="817" t="s">
        <v>626</v>
      </c>
      <c r="E66" s="894">
        <v>0.3</v>
      </c>
      <c r="F66" s="881">
        <v>50</v>
      </c>
    </row>
    <row r="67" spans="1:6" s="877" customFormat="1" ht="36">
      <c r="A67" s="881">
        <v>7</v>
      </c>
      <c r="B67" s="3341"/>
      <c r="C67" s="817" t="s">
        <v>627</v>
      </c>
      <c r="D67" s="817" t="s">
        <v>628</v>
      </c>
      <c r="E67" s="894">
        <v>0.2</v>
      </c>
      <c r="F67" s="881">
        <v>30</v>
      </c>
    </row>
    <row r="68" spans="1:6" s="877" customFormat="1" ht="36">
      <c r="A68" s="881">
        <v>8</v>
      </c>
      <c r="B68" s="3341"/>
      <c r="C68" s="817" t="s">
        <v>629</v>
      </c>
      <c r="D68" s="817" t="s">
        <v>630</v>
      </c>
      <c r="E68" s="894">
        <v>0.2</v>
      </c>
      <c r="F68" s="881">
        <v>30</v>
      </c>
    </row>
    <row r="69" spans="1:6" s="877" customFormat="1" ht="36">
      <c r="A69" s="881">
        <v>9</v>
      </c>
      <c r="B69" s="3341"/>
      <c r="C69" s="817" t="s">
        <v>631</v>
      </c>
      <c r="D69" s="817" t="s">
        <v>632</v>
      </c>
      <c r="E69" s="894">
        <v>0.2</v>
      </c>
      <c r="F69" s="881">
        <v>30</v>
      </c>
    </row>
    <row r="70" spans="1:6" s="877" customFormat="1" ht="48">
      <c r="A70" s="881">
        <v>10</v>
      </c>
      <c r="B70" s="3341"/>
      <c r="C70" s="817" t="s">
        <v>633</v>
      </c>
      <c r="D70" s="817" t="s">
        <v>634</v>
      </c>
      <c r="E70" s="894">
        <v>0.2</v>
      </c>
      <c r="F70" s="881">
        <v>30</v>
      </c>
    </row>
    <row r="71" spans="1:6" s="877" customFormat="1" ht="48">
      <c r="A71" s="881">
        <v>11</v>
      </c>
      <c r="B71" s="3341"/>
      <c r="C71" s="817" t="s">
        <v>635</v>
      </c>
      <c r="D71" s="817" t="s">
        <v>636</v>
      </c>
      <c r="E71" s="894">
        <v>0.2</v>
      </c>
      <c r="F71" s="881">
        <v>30</v>
      </c>
    </row>
    <row r="72" spans="1:6" s="877" customFormat="1" ht="36">
      <c r="A72" s="881">
        <v>12</v>
      </c>
      <c r="B72" s="3341"/>
      <c r="C72" s="817" t="s">
        <v>637</v>
      </c>
      <c r="D72" s="817" t="s">
        <v>638</v>
      </c>
      <c r="E72" s="894">
        <v>0.5</v>
      </c>
      <c r="F72" s="881">
        <v>80</v>
      </c>
    </row>
    <row r="73" spans="1:6" s="877" customFormat="1" ht="24">
      <c r="A73" s="881">
        <v>13</v>
      </c>
      <c r="B73" s="3341"/>
      <c r="C73" s="817" t="s">
        <v>639</v>
      </c>
      <c r="D73" s="817" t="s">
        <v>640</v>
      </c>
      <c r="E73" s="894">
        <v>0.4</v>
      </c>
      <c r="F73" s="881">
        <v>60</v>
      </c>
    </row>
    <row r="74" spans="1:6" s="877" customFormat="1" ht="24">
      <c r="A74" s="881">
        <v>14</v>
      </c>
      <c r="B74" s="3341"/>
      <c r="C74" s="817" t="s">
        <v>641</v>
      </c>
      <c r="D74" s="817" t="s">
        <v>642</v>
      </c>
      <c r="E74" s="894">
        <v>0.2</v>
      </c>
      <c r="F74" s="881">
        <v>30</v>
      </c>
    </row>
    <row r="75" spans="1:6" s="877" customFormat="1" ht="24">
      <c r="A75" s="881">
        <v>15</v>
      </c>
      <c r="B75" s="3341"/>
      <c r="C75" s="817" t="s">
        <v>643</v>
      </c>
      <c r="D75" s="817" t="s">
        <v>644</v>
      </c>
      <c r="E75" s="894">
        <v>0.2</v>
      </c>
      <c r="F75" s="881">
        <v>30</v>
      </c>
    </row>
    <row r="76" spans="1:6" s="877" customFormat="1" ht="24">
      <c r="A76" s="881">
        <v>16</v>
      </c>
      <c r="B76" s="3341" t="s">
        <v>645</v>
      </c>
      <c r="C76" s="817" t="s">
        <v>646</v>
      </c>
      <c r="D76" s="817" t="s">
        <v>647</v>
      </c>
      <c r="E76" s="894">
        <v>0.5</v>
      </c>
      <c r="F76" s="881">
        <v>80</v>
      </c>
    </row>
    <row r="77" spans="1:6" s="877" customFormat="1" ht="24">
      <c r="A77" s="881">
        <v>17</v>
      </c>
      <c r="B77" s="3341"/>
      <c r="C77" s="817" t="s">
        <v>648</v>
      </c>
      <c r="D77" s="817" t="s">
        <v>649</v>
      </c>
      <c r="E77" s="894">
        <v>0.5</v>
      </c>
      <c r="F77" s="881">
        <v>80</v>
      </c>
    </row>
    <row r="78" spans="1:6" s="877" customFormat="1" ht="24">
      <c r="A78" s="881">
        <v>18</v>
      </c>
      <c r="B78" s="3341"/>
      <c r="C78" s="817" t="s">
        <v>650</v>
      </c>
      <c r="D78" s="817" t="s">
        <v>651</v>
      </c>
      <c r="E78" s="894">
        <v>0.2</v>
      </c>
      <c r="F78" s="881">
        <v>30</v>
      </c>
    </row>
    <row r="79" spans="1:6" s="877" customFormat="1" ht="24">
      <c r="A79" s="881">
        <v>19</v>
      </c>
      <c r="B79" s="3341"/>
      <c r="C79" s="817" t="s">
        <v>652</v>
      </c>
      <c r="D79" s="817" t="s">
        <v>653</v>
      </c>
      <c r="E79" s="894">
        <v>0.5</v>
      </c>
      <c r="F79" s="881">
        <v>80</v>
      </c>
    </row>
    <row r="80" spans="1:6" s="877" customFormat="1" ht="36">
      <c r="A80" s="881">
        <v>20</v>
      </c>
      <c r="B80" s="3341"/>
      <c r="C80" s="817" t="s">
        <v>654</v>
      </c>
      <c r="D80" s="817" t="s">
        <v>655</v>
      </c>
      <c r="E80" s="894">
        <v>0.2</v>
      </c>
      <c r="F80" s="881">
        <v>30</v>
      </c>
    </row>
    <row r="81" spans="1:6" s="877" customFormat="1" ht="36">
      <c r="A81" s="881">
        <v>21</v>
      </c>
      <c r="B81" s="3341"/>
      <c r="C81" s="817" t="s">
        <v>656</v>
      </c>
      <c r="D81" s="817" t="s">
        <v>657</v>
      </c>
      <c r="E81" s="894">
        <v>0.2</v>
      </c>
      <c r="F81" s="881">
        <v>30</v>
      </c>
    </row>
    <row r="82" spans="1:6" s="877" customFormat="1" ht="48">
      <c r="A82" s="881">
        <v>22</v>
      </c>
      <c r="B82" s="3341"/>
      <c r="C82" s="817" t="s">
        <v>658</v>
      </c>
      <c r="D82" s="817" t="s">
        <v>659</v>
      </c>
      <c r="E82" s="894">
        <v>0.2</v>
      </c>
      <c r="F82" s="881">
        <v>30</v>
      </c>
    </row>
    <row r="83" spans="1:6" s="877" customFormat="1" ht="48">
      <c r="A83" s="881">
        <v>23</v>
      </c>
      <c r="B83" s="3341"/>
      <c r="C83" s="817" t="s">
        <v>660</v>
      </c>
      <c r="D83" s="817" t="s">
        <v>661</v>
      </c>
      <c r="E83" s="894">
        <v>0.2</v>
      </c>
      <c r="F83" s="881">
        <v>30</v>
      </c>
    </row>
    <row r="84" spans="1:6" s="877" customFormat="1" ht="36">
      <c r="A84" s="881">
        <v>24</v>
      </c>
      <c r="B84" s="3341"/>
      <c r="C84" s="817" t="s">
        <v>662</v>
      </c>
      <c r="D84" s="817" t="s">
        <v>663</v>
      </c>
      <c r="E84" s="894">
        <v>0.2</v>
      </c>
      <c r="F84" s="881">
        <v>30</v>
      </c>
    </row>
    <row r="85" spans="1:6" s="877" customFormat="1" ht="36">
      <c r="A85" s="881">
        <v>25</v>
      </c>
      <c r="B85" s="3341"/>
      <c r="C85" s="817" t="s">
        <v>664</v>
      </c>
      <c r="D85" s="817" t="s">
        <v>665</v>
      </c>
      <c r="E85" s="894">
        <v>0.5</v>
      </c>
      <c r="F85" s="881">
        <v>80</v>
      </c>
    </row>
    <row r="86" spans="1:6" s="877" customFormat="1" ht="36">
      <c r="A86" s="881">
        <v>26</v>
      </c>
      <c r="B86" s="3341"/>
      <c r="C86" s="817" t="s">
        <v>666</v>
      </c>
      <c r="D86" s="817" t="s">
        <v>667</v>
      </c>
      <c r="E86" s="894">
        <v>0.2</v>
      </c>
      <c r="F86" s="881">
        <v>30</v>
      </c>
    </row>
    <row r="87" spans="1:6" s="877" customFormat="1" ht="36">
      <c r="A87" s="881">
        <v>27</v>
      </c>
      <c r="B87" s="3341"/>
      <c r="C87" s="817" t="s">
        <v>668</v>
      </c>
      <c r="D87" s="817" t="s">
        <v>669</v>
      </c>
      <c r="E87" s="894">
        <v>0.2</v>
      </c>
      <c r="F87" s="881">
        <v>30</v>
      </c>
    </row>
    <row r="88" spans="1:6" s="877" customFormat="1" ht="36">
      <c r="A88" s="881">
        <v>28</v>
      </c>
      <c r="B88" s="3341"/>
      <c r="C88" s="817" t="s">
        <v>670</v>
      </c>
      <c r="D88" s="817" t="s">
        <v>671</v>
      </c>
      <c r="E88" s="894">
        <v>0.2</v>
      </c>
      <c r="F88" s="881">
        <v>30</v>
      </c>
    </row>
    <row r="89" spans="1:6" s="877" customFormat="1" ht="24">
      <c r="A89" s="881">
        <v>29</v>
      </c>
      <c r="B89" s="3341"/>
      <c r="C89" s="817" t="s">
        <v>672</v>
      </c>
      <c r="D89" s="817" t="s">
        <v>673</v>
      </c>
      <c r="E89" s="894">
        <v>0.2</v>
      </c>
      <c r="F89" s="881">
        <v>30</v>
      </c>
    </row>
    <row r="90" spans="1:6" s="877" customFormat="1" ht="24">
      <c r="A90" s="881">
        <v>30</v>
      </c>
      <c r="B90" s="3341"/>
      <c r="C90" s="817" t="s">
        <v>674</v>
      </c>
      <c r="D90" s="817" t="s">
        <v>675</v>
      </c>
      <c r="E90" s="894">
        <v>0.2</v>
      </c>
      <c r="F90" s="881">
        <v>30</v>
      </c>
    </row>
    <row r="91" spans="1:6" s="877" customFormat="1" ht="36">
      <c r="A91" s="881">
        <v>31</v>
      </c>
      <c r="B91" s="3341"/>
      <c r="C91" s="817" t="s">
        <v>676</v>
      </c>
      <c r="D91" s="817" t="s">
        <v>677</v>
      </c>
      <c r="E91" s="894">
        <v>0.2</v>
      </c>
      <c r="F91" s="881">
        <v>30</v>
      </c>
    </row>
    <row r="92" spans="1:6" s="877" customFormat="1" ht="24">
      <c r="A92" s="881">
        <v>32</v>
      </c>
      <c r="B92" s="3341" t="s">
        <v>678</v>
      </c>
      <c r="C92" s="881" t="s">
        <v>679</v>
      </c>
      <c r="D92" s="817" t="s">
        <v>680</v>
      </c>
      <c r="E92" s="894">
        <v>0.2</v>
      </c>
      <c r="F92" s="881">
        <v>30</v>
      </c>
    </row>
    <row r="93" spans="1:6" s="877" customFormat="1" ht="36">
      <c r="A93" s="881">
        <v>33</v>
      </c>
      <c r="B93" s="3341"/>
      <c r="C93" s="881" t="s">
        <v>681</v>
      </c>
      <c r="D93" s="817" t="s">
        <v>682</v>
      </c>
      <c r="E93" s="894">
        <v>0.2</v>
      </c>
      <c r="F93" s="881">
        <v>30</v>
      </c>
    </row>
    <row r="94" spans="1:6" s="877" customFormat="1" ht="48">
      <c r="A94" s="881">
        <v>34</v>
      </c>
      <c r="B94" s="3341"/>
      <c r="C94" s="881" t="s">
        <v>683</v>
      </c>
      <c r="D94" s="817" t="s">
        <v>684</v>
      </c>
      <c r="E94" s="894">
        <v>0.2</v>
      </c>
      <c r="F94" s="881">
        <v>30</v>
      </c>
    </row>
    <row r="95" spans="1:6" s="877" customFormat="1" ht="36">
      <c r="A95" s="881">
        <v>35</v>
      </c>
      <c r="B95" s="3341"/>
      <c r="C95" s="881" t="s">
        <v>685</v>
      </c>
      <c r="D95" s="817" t="s">
        <v>686</v>
      </c>
      <c r="E95" s="894">
        <v>0.2</v>
      </c>
      <c r="F95" s="881">
        <v>30</v>
      </c>
    </row>
    <row r="96" spans="1:6" s="877" customFormat="1" ht="48">
      <c r="A96" s="881">
        <v>36</v>
      </c>
      <c r="B96" s="3341"/>
      <c r="C96" s="817" t="s">
        <v>687</v>
      </c>
      <c r="D96" s="817" t="s">
        <v>688</v>
      </c>
      <c r="E96" s="894">
        <v>0.2</v>
      </c>
      <c r="F96" s="881">
        <v>30</v>
      </c>
    </row>
    <row r="97" spans="1:6" s="877" customFormat="1" ht="36">
      <c r="A97" s="881">
        <v>37</v>
      </c>
      <c r="B97" s="3341"/>
      <c r="C97" s="881" t="s">
        <v>689</v>
      </c>
      <c r="D97" s="817" t="s">
        <v>690</v>
      </c>
      <c r="E97" s="894">
        <v>0.2</v>
      </c>
      <c r="F97" s="881">
        <v>30</v>
      </c>
    </row>
    <row r="98" spans="1:6" s="877" customFormat="1" ht="36">
      <c r="A98" s="881">
        <v>38</v>
      </c>
      <c r="B98" s="3341"/>
      <c r="C98" s="881" t="s">
        <v>691</v>
      </c>
      <c r="D98" s="817" t="s">
        <v>692</v>
      </c>
      <c r="E98" s="894">
        <v>0.2</v>
      </c>
      <c r="F98" s="881">
        <v>30</v>
      </c>
    </row>
    <row r="99" spans="1:6" s="877" customFormat="1" ht="36">
      <c r="A99" s="881">
        <v>39</v>
      </c>
      <c r="B99" s="3341" t="s">
        <v>693</v>
      </c>
      <c r="C99" s="881" t="s">
        <v>694</v>
      </c>
      <c r="D99" s="817" t="s">
        <v>695</v>
      </c>
      <c r="E99" s="894">
        <v>0.3</v>
      </c>
      <c r="F99" s="881">
        <v>50</v>
      </c>
    </row>
    <row r="100" spans="1:6" s="877" customFormat="1" ht="24">
      <c r="A100" s="881">
        <v>40</v>
      </c>
      <c r="B100" s="3341"/>
      <c r="C100" s="881" t="s">
        <v>696</v>
      </c>
      <c r="D100" s="817" t="s">
        <v>697</v>
      </c>
      <c r="E100" s="894">
        <v>0.2</v>
      </c>
      <c r="F100" s="881">
        <v>30</v>
      </c>
    </row>
    <row r="101" spans="1:6" s="877" customFormat="1" ht="36">
      <c r="A101" s="881">
        <v>41</v>
      </c>
      <c r="B101" s="334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1" t="s">
        <v>708</v>
      </c>
      <c r="C105" s="881" t="s">
        <v>709</v>
      </c>
      <c r="D105" s="817" t="s">
        <v>710</v>
      </c>
      <c r="E105" s="894">
        <v>0.2</v>
      </c>
      <c r="F105" s="881">
        <v>30</v>
      </c>
    </row>
    <row r="106" spans="1:6" s="877" customFormat="1" ht="36">
      <c r="A106" s="881">
        <v>46</v>
      </c>
      <c r="B106" s="3341"/>
      <c r="C106" s="881" t="s">
        <v>711</v>
      </c>
      <c r="D106" s="817" t="s">
        <v>712</v>
      </c>
      <c r="E106" s="894">
        <v>0.2</v>
      </c>
      <c r="F106" s="881">
        <v>30</v>
      </c>
    </row>
    <row r="107" spans="1:6" s="877" customFormat="1" ht="36">
      <c r="A107" s="881">
        <v>47</v>
      </c>
      <c r="B107" s="3341" t="s">
        <v>713</v>
      </c>
      <c r="C107" s="881" t="s">
        <v>714</v>
      </c>
      <c r="D107" s="817" t="s">
        <v>715</v>
      </c>
      <c r="E107" s="894">
        <v>0.3</v>
      </c>
      <c r="F107" s="881">
        <v>50</v>
      </c>
    </row>
    <row r="108" spans="1:6" s="877" customFormat="1" ht="36">
      <c r="A108" s="881">
        <v>48</v>
      </c>
      <c r="B108" s="334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1" t="s">
        <v>724</v>
      </c>
      <c r="C111" s="881" t="s">
        <v>725</v>
      </c>
      <c r="D111" s="817" t="s">
        <v>726</v>
      </c>
      <c r="E111" s="894">
        <v>0.2</v>
      </c>
      <c r="F111" s="881">
        <v>30</v>
      </c>
    </row>
    <row r="112" spans="1:6" s="877" customFormat="1" ht="24">
      <c r="A112" s="881">
        <v>52</v>
      </c>
      <c r="B112" s="3341"/>
      <c r="C112" s="881" t="s">
        <v>727</v>
      </c>
      <c r="D112" s="817" t="s">
        <v>728</v>
      </c>
      <c r="E112" s="894">
        <v>0.2</v>
      </c>
      <c r="F112" s="881">
        <v>30</v>
      </c>
    </row>
    <row r="113" spans="1:6" s="877" customFormat="1" ht="24">
      <c r="A113" s="881">
        <v>53</v>
      </c>
      <c r="B113" s="334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1" t="s">
        <v>737</v>
      </c>
      <c r="C116" s="881" t="s">
        <v>738</v>
      </c>
      <c r="D116" s="817" t="s">
        <v>739</v>
      </c>
      <c r="E116" s="894">
        <v>0.2</v>
      </c>
      <c r="F116" s="881">
        <v>30</v>
      </c>
    </row>
    <row r="117" spans="1:6" ht="36">
      <c r="A117" s="881">
        <v>57</v>
      </c>
      <c r="B117" s="334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7" t="s">
        <v>1150</v>
      </c>
      <c r="C1" s="3347"/>
      <c r="D1" s="3347"/>
      <c r="E1" s="3347"/>
      <c r="F1" s="3347"/>
      <c r="G1" s="3343" t="s">
        <v>1151</v>
      </c>
      <c r="H1" s="3343"/>
      <c r="I1" s="3343"/>
      <c r="J1" s="3343"/>
      <c r="K1" s="3343"/>
      <c r="L1" s="3343"/>
      <c r="N1" s="3343" t="s">
        <v>1152</v>
      </c>
      <c r="O1" s="3343"/>
      <c r="P1" s="3343"/>
      <c r="Q1" s="3343"/>
      <c r="R1" s="1448"/>
      <c r="S1" s="3343" t="s">
        <v>1153</v>
      </c>
      <c r="T1" s="3343"/>
      <c r="U1" s="3343"/>
      <c r="V1" s="3343"/>
      <c r="X1" s="3342" t="s">
        <v>1154</v>
      </c>
      <c r="Y1" s="3343"/>
      <c r="Z1" s="3343"/>
      <c r="AA1" s="3343"/>
      <c r="AB1" s="3343"/>
      <c r="AD1" s="3342" t="s">
        <v>1155</v>
      </c>
      <c r="AE1" s="3343"/>
      <c r="AF1" s="3343"/>
      <c r="AG1" s="3343"/>
      <c r="AH1" s="334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8">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5"/>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5"/>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6"/>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4">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5"/>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5"/>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6"/>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4">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5"/>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5"/>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6"/>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9">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50"/>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50"/>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51"/>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4">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5"/>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5"/>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6"/>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4">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5">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5">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6">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4">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5">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5">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6">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4">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5">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5">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6">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4">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5">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5">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6">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4">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5">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5">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6">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4">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5">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5">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6">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4">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5">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5">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6">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4">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5">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5">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6">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4">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5">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5">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6">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4">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5">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5">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6">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79" activePane="bottomLeft" state="frozen"/>
      <selection activeCell="C50" sqref="C50"/>
      <selection pane="bottomLeft" activeCell="P80" sqref="P80"/>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3" t="s">
        <v>3006</v>
      </c>
      <c r="D1" s="3354"/>
      <c r="E1" s="3354"/>
      <c r="F1" s="3354"/>
      <c r="G1" s="3354"/>
      <c r="H1" s="3354"/>
      <c r="I1" s="3354"/>
      <c r="J1" s="3354"/>
      <c r="K1" s="3354"/>
      <c r="L1" s="3354"/>
      <c r="M1" s="3354"/>
      <c r="N1" s="3354"/>
      <c r="O1" s="3354"/>
      <c r="P1" s="3354"/>
      <c r="Q1" s="3354"/>
      <c r="R1" s="3354"/>
      <c r="S1" s="3355"/>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7"/>
      <c r="B5" s="1771" t="s">
        <v>3009</v>
      </c>
      <c r="C5" s="3018" t="s">
        <v>3242</v>
      </c>
      <c r="D5" s="3019" t="s">
        <v>3244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3125</v>
      </c>
      <c r="D17" s="1234" t="s">
        <v>3176</v>
      </c>
      <c r="E17" s="1234" t="s">
        <v>3126</v>
      </c>
      <c r="F17" s="1234" t="s">
        <v>3127</v>
      </c>
      <c r="G17" s="1234" t="s">
        <v>3177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26651</v>
      </c>
      <c r="C20" s="168"/>
      <c r="D20" s="2919" t="s">
        <v>70</v>
      </c>
      <c r="E20" s="1795"/>
      <c r="F20" s="1206">
        <f ca="1">SUMIF(INDIRECT("'"&amp;H20&amp;"'"&amp;"!A:A"),"承租人权益价值",INDIRECT("'"&amp;H20&amp;"'"&amp;"!c:c"))</f>
        <v>0</v>
      </c>
      <c r="G20" s="1206" t="s">
        <v>3019</v>
      </c>
      <c r="H20" s="2920" t="s">
        <v>3131</v>
      </c>
      <c r="I20" s="168"/>
      <c r="J20" s="168"/>
      <c r="K20" s="168"/>
      <c r="L20" s="168"/>
      <c r="M20" s="168"/>
      <c r="N20" s="168"/>
      <c r="O20" s="168"/>
      <c r="P20" s="168"/>
      <c r="Q20" s="168"/>
      <c r="R20" s="787"/>
      <c r="S20" s="138"/>
    </row>
    <row r="21" spans="1:45" ht="15.75">
      <c r="A21" s="714" t="s">
        <v>3020</v>
      </c>
      <c r="B21" s="338">
        <f ca="1">R22</f>
        <v>25108</v>
      </c>
      <c r="C21" s="168"/>
      <c r="D21" s="168"/>
      <c r="E21" s="168"/>
      <c r="F21" s="168"/>
      <c r="G21" s="168"/>
      <c r="H21" s="168"/>
      <c r="I21" s="168"/>
      <c r="J21" s="168"/>
      <c r="K21" s="168"/>
      <c r="L21" s="168"/>
      <c r="M21" s="168"/>
      <c r="N21" s="168"/>
      <c r="O21" s="168"/>
      <c r="P21" s="168"/>
      <c r="Q21" s="168"/>
      <c r="R21" s="787"/>
      <c r="S21" s="138"/>
      <c r="T21" s="3030" t="s">
        <v>3420</v>
      </c>
      <c r="U21" s="794">
        <v>26553</v>
      </c>
    </row>
    <row r="22" spans="1:45">
      <c r="A22" s="361" t="s">
        <v>3021</v>
      </c>
      <c r="B22" s="24">
        <f>SUM(B24:B10000)</f>
        <v>10614.340000000006</v>
      </c>
      <c r="C22" s="3132" t="s">
        <v>33</v>
      </c>
      <c r="D22" s="3133"/>
      <c r="E22" s="3133"/>
      <c r="F22" s="3133"/>
      <c r="G22" s="3133"/>
      <c r="H22" s="3133"/>
      <c r="I22" s="3133"/>
      <c r="J22" s="3133"/>
      <c r="K22" s="3133"/>
      <c r="L22" s="3133"/>
      <c r="M22" s="3133"/>
      <c r="N22" s="3133"/>
      <c r="O22" s="3133"/>
      <c r="P22" s="3133"/>
      <c r="Q22" s="3352"/>
      <c r="R22" s="715">
        <f ca="1">ROUND(S22*10000/B22,0)</f>
        <v>25108</v>
      </c>
      <c r="S22" s="24">
        <f ca="1">SUM(S24:S10000)</f>
        <v>26651</v>
      </c>
      <c r="T22" s="3030" t="s">
        <v>3421</v>
      </c>
      <c r="U22" s="794">
        <v>10648.41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8" t="str">
        <f>Sheet1!C3</f>
        <v>4#一层商10</v>
      </c>
      <c r="B24" s="717">
        <f>Sheet3!D55</f>
        <v>57.03</v>
      </c>
      <c r="C24" s="718">
        <v>1</v>
      </c>
      <c r="D24" s="719" t="s">
        <v>3120</v>
      </c>
      <c r="E24" s="718">
        <v>1</v>
      </c>
      <c r="F24" s="719"/>
      <c r="G24" s="718">
        <v>1</v>
      </c>
      <c r="H24" s="719"/>
      <c r="I24" s="718">
        <v>1</v>
      </c>
      <c r="J24" s="719"/>
      <c r="K24" s="718">
        <v>1</v>
      </c>
      <c r="L24" s="719"/>
      <c r="M24" s="718">
        <v>1</v>
      </c>
      <c r="N24" s="719"/>
      <c r="O24" s="718">
        <v>1</v>
      </c>
      <c r="P24" s="719" t="s">
        <v>3123</v>
      </c>
      <c r="Q24" s="718">
        <v>1</v>
      </c>
      <c r="R24" s="720">
        <f ca="1">结果表!G20</f>
        <v>33319</v>
      </c>
      <c r="S24" s="718">
        <f t="shared" ref="S24:S54" ca="1" si="11">ROUND(R24*B24/10000,0)</f>
        <v>190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8" t="str">
        <f>Sheet1!C4</f>
        <v>4#一层商11</v>
      </c>
      <c r="B25" s="717">
        <f>Sheet3!D56</f>
        <v>143.11000000000001</v>
      </c>
      <c r="C25" s="24">
        <f>IF(B25="",1,(LOOKUP(B25,$3:$3,$4:$4)-LOOKUP($B$24,$3:$3,$4:$4)+100)/100)</f>
        <v>0.99</v>
      </c>
      <c r="D25" s="719" t="s">
        <v>3120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1</v>
      </c>
      <c r="R25" s="715">
        <f ca="1">IF(B25="",0,ROUND($R$24*C25*E25*G25*I25*K25*M25*O25*Q25,0))</f>
        <v>32986</v>
      </c>
      <c r="S25" s="361">
        <f t="shared" ca="1" si="11"/>
        <v>472</v>
      </c>
      <c r="V25" s="799"/>
    </row>
    <row r="26" spans="1:45">
      <c r="A26" s="3008" t="str">
        <f>Sheet1!C5</f>
        <v>4#一层商12</v>
      </c>
      <c r="B26" s="717">
        <f>Sheet3!D57</f>
        <v>168.45</v>
      </c>
      <c r="C26" s="24">
        <f t="shared" ref="C26:C89" si="12">IF(B26="",1,(LOOKUP(B26,$3:$3,$4:$4)-LOOKUP($B$24,$3:$3,$4:$4)+100)/100)</f>
        <v>0.99</v>
      </c>
      <c r="D26" s="719" t="s">
        <v>3120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3123</v>
      </c>
      <c r="Q26" s="24">
        <f t="shared" ref="Q26:Q89" si="19">(SUMIF($17:$17,P26,$18:$18)-SUMIF($17:$17,$P$24,$18:$18)+100)/100</f>
        <v>1</v>
      </c>
      <c r="R26" s="715">
        <f t="shared" ref="R26:R89" ca="1" si="20">IF(B26="",0,ROUND($R$24*C26*E26*G26*I26*K26*M26*O26*Q26,0))</f>
        <v>32986</v>
      </c>
      <c r="S26" s="361">
        <f t="shared" ca="1" si="11"/>
        <v>556</v>
      </c>
      <c r="V26" s="799"/>
    </row>
    <row r="27" spans="1:45">
      <c r="A27" s="3008" t="str">
        <f>Sheet1!C6</f>
        <v>4#一层商13</v>
      </c>
      <c r="B27" s="717">
        <f>Sheet3!D58</f>
        <v>168.38</v>
      </c>
      <c r="C27" s="24">
        <f t="shared" si="12"/>
        <v>0.99</v>
      </c>
      <c r="D27" s="719" t="s">
        <v>3120</v>
      </c>
      <c r="E27" s="24">
        <f t="shared" si="13"/>
        <v>1</v>
      </c>
      <c r="F27" s="719"/>
      <c r="G27" s="24">
        <f t="shared" si="14"/>
        <v>1</v>
      </c>
      <c r="H27" s="719"/>
      <c r="I27" s="24">
        <f t="shared" si="15"/>
        <v>1</v>
      </c>
      <c r="J27" s="719"/>
      <c r="K27" s="24">
        <f t="shared" si="16"/>
        <v>1</v>
      </c>
      <c r="L27" s="719"/>
      <c r="M27" s="24">
        <f t="shared" si="17"/>
        <v>1</v>
      </c>
      <c r="N27" s="719"/>
      <c r="O27" s="24">
        <f t="shared" si="18"/>
        <v>1</v>
      </c>
      <c r="P27" s="719" t="s">
        <v>3123</v>
      </c>
      <c r="Q27" s="24">
        <f t="shared" si="19"/>
        <v>1</v>
      </c>
      <c r="R27" s="715">
        <f t="shared" ca="1" si="20"/>
        <v>32986</v>
      </c>
      <c r="S27" s="361">
        <f t="shared" ca="1" si="11"/>
        <v>555</v>
      </c>
      <c r="V27" s="799"/>
    </row>
    <row r="28" spans="1:45">
      <c r="A28" s="3008" t="str">
        <f>Sheet1!C7</f>
        <v>4#一层商14</v>
      </c>
      <c r="B28" s="717">
        <f>Sheet3!D59</f>
        <v>209.51</v>
      </c>
      <c r="C28" s="24">
        <f t="shared" si="12"/>
        <v>0.98</v>
      </c>
      <c r="D28" s="719" t="s">
        <v>3120</v>
      </c>
      <c r="E28" s="24">
        <f t="shared" si="13"/>
        <v>1</v>
      </c>
      <c r="F28" s="719"/>
      <c r="G28" s="24">
        <f t="shared" si="14"/>
        <v>1</v>
      </c>
      <c r="H28" s="719"/>
      <c r="I28" s="24">
        <f t="shared" si="15"/>
        <v>1</v>
      </c>
      <c r="J28" s="719"/>
      <c r="K28" s="24">
        <f t="shared" si="16"/>
        <v>1</v>
      </c>
      <c r="L28" s="719"/>
      <c r="M28" s="24">
        <f t="shared" si="17"/>
        <v>1</v>
      </c>
      <c r="N28" s="719"/>
      <c r="O28" s="24">
        <f t="shared" si="18"/>
        <v>1</v>
      </c>
      <c r="P28" s="719" t="s">
        <v>3123</v>
      </c>
      <c r="Q28" s="24">
        <f t="shared" si="19"/>
        <v>1</v>
      </c>
      <c r="R28" s="715">
        <f t="shared" ca="1" si="20"/>
        <v>32653</v>
      </c>
      <c r="S28" s="361">
        <f t="shared" ca="1" si="11"/>
        <v>684</v>
      </c>
      <c r="V28" s="799"/>
    </row>
    <row r="29" spans="1:45">
      <c r="A29" s="3008" t="str">
        <f>Sheet1!C8</f>
        <v>4#一层商15</v>
      </c>
      <c r="B29" s="717">
        <f>Sheet3!D60</f>
        <v>107.77</v>
      </c>
      <c r="C29" s="24">
        <f t="shared" si="12"/>
        <v>0.99</v>
      </c>
      <c r="D29" s="719" t="s">
        <v>3120</v>
      </c>
      <c r="E29" s="24">
        <f t="shared" si="13"/>
        <v>1</v>
      </c>
      <c r="F29" s="719"/>
      <c r="G29" s="24">
        <f t="shared" si="14"/>
        <v>1</v>
      </c>
      <c r="H29" s="719"/>
      <c r="I29" s="24">
        <f t="shared" si="15"/>
        <v>1</v>
      </c>
      <c r="J29" s="719"/>
      <c r="K29" s="24">
        <f t="shared" si="16"/>
        <v>1</v>
      </c>
      <c r="L29" s="719"/>
      <c r="M29" s="24">
        <f t="shared" si="17"/>
        <v>1</v>
      </c>
      <c r="N29" s="719"/>
      <c r="O29" s="24">
        <f t="shared" si="18"/>
        <v>1</v>
      </c>
      <c r="P29" s="719" t="s">
        <v>3123</v>
      </c>
      <c r="Q29" s="24">
        <f t="shared" si="19"/>
        <v>1</v>
      </c>
      <c r="R29" s="715">
        <f t="shared" ca="1" si="20"/>
        <v>32986</v>
      </c>
      <c r="S29" s="361">
        <f t="shared" ca="1" si="11"/>
        <v>355</v>
      </c>
      <c r="V29" s="799"/>
    </row>
    <row r="30" spans="1:45">
      <c r="A30" s="3008" t="str">
        <f>Sheet1!C9</f>
        <v>4#一层商16</v>
      </c>
      <c r="B30" s="717">
        <f>Sheet3!D61</f>
        <v>68.739999999999995</v>
      </c>
      <c r="C30" s="24">
        <f t="shared" si="12"/>
        <v>1</v>
      </c>
      <c r="D30" s="719" t="s">
        <v>3120</v>
      </c>
      <c r="E30" s="24">
        <f t="shared" si="13"/>
        <v>1</v>
      </c>
      <c r="F30" s="719"/>
      <c r="G30" s="24">
        <f t="shared" si="14"/>
        <v>1</v>
      </c>
      <c r="H30" s="719"/>
      <c r="I30" s="24">
        <f t="shared" si="15"/>
        <v>1</v>
      </c>
      <c r="J30" s="719"/>
      <c r="K30" s="24">
        <f t="shared" si="16"/>
        <v>1</v>
      </c>
      <c r="L30" s="719"/>
      <c r="M30" s="24">
        <f t="shared" si="17"/>
        <v>1</v>
      </c>
      <c r="N30" s="719"/>
      <c r="O30" s="24">
        <f t="shared" si="18"/>
        <v>1</v>
      </c>
      <c r="P30" s="719" t="s">
        <v>3123</v>
      </c>
      <c r="Q30" s="24">
        <f t="shared" si="19"/>
        <v>1</v>
      </c>
      <c r="R30" s="715">
        <f t="shared" ca="1" si="20"/>
        <v>33319</v>
      </c>
      <c r="S30" s="361">
        <f t="shared" ca="1" si="11"/>
        <v>229</v>
      </c>
      <c r="V30" s="799"/>
    </row>
    <row r="31" spans="1:45">
      <c r="A31" s="3008" t="str">
        <f>Sheet1!C10</f>
        <v>4#二层商8</v>
      </c>
      <c r="B31" s="717">
        <f>Sheet3!D39</f>
        <v>130.19</v>
      </c>
      <c r="C31" s="24">
        <f t="shared" si="12"/>
        <v>0.99</v>
      </c>
      <c r="D31" s="719" t="s">
        <v>3243</v>
      </c>
      <c r="E31" s="24">
        <f t="shared" si="13"/>
        <v>0.97</v>
      </c>
      <c r="F31" s="719"/>
      <c r="G31" s="24">
        <f t="shared" si="14"/>
        <v>1</v>
      </c>
      <c r="H31" s="719"/>
      <c r="I31" s="24">
        <f t="shared" si="15"/>
        <v>1</v>
      </c>
      <c r="J31" s="719"/>
      <c r="K31" s="24">
        <f t="shared" si="16"/>
        <v>1</v>
      </c>
      <c r="L31" s="719"/>
      <c r="M31" s="24">
        <f t="shared" si="17"/>
        <v>1</v>
      </c>
      <c r="N31" s="719"/>
      <c r="O31" s="24">
        <f t="shared" si="18"/>
        <v>1</v>
      </c>
      <c r="P31" s="719" t="s">
        <v>3128</v>
      </c>
      <c r="Q31" s="24">
        <f t="shared" si="19"/>
        <v>0.7</v>
      </c>
      <c r="R31" s="715">
        <f t="shared" ca="1" si="20"/>
        <v>22397</v>
      </c>
      <c r="S31" s="361">
        <f t="shared" ca="1" si="11"/>
        <v>292</v>
      </c>
      <c r="V31" s="799"/>
    </row>
    <row r="32" spans="1:45">
      <c r="A32" s="3008" t="str">
        <f>Sheet1!C11</f>
        <v>4#二层商9</v>
      </c>
      <c r="B32" s="717">
        <f>Sheet3!D40</f>
        <v>89.89</v>
      </c>
      <c r="C32" s="24">
        <f t="shared" si="12"/>
        <v>1</v>
      </c>
      <c r="D32" s="719" t="s">
        <v>3243</v>
      </c>
      <c r="E32" s="24">
        <f t="shared" si="13"/>
        <v>0.97</v>
      </c>
      <c r="F32" s="719"/>
      <c r="G32" s="24">
        <f t="shared" si="14"/>
        <v>1</v>
      </c>
      <c r="H32" s="719"/>
      <c r="I32" s="24">
        <f t="shared" si="15"/>
        <v>1</v>
      </c>
      <c r="J32" s="719"/>
      <c r="K32" s="24">
        <f t="shared" si="16"/>
        <v>1</v>
      </c>
      <c r="L32" s="719"/>
      <c r="M32" s="24">
        <f t="shared" si="17"/>
        <v>1</v>
      </c>
      <c r="N32" s="719"/>
      <c r="O32" s="24">
        <f t="shared" si="18"/>
        <v>1</v>
      </c>
      <c r="P32" s="719" t="s">
        <v>3128</v>
      </c>
      <c r="Q32" s="24">
        <f t="shared" si="19"/>
        <v>0.7</v>
      </c>
      <c r="R32" s="715">
        <f t="shared" ca="1" si="20"/>
        <v>22624</v>
      </c>
      <c r="S32" s="361">
        <f t="shared" ca="1" si="11"/>
        <v>203</v>
      </c>
      <c r="V32" s="799"/>
    </row>
    <row r="33" spans="1:22">
      <c r="A33" s="3008" t="str">
        <f>Sheet1!C12</f>
        <v>4#二层商10</v>
      </c>
      <c r="B33" s="717">
        <f>Sheet3!D41</f>
        <v>89.89</v>
      </c>
      <c r="C33" s="24">
        <f t="shared" si="12"/>
        <v>1</v>
      </c>
      <c r="D33" s="719" t="s">
        <v>3243</v>
      </c>
      <c r="E33" s="24">
        <f t="shared" si="13"/>
        <v>0.97</v>
      </c>
      <c r="F33" s="719"/>
      <c r="G33" s="24">
        <f t="shared" si="14"/>
        <v>1</v>
      </c>
      <c r="H33" s="719"/>
      <c r="I33" s="24">
        <f t="shared" si="15"/>
        <v>1</v>
      </c>
      <c r="J33" s="719"/>
      <c r="K33" s="24">
        <f t="shared" si="16"/>
        <v>1</v>
      </c>
      <c r="L33" s="719"/>
      <c r="M33" s="24">
        <f t="shared" si="17"/>
        <v>1</v>
      </c>
      <c r="N33" s="719"/>
      <c r="O33" s="24">
        <f t="shared" si="18"/>
        <v>1</v>
      </c>
      <c r="P33" s="719" t="s">
        <v>3128</v>
      </c>
      <c r="Q33" s="24">
        <f t="shared" si="19"/>
        <v>0.7</v>
      </c>
      <c r="R33" s="715">
        <f t="shared" ca="1" si="20"/>
        <v>22624</v>
      </c>
      <c r="S33" s="361">
        <f t="shared" ca="1" si="11"/>
        <v>203</v>
      </c>
      <c r="V33" s="799"/>
    </row>
    <row r="34" spans="1:22">
      <c r="A34" s="3008" t="str">
        <f>Sheet1!C13</f>
        <v>4#二层商11</v>
      </c>
      <c r="B34" s="717">
        <f>Sheet3!D42</f>
        <v>89.89</v>
      </c>
      <c r="C34" s="24">
        <f t="shared" si="12"/>
        <v>1</v>
      </c>
      <c r="D34" s="719" t="s">
        <v>3243</v>
      </c>
      <c r="E34" s="24">
        <f t="shared" si="13"/>
        <v>0.97</v>
      </c>
      <c r="F34" s="719"/>
      <c r="G34" s="24">
        <f t="shared" si="14"/>
        <v>1</v>
      </c>
      <c r="H34" s="719"/>
      <c r="I34" s="24">
        <f t="shared" si="15"/>
        <v>1</v>
      </c>
      <c r="J34" s="719"/>
      <c r="K34" s="24">
        <f t="shared" si="16"/>
        <v>1</v>
      </c>
      <c r="L34" s="719"/>
      <c r="M34" s="24">
        <f t="shared" si="17"/>
        <v>1</v>
      </c>
      <c r="N34" s="719"/>
      <c r="O34" s="24">
        <f t="shared" si="18"/>
        <v>1</v>
      </c>
      <c r="P34" s="719" t="s">
        <v>3128</v>
      </c>
      <c r="Q34" s="24">
        <f t="shared" si="19"/>
        <v>0.7</v>
      </c>
      <c r="R34" s="715">
        <f t="shared" ca="1" si="20"/>
        <v>22624</v>
      </c>
      <c r="S34" s="361">
        <f t="shared" ca="1" si="11"/>
        <v>203</v>
      </c>
      <c r="V34" s="799"/>
    </row>
    <row r="35" spans="1:22">
      <c r="A35" s="3008" t="str">
        <f>Sheet1!C14</f>
        <v>4#二层商12</v>
      </c>
      <c r="B35" s="717">
        <f>Sheet3!D43</f>
        <v>149.51</v>
      </c>
      <c r="C35" s="24">
        <f t="shared" si="12"/>
        <v>0.99</v>
      </c>
      <c r="D35" s="719" t="s">
        <v>3243</v>
      </c>
      <c r="E35" s="24">
        <f t="shared" si="13"/>
        <v>0.97</v>
      </c>
      <c r="F35" s="719"/>
      <c r="G35" s="24">
        <f t="shared" si="14"/>
        <v>1</v>
      </c>
      <c r="H35" s="719"/>
      <c r="I35" s="24">
        <f t="shared" si="15"/>
        <v>1</v>
      </c>
      <c r="J35" s="719"/>
      <c r="K35" s="24">
        <f t="shared" si="16"/>
        <v>1</v>
      </c>
      <c r="L35" s="719"/>
      <c r="M35" s="24">
        <f t="shared" si="17"/>
        <v>1</v>
      </c>
      <c r="N35" s="719"/>
      <c r="O35" s="24">
        <f t="shared" si="18"/>
        <v>1</v>
      </c>
      <c r="P35" s="719" t="s">
        <v>3128</v>
      </c>
      <c r="Q35" s="24">
        <f t="shared" si="19"/>
        <v>0.7</v>
      </c>
      <c r="R35" s="715">
        <f t="shared" ca="1" si="20"/>
        <v>22397</v>
      </c>
      <c r="S35" s="361">
        <f t="shared" ca="1" si="11"/>
        <v>335</v>
      </c>
      <c r="V35" s="799"/>
    </row>
    <row r="36" spans="1:22">
      <c r="A36" s="3008" t="str">
        <f>Sheet1!C15</f>
        <v>4#二层商13</v>
      </c>
      <c r="B36" s="717">
        <f>Sheet3!D44</f>
        <v>272.16000000000003</v>
      </c>
      <c r="C36" s="24">
        <f t="shared" si="12"/>
        <v>0.98</v>
      </c>
      <c r="D36" s="719" t="s">
        <v>3243</v>
      </c>
      <c r="E36" s="24">
        <f t="shared" si="13"/>
        <v>0.97</v>
      </c>
      <c r="F36" s="719"/>
      <c r="G36" s="24">
        <f t="shared" si="14"/>
        <v>1</v>
      </c>
      <c r="H36" s="719"/>
      <c r="I36" s="24">
        <f t="shared" si="15"/>
        <v>1</v>
      </c>
      <c r="J36" s="719"/>
      <c r="K36" s="24">
        <f t="shared" si="16"/>
        <v>1</v>
      </c>
      <c r="L36" s="719"/>
      <c r="M36" s="24">
        <f t="shared" si="17"/>
        <v>1</v>
      </c>
      <c r="N36" s="719"/>
      <c r="O36" s="24">
        <f t="shared" si="18"/>
        <v>1</v>
      </c>
      <c r="P36" s="719" t="s">
        <v>3128</v>
      </c>
      <c r="Q36" s="24">
        <f t="shared" si="19"/>
        <v>0.7</v>
      </c>
      <c r="R36" s="715">
        <f t="shared" ca="1" si="20"/>
        <v>22171</v>
      </c>
      <c r="S36" s="361">
        <f t="shared" ca="1" si="11"/>
        <v>603</v>
      </c>
      <c r="V36" s="799"/>
    </row>
    <row r="37" spans="1:22">
      <c r="A37" s="3008" t="str">
        <f>Sheet1!C16</f>
        <v>4#二层商14</v>
      </c>
      <c r="B37" s="717">
        <f>Sheet3!D45</f>
        <v>222.08</v>
      </c>
      <c r="C37" s="24">
        <f t="shared" si="12"/>
        <v>0.98</v>
      </c>
      <c r="D37" s="719" t="s">
        <v>3243</v>
      </c>
      <c r="E37" s="24">
        <f t="shared" si="13"/>
        <v>0.97</v>
      </c>
      <c r="F37" s="719"/>
      <c r="G37" s="24">
        <f t="shared" si="14"/>
        <v>1</v>
      </c>
      <c r="H37" s="719"/>
      <c r="I37" s="24">
        <f t="shared" si="15"/>
        <v>1</v>
      </c>
      <c r="J37" s="719"/>
      <c r="K37" s="24">
        <f t="shared" si="16"/>
        <v>1</v>
      </c>
      <c r="L37" s="719"/>
      <c r="M37" s="24">
        <f t="shared" si="17"/>
        <v>1</v>
      </c>
      <c r="N37" s="719"/>
      <c r="O37" s="24">
        <f t="shared" si="18"/>
        <v>1</v>
      </c>
      <c r="P37" s="719" t="s">
        <v>3128</v>
      </c>
      <c r="Q37" s="24">
        <f t="shared" si="19"/>
        <v>0.7</v>
      </c>
      <c r="R37" s="715">
        <f t="shared" ca="1" si="20"/>
        <v>22171</v>
      </c>
      <c r="S37" s="361">
        <f t="shared" ca="1" si="11"/>
        <v>492</v>
      </c>
      <c r="V37" s="799"/>
    </row>
    <row r="38" spans="1:22">
      <c r="A38" s="3008" t="str">
        <f>Sheet1!C17</f>
        <v>4#四层商1</v>
      </c>
      <c r="B38" s="717">
        <f>Sheet3!D46</f>
        <v>125.88</v>
      </c>
      <c r="C38" s="24">
        <f t="shared" si="12"/>
        <v>0.99</v>
      </c>
      <c r="D38" s="719" t="s">
        <v>3243</v>
      </c>
      <c r="E38" s="24">
        <f t="shared" si="13"/>
        <v>0.97</v>
      </c>
      <c r="F38" s="719"/>
      <c r="G38" s="24">
        <f t="shared" si="14"/>
        <v>1</v>
      </c>
      <c r="H38" s="719"/>
      <c r="I38" s="24">
        <f t="shared" si="15"/>
        <v>1</v>
      </c>
      <c r="J38" s="719"/>
      <c r="K38" s="24">
        <f t="shared" si="16"/>
        <v>1</v>
      </c>
      <c r="L38" s="719"/>
      <c r="M38" s="24">
        <f t="shared" si="17"/>
        <v>1</v>
      </c>
      <c r="N38" s="719"/>
      <c r="O38" s="24">
        <f t="shared" si="18"/>
        <v>1</v>
      </c>
      <c r="P38" s="719" t="s">
        <v>3130</v>
      </c>
      <c r="Q38" s="24">
        <f t="shared" si="19"/>
        <v>0.5</v>
      </c>
      <c r="R38" s="715">
        <f t="shared" ca="1" si="20"/>
        <v>15998</v>
      </c>
      <c r="S38" s="361">
        <f t="shared" ca="1" si="11"/>
        <v>201</v>
      </c>
      <c r="V38" s="799"/>
    </row>
    <row r="39" spans="1:22">
      <c r="A39" s="3008" t="str">
        <f>Sheet1!C18</f>
        <v>4#四层商2</v>
      </c>
      <c r="B39" s="717">
        <f>Sheet3!D47</f>
        <v>88.51</v>
      </c>
      <c r="C39" s="24">
        <f t="shared" si="12"/>
        <v>1</v>
      </c>
      <c r="D39" s="719" t="s">
        <v>3243</v>
      </c>
      <c r="E39" s="24">
        <f t="shared" si="13"/>
        <v>0.97</v>
      </c>
      <c r="F39" s="719"/>
      <c r="G39" s="24">
        <f t="shared" si="14"/>
        <v>1</v>
      </c>
      <c r="H39" s="719"/>
      <c r="I39" s="24">
        <f t="shared" si="15"/>
        <v>1</v>
      </c>
      <c r="J39" s="719"/>
      <c r="K39" s="24">
        <f t="shared" si="16"/>
        <v>1</v>
      </c>
      <c r="L39" s="719"/>
      <c r="M39" s="24">
        <f t="shared" si="17"/>
        <v>1</v>
      </c>
      <c r="N39" s="719"/>
      <c r="O39" s="24">
        <f t="shared" si="18"/>
        <v>1</v>
      </c>
      <c r="P39" s="719" t="s">
        <v>3130</v>
      </c>
      <c r="Q39" s="24">
        <f t="shared" si="19"/>
        <v>0.5</v>
      </c>
      <c r="R39" s="715">
        <f t="shared" ca="1" si="20"/>
        <v>16160</v>
      </c>
      <c r="S39" s="361">
        <f t="shared" ca="1" si="11"/>
        <v>143</v>
      </c>
      <c r="V39" s="799"/>
    </row>
    <row r="40" spans="1:22">
      <c r="A40" s="3008" t="str">
        <f>Sheet1!C19</f>
        <v>4#四层商3</v>
      </c>
      <c r="B40" s="717">
        <f>Sheet3!D48</f>
        <v>88.51</v>
      </c>
      <c r="C40" s="24">
        <f t="shared" si="12"/>
        <v>1</v>
      </c>
      <c r="D40" s="719" t="s">
        <v>3243</v>
      </c>
      <c r="E40" s="24">
        <f t="shared" si="13"/>
        <v>0.97</v>
      </c>
      <c r="F40" s="719"/>
      <c r="G40" s="24">
        <f t="shared" si="14"/>
        <v>1</v>
      </c>
      <c r="H40" s="719"/>
      <c r="I40" s="24">
        <f t="shared" si="15"/>
        <v>1</v>
      </c>
      <c r="J40" s="719"/>
      <c r="K40" s="24">
        <f t="shared" si="16"/>
        <v>1</v>
      </c>
      <c r="L40" s="719"/>
      <c r="M40" s="24">
        <f t="shared" si="17"/>
        <v>1</v>
      </c>
      <c r="N40" s="719"/>
      <c r="O40" s="24">
        <f t="shared" si="18"/>
        <v>1</v>
      </c>
      <c r="P40" s="719" t="s">
        <v>3130</v>
      </c>
      <c r="Q40" s="24">
        <f t="shared" si="19"/>
        <v>0.5</v>
      </c>
      <c r="R40" s="715">
        <f t="shared" ca="1" si="20"/>
        <v>16160</v>
      </c>
      <c r="S40" s="361">
        <f t="shared" ca="1" si="11"/>
        <v>143</v>
      </c>
      <c r="V40" s="799"/>
    </row>
    <row r="41" spans="1:22">
      <c r="A41" s="3008" t="str">
        <f>Sheet1!C20</f>
        <v>4#四层商4</v>
      </c>
      <c r="B41" s="717">
        <f>Sheet3!D49</f>
        <v>88.51</v>
      </c>
      <c r="C41" s="24">
        <f t="shared" si="12"/>
        <v>1</v>
      </c>
      <c r="D41" s="719" t="s">
        <v>3243</v>
      </c>
      <c r="E41" s="24">
        <f t="shared" si="13"/>
        <v>0.97</v>
      </c>
      <c r="F41" s="719"/>
      <c r="G41" s="24">
        <f t="shared" si="14"/>
        <v>1</v>
      </c>
      <c r="H41" s="719"/>
      <c r="I41" s="24">
        <f t="shared" si="15"/>
        <v>1</v>
      </c>
      <c r="J41" s="719"/>
      <c r="K41" s="24">
        <f t="shared" si="16"/>
        <v>1</v>
      </c>
      <c r="L41" s="719"/>
      <c r="M41" s="24">
        <f t="shared" si="17"/>
        <v>1</v>
      </c>
      <c r="N41" s="719"/>
      <c r="O41" s="24">
        <f t="shared" si="18"/>
        <v>1</v>
      </c>
      <c r="P41" s="719" t="s">
        <v>3130</v>
      </c>
      <c r="Q41" s="24">
        <f t="shared" si="19"/>
        <v>0.5</v>
      </c>
      <c r="R41" s="715">
        <f t="shared" ca="1" si="20"/>
        <v>16160</v>
      </c>
      <c r="S41" s="361">
        <f t="shared" ca="1" si="11"/>
        <v>143</v>
      </c>
      <c r="V41" s="799"/>
    </row>
    <row r="42" spans="1:22">
      <c r="A42" s="3008" t="str">
        <f>Sheet1!C21</f>
        <v>4#四层商5</v>
      </c>
      <c r="B42" s="717">
        <f>Sheet3!D50</f>
        <v>126.86</v>
      </c>
      <c r="C42" s="24">
        <f t="shared" si="12"/>
        <v>0.99</v>
      </c>
      <c r="D42" s="719" t="s">
        <v>3243</v>
      </c>
      <c r="E42" s="24">
        <f t="shared" si="13"/>
        <v>0.97</v>
      </c>
      <c r="F42" s="719"/>
      <c r="G42" s="24">
        <f t="shared" si="14"/>
        <v>1</v>
      </c>
      <c r="H42" s="719"/>
      <c r="I42" s="24">
        <f t="shared" si="15"/>
        <v>1</v>
      </c>
      <c r="J42" s="719"/>
      <c r="K42" s="24">
        <f t="shared" si="16"/>
        <v>1</v>
      </c>
      <c r="L42" s="719"/>
      <c r="M42" s="24">
        <f t="shared" si="17"/>
        <v>1</v>
      </c>
      <c r="N42" s="719"/>
      <c r="O42" s="24">
        <f t="shared" si="18"/>
        <v>1</v>
      </c>
      <c r="P42" s="719" t="s">
        <v>3130</v>
      </c>
      <c r="Q42" s="24">
        <f t="shared" si="19"/>
        <v>0.5</v>
      </c>
      <c r="R42" s="715">
        <f t="shared" ca="1" si="20"/>
        <v>15998</v>
      </c>
      <c r="S42" s="361">
        <f t="shared" ca="1" si="11"/>
        <v>203</v>
      </c>
      <c r="V42" s="799"/>
    </row>
    <row r="43" spans="1:22">
      <c r="A43" s="3008" t="str">
        <f>Sheet1!C22</f>
        <v>4#四层商6</v>
      </c>
      <c r="B43" s="717">
        <f>Sheet3!D51</f>
        <v>178.23</v>
      </c>
      <c r="C43" s="24">
        <f t="shared" si="12"/>
        <v>0.99</v>
      </c>
      <c r="D43" s="719" t="s">
        <v>3243</v>
      </c>
      <c r="E43" s="24">
        <f t="shared" si="13"/>
        <v>0.97</v>
      </c>
      <c r="F43" s="719"/>
      <c r="G43" s="24">
        <f t="shared" si="14"/>
        <v>1</v>
      </c>
      <c r="H43" s="719"/>
      <c r="I43" s="24">
        <f t="shared" si="15"/>
        <v>1</v>
      </c>
      <c r="J43" s="719"/>
      <c r="K43" s="24">
        <f t="shared" si="16"/>
        <v>1</v>
      </c>
      <c r="L43" s="719"/>
      <c r="M43" s="24">
        <f t="shared" si="17"/>
        <v>1</v>
      </c>
      <c r="N43" s="719"/>
      <c r="O43" s="24">
        <f t="shared" si="18"/>
        <v>1</v>
      </c>
      <c r="P43" s="719" t="s">
        <v>3130</v>
      </c>
      <c r="Q43" s="24">
        <f t="shared" si="19"/>
        <v>0.5</v>
      </c>
      <c r="R43" s="715">
        <f t="shared" ca="1" si="20"/>
        <v>15998</v>
      </c>
      <c r="S43" s="361">
        <f t="shared" ca="1" si="11"/>
        <v>285</v>
      </c>
      <c r="V43" s="799"/>
    </row>
    <row r="44" spans="1:22">
      <c r="A44" s="3008" t="str">
        <f>Sheet1!C23</f>
        <v>4#四层商7</v>
      </c>
      <c r="B44" s="717">
        <f>Sheet3!D52</f>
        <v>46.42</v>
      </c>
      <c r="C44" s="24">
        <f t="shared" si="12"/>
        <v>1</v>
      </c>
      <c r="D44" s="719" t="s">
        <v>3243</v>
      </c>
      <c r="E44" s="24">
        <f t="shared" si="13"/>
        <v>0.97</v>
      </c>
      <c r="F44" s="719"/>
      <c r="G44" s="24">
        <f t="shared" si="14"/>
        <v>1</v>
      </c>
      <c r="H44" s="719"/>
      <c r="I44" s="24">
        <f t="shared" si="15"/>
        <v>1</v>
      </c>
      <c r="J44" s="719"/>
      <c r="K44" s="24">
        <f t="shared" si="16"/>
        <v>1</v>
      </c>
      <c r="L44" s="719"/>
      <c r="M44" s="24">
        <f t="shared" si="17"/>
        <v>1</v>
      </c>
      <c r="N44" s="719"/>
      <c r="O44" s="24">
        <f t="shared" si="18"/>
        <v>1</v>
      </c>
      <c r="P44" s="719" t="s">
        <v>3130</v>
      </c>
      <c r="Q44" s="24">
        <f t="shared" si="19"/>
        <v>0.5</v>
      </c>
      <c r="R44" s="715">
        <f t="shared" ca="1" si="20"/>
        <v>16160</v>
      </c>
      <c r="S44" s="361">
        <f t="shared" ca="1" si="11"/>
        <v>75</v>
      </c>
      <c r="V44" s="799"/>
    </row>
    <row r="45" spans="1:22">
      <c r="A45" s="3008" t="str">
        <f>Sheet1!C24</f>
        <v>4#四层商8</v>
      </c>
      <c r="B45" s="717">
        <f>Sheet3!D53</f>
        <v>126.86</v>
      </c>
      <c r="C45" s="24">
        <f t="shared" si="12"/>
        <v>0.99</v>
      </c>
      <c r="D45" s="719" t="s">
        <v>3243</v>
      </c>
      <c r="E45" s="24">
        <f t="shared" si="13"/>
        <v>0.97</v>
      </c>
      <c r="F45" s="719"/>
      <c r="G45" s="24">
        <f t="shared" si="14"/>
        <v>1</v>
      </c>
      <c r="H45" s="719"/>
      <c r="I45" s="24">
        <f t="shared" si="15"/>
        <v>1</v>
      </c>
      <c r="J45" s="719"/>
      <c r="K45" s="24">
        <f t="shared" si="16"/>
        <v>1</v>
      </c>
      <c r="L45" s="719"/>
      <c r="M45" s="24">
        <f t="shared" si="17"/>
        <v>1</v>
      </c>
      <c r="N45" s="719"/>
      <c r="O45" s="24">
        <f t="shared" si="18"/>
        <v>1</v>
      </c>
      <c r="P45" s="719" t="s">
        <v>3130</v>
      </c>
      <c r="Q45" s="24">
        <f t="shared" si="19"/>
        <v>0.5</v>
      </c>
      <c r="R45" s="715">
        <f t="shared" ca="1" si="20"/>
        <v>15998</v>
      </c>
      <c r="S45" s="361">
        <f t="shared" ca="1" si="11"/>
        <v>203</v>
      </c>
      <c r="V45" s="799"/>
    </row>
    <row r="46" spans="1:22">
      <c r="A46" s="3008" t="str">
        <f>Sheet1!C25</f>
        <v>4#四层商9</v>
      </c>
      <c r="B46" s="717">
        <f>Sheet3!D54</f>
        <v>179.81</v>
      </c>
      <c r="C46" s="24">
        <f t="shared" si="12"/>
        <v>0.99</v>
      </c>
      <c r="D46" s="719" t="s">
        <v>3243</v>
      </c>
      <c r="E46" s="24">
        <f t="shared" si="13"/>
        <v>0.97</v>
      </c>
      <c r="F46" s="719"/>
      <c r="G46" s="24">
        <f t="shared" si="14"/>
        <v>1</v>
      </c>
      <c r="H46" s="719"/>
      <c r="I46" s="24">
        <f t="shared" si="15"/>
        <v>1</v>
      </c>
      <c r="J46" s="719"/>
      <c r="K46" s="24">
        <f t="shared" si="16"/>
        <v>1</v>
      </c>
      <c r="L46" s="719"/>
      <c r="M46" s="24">
        <f t="shared" si="17"/>
        <v>1</v>
      </c>
      <c r="N46" s="719"/>
      <c r="O46" s="24">
        <f t="shared" si="18"/>
        <v>1</v>
      </c>
      <c r="P46" s="719" t="s">
        <v>3130</v>
      </c>
      <c r="Q46" s="24">
        <f t="shared" si="19"/>
        <v>0.5</v>
      </c>
      <c r="R46" s="715">
        <f t="shared" ca="1" si="20"/>
        <v>15998</v>
      </c>
      <c r="S46" s="361">
        <f t="shared" ca="1" si="11"/>
        <v>288</v>
      </c>
      <c r="V46" s="799"/>
    </row>
    <row r="47" spans="1:22">
      <c r="A47" s="3008" t="str">
        <f>Sheet1!C26</f>
        <v>2#一层商1</v>
      </c>
      <c r="B47" s="717">
        <f>Sheet3!D2</f>
        <v>16.760000000000002</v>
      </c>
      <c r="C47" s="24">
        <f t="shared" si="12"/>
        <v>1</v>
      </c>
      <c r="D47" s="719" t="s">
        <v>3120</v>
      </c>
      <c r="E47" s="24">
        <f t="shared" si="13"/>
        <v>1</v>
      </c>
      <c r="F47" s="719"/>
      <c r="G47" s="24">
        <f t="shared" si="14"/>
        <v>1</v>
      </c>
      <c r="H47" s="719"/>
      <c r="I47" s="24">
        <f t="shared" si="15"/>
        <v>1</v>
      </c>
      <c r="J47" s="719"/>
      <c r="K47" s="24">
        <f t="shared" si="16"/>
        <v>1</v>
      </c>
      <c r="L47" s="719"/>
      <c r="M47" s="24">
        <f t="shared" si="17"/>
        <v>1</v>
      </c>
      <c r="N47" s="719"/>
      <c r="O47" s="24">
        <f t="shared" si="18"/>
        <v>1</v>
      </c>
      <c r="P47" s="719" t="s">
        <v>3123</v>
      </c>
      <c r="Q47" s="24">
        <f t="shared" si="19"/>
        <v>1</v>
      </c>
      <c r="R47" s="715">
        <f t="shared" ca="1" si="20"/>
        <v>33319</v>
      </c>
      <c r="S47" s="361">
        <f t="shared" ca="1" si="11"/>
        <v>56</v>
      </c>
      <c r="V47" s="799"/>
    </row>
    <row r="48" spans="1:22">
      <c r="A48" s="3008" t="str">
        <f>Sheet1!C27</f>
        <v>2#一层商2</v>
      </c>
      <c r="B48" s="717">
        <f>Sheet3!D3</f>
        <v>36.200000000000003</v>
      </c>
      <c r="C48" s="24">
        <f t="shared" si="12"/>
        <v>1</v>
      </c>
      <c r="D48" s="719" t="s">
        <v>3120</v>
      </c>
      <c r="E48" s="24">
        <f t="shared" si="13"/>
        <v>1</v>
      </c>
      <c r="F48" s="719"/>
      <c r="G48" s="24">
        <f t="shared" si="14"/>
        <v>1</v>
      </c>
      <c r="H48" s="719"/>
      <c r="I48" s="24">
        <f t="shared" si="15"/>
        <v>1</v>
      </c>
      <c r="J48" s="719"/>
      <c r="K48" s="24">
        <f t="shared" si="16"/>
        <v>1</v>
      </c>
      <c r="L48" s="719"/>
      <c r="M48" s="24">
        <f t="shared" si="17"/>
        <v>1</v>
      </c>
      <c r="N48" s="719"/>
      <c r="O48" s="24">
        <f t="shared" si="18"/>
        <v>1</v>
      </c>
      <c r="P48" s="719" t="s">
        <v>3123</v>
      </c>
      <c r="Q48" s="24">
        <f t="shared" si="19"/>
        <v>1</v>
      </c>
      <c r="R48" s="715">
        <f t="shared" ca="1" si="20"/>
        <v>33319</v>
      </c>
      <c r="S48" s="361">
        <f t="shared" ca="1" si="11"/>
        <v>121</v>
      </c>
      <c r="V48" s="799"/>
    </row>
    <row r="49" spans="1:22">
      <c r="A49" s="3008" t="str">
        <f>Sheet1!C28</f>
        <v>2#一层商3</v>
      </c>
      <c r="B49" s="717">
        <f>Sheet3!D4</f>
        <v>60.56</v>
      </c>
      <c r="C49" s="24">
        <f t="shared" si="12"/>
        <v>1</v>
      </c>
      <c r="D49" s="719" t="s">
        <v>3120</v>
      </c>
      <c r="E49" s="24">
        <f t="shared" si="13"/>
        <v>1</v>
      </c>
      <c r="F49" s="719"/>
      <c r="G49" s="24">
        <f t="shared" si="14"/>
        <v>1</v>
      </c>
      <c r="H49" s="719"/>
      <c r="I49" s="24">
        <f t="shared" si="15"/>
        <v>1</v>
      </c>
      <c r="J49" s="719"/>
      <c r="K49" s="24">
        <f t="shared" si="16"/>
        <v>1</v>
      </c>
      <c r="L49" s="719"/>
      <c r="M49" s="24">
        <f t="shared" si="17"/>
        <v>1</v>
      </c>
      <c r="N49" s="719"/>
      <c r="O49" s="24">
        <f t="shared" si="18"/>
        <v>1</v>
      </c>
      <c r="P49" s="719" t="s">
        <v>3123</v>
      </c>
      <c r="Q49" s="24">
        <f t="shared" si="19"/>
        <v>1</v>
      </c>
      <c r="R49" s="715">
        <f t="shared" ca="1" si="20"/>
        <v>33319</v>
      </c>
      <c r="S49" s="361">
        <f t="shared" ca="1" si="11"/>
        <v>202</v>
      </c>
      <c r="V49" s="799"/>
    </row>
    <row r="50" spans="1:22">
      <c r="A50" s="3008" t="str">
        <f>Sheet1!C29</f>
        <v>2#一层商4</v>
      </c>
      <c r="B50" s="717">
        <f>Sheet3!D5</f>
        <v>143.78</v>
      </c>
      <c r="C50" s="24">
        <f t="shared" si="12"/>
        <v>0.99</v>
      </c>
      <c r="D50" s="719" t="s">
        <v>3120</v>
      </c>
      <c r="E50" s="24">
        <f t="shared" si="13"/>
        <v>1</v>
      </c>
      <c r="F50" s="719"/>
      <c r="G50" s="24">
        <f t="shared" si="14"/>
        <v>1</v>
      </c>
      <c r="H50" s="719"/>
      <c r="I50" s="24">
        <f t="shared" si="15"/>
        <v>1</v>
      </c>
      <c r="J50" s="719"/>
      <c r="K50" s="24">
        <f t="shared" si="16"/>
        <v>1</v>
      </c>
      <c r="L50" s="719"/>
      <c r="M50" s="24">
        <f t="shared" si="17"/>
        <v>1</v>
      </c>
      <c r="N50" s="719"/>
      <c r="O50" s="24">
        <f t="shared" si="18"/>
        <v>1</v>
      </c>
      <c r="P50" s="719" t="s">
        <v>3123</v>
      </c>
      <c r="Q50" s="24">
        <f t="shared" si="19"/>
        <v>1</v>
      </c>
      <c r="R50" s="715">
        <f t="shared" ca="1" si="20"/>
        <v>32986</v>
      </c>
      <c r="S50" s="361">
        <f t="shared" ca="1" si="11"/>
        <v>474</v>
      </c>
      <c r="V50" s="799"/>
    </row>
    <row r="51" spans="1:22">
      <c r="A51" s="3008" t="str">
        <f>Sheet1!C30</f>
        <v>2#一层商5</v>
      </c>
      <c r="B51" s="717">
        <f>Sheet3!D6</f>
        <v>75.17</v>
      </c>
      <c r="C51" s="24">
        <f t="shared" si="12"/>
        <v>1</v>
      </c>
      <c r="D51" s="719" t="s">
        <v>3120</v>
      </c>
      <c r="E51" s="24">
        <f t="shared" si="13"/>
        <v>1</v>
      </c>
      <c r="F51" s="719"/>
      <c r="G51" s="24">
        <f t="shared" si="14"/>
        <v>1</v>
      </c>
      <c r="H51" s="719"/>
      <c r="I51" s="24">
        <f t="shared" si="15"/>
        <v>1</v>
      </c>
      <c r="J51" s="719"/>
      <c r="K51" s="24">
        <f t="shared" si="16"/>
        <v>1</v>
      </c>
      <c r="L51" s="719"/>
      <c r="M51" s="24">
        <f t="shared" si="17"/>
        <v>1</v>
      </c>
      <c r="N51" s="719"/>
      <c r="O51" s="24">
        <f t="shared" si="18"/>
        <v>1</v>
      </c>
      <c r="P51" s="719" t="s">
        <v>3123</v>
      </c>
      <c r="Q51" s="24">
        <f t="shared" si="19"/>
        <v>1</v>
      </c>
      <c r="R51" s="715">
        <f t="shared" ca="1" si="20"/>
        <v>33319</v>
      </c>
      <c r="S51" s="361">
        <f t="shared" ca="1" si="11"/>
        <v>250</v>
      </c>
      <c r="V51" s="799"/>
    </row>
    <row r="52" spans="1:22">
      <c r="A52" s="3008" t="str">
        <f>Sheet1!C31</f>
        <v>2#一层商6</v>
      </c>
      <c r="B52" s="717">
        <f>Sheet3!D7</f>
        <v>98.49</v>
      </c>
      <c r="C52" s="24">
        <f t="shared" si="12"/>
        <v>1</v>
      </c>
      <c r="D52" s="719" t="s">
        <v>3120</v>
      </c>
      <c r="E52" s="24">
        <f t="shared" si="13"/>
        <v>1</v>
      </c>
      <c r="F52" s="719"/>
      <c r="G52" s="24">
        <f t="shared" si="14"/>
        <v>1</v>
      </c>
      <c r="H52" s="719"/>
      <c r="I52" s="24">
        <f t="shared" si="15"/>
        <v>1</v>
      </c>
      <c r="J52" s="719"/>
      <c r="K52" s="24">
        <f t="shared" si="16"/>
        <v>1</v>
      </c>
      <c r="L52" s="719"/>
      <c r="M52" s="24">
        <f t="shared" si="17"/>
        <v>1</v>
      </c>
      <c r="N52" s="719"/>
      <c r="O52" s="24">
        <f t="shared" si="18"/>
        <v>1</v>
      </c>
      <c r="P52" s="719" t="s">
        <v>3123</v>
      </c>
      <c r="Q52" s="24">
        <f t="shared" si="19"/>
        <v>1</v>
      </c>
      <c r="R52" s="715">
        <f t="shared" ca="1" si="20"/>
        <v>33319</v>
      </c>
      <c r="S52" s="361">
        <f t="shared" ca="1" si="11"/>
        <v>328</v>
      </c>
      <c r="V52" s="799"/>
    </row>
    <row r="53" spans="1:22">
      <c r="A53" s="3008" t="str">
        <f>Sheet1!C32</f>
        <v>2#一层商7</v>
      </c>
      <c r="B53" s="717">
        <f>Sheet3!D8</f>
        <v>94.35</v>
      </c>
      <c r="C53" s="24">
        <f t="shared" si="12"/>
        <v>1</v>
      </c>
      <c r="D53" s="719" t="s">
        <v>3120</v>
      </c>
      <c r="E53" s="24">
        <f t="shared" si="13"/>
        <v>1</v>
      </c>
      <c r="F53" s="719"/>
      <c r="G53" s="24">
        <f t="shared" si="14"/>
        <v>1</v>
      </c>
      <c r="H53" s="719"/>
      <c r="I53" s="24">
        <f t="shared" si="15"/>
        <v>1</v>
      </c>
      <c r="J53" s="719"/>
      <c r="K53" s="24">
        <f t="shared" si="16"/>
        <v>1</v>
      </c>
      <c r="L53" s="719"/>
      <c r="M53" s="24">
        <f t="shared" si="17"/>
        <v>1</v>
      </c>
      <c r="N53" s="719"/>
      <c r="O53" s="24">
        <f t="shared" si="18"/>
        <v>1</v>
      </c>
      <c r="P53" s="719" t="s">
        <v>3123</v>
      </c>
      <c r="Q53" s="24">
        <f t="shared" si="19"/>
        <v>1</v>
      </c>
      <c r="R53" s="715">
        <f t="shared" ca="1" si="20"/>
        <v>33319</v>
      </c>
      <c r="S53" s="361">
        <f t="shared" ca="1" si="11"/>
        <v>314</v>
      </c>
      <c r="V53" s="799"/>
    </row>
    <row r="54" spans="1:22">
      <c r="A54" s="3008" t="str">
        <f>Sheet1!C33</f>
        <v>2#一层商8</v>
      </c>
      <c r="B54" s="717">
        <f>Sheet3!D9</f>
        <v>83.53</v>
      </c>
      <c r="C54" s="24">
        <f t="shared" si="12"/>
        <v>1</v>
      </c>
      <c r="D54" s="719" t="s">
        <v>3120</v>
      </c>
      <c r="E54" s="24">
        <f t="shared" si="13"/>
        <v>1</v>
      </c>
      <c r="F54" s="719"/>
      <c r="G54" s="24">
        <f t="shared" si="14"/>
        <v>1</v>
      </c>
      <c r="H54" s="719"/>
      <c r="I54" s="24">
        <f t="shared" si="15"/>
        <v>1</v>
      </c>
      <c r="J54" s="719"/>
      <c r="K54" s="24">
        <f t="shared" si="16"/>
        <v>1</v>
      </c>
      <c r="L54" s="719"/>
      <c r="M54" s="24">
        <f t="shared" si="17"/>
        <v>1</v>
      </c>
      <c r="N54" s="719"/>
      <c r="O54" s="24">
        <f t="shared" si="18"/>
        <v>1</v>
      </c>
      <c r="P54" s="719" t="s">
        <v>3123</v>
      </c>
      <c r="Q54" s="24">
        <f t="shared" si="19"/>
        <v>1</v>
      </c>
      <c r="R54" s="715">
        <f t="shared" ca="1" si="20"/>
        <v>33319</v>
      </c>
      <c r="S54" s="361">
        <f t="shared" ca="1" si="11"/>
        <v>278</v>
      </c>
      <c r="V54" s="799"/>
    </row>
    <row r="55" spans="1:22">
      <c r="A55" s="3008" t="str">
        <f>Sheet1!C34</f>
        <v>2#一层商9</v>
      </c>
      <c r="B55" s="717">
        <f>Sheet3!D10</f>
        <v>83.53</v>
      </c>
      <c r="C55" s="24">
        <f t="shared" si="12"/>
        <v>1</v>
      </c>
      <c r="D55" s="719" t="s">
        <v>3120</v>
      </c>
      <c r="E55" s="24">
        <f t="shared" si="13"/>
        <v>1</v>
      </c>
      <c r="F55" s="719"/>
      <c r="G55" s="24">
        <f t="shared" si="14"/>
        <v>1</v>
      </c>
      <c r="H55" s="719"/>
      <c r="I55" s="24">
        <f t="shared" si="15"/>
        <v>1</v>
      </c>
      <c r="J55" s="719"/>
      <c r="K55" s="24">
        <f t="shared" si="16"/>
        <v>1</v>
      </c>
      <c r="L55" s="719"/>
      <c r="M55" s="24">
        <f t="shared" si="17"/>
        <v>1</v>
      </c>
      <c r="N55" s="719"/>
      <c r="O55" s="24">
        <f t="shared" si="18"/>
        <v>1</v>
      </c>
      <c r="P55" s="719" t="s">
        <v>3123</v>
      </c>
      <c r="Q55" s="24">
        <f t="shared" si="19"/>
        <v>1</v>
      </c>
      <c r="R55" s="715">
        <f t="shared" ca="1" si="20"/>
        <v>33319</v>
      </c>
      <c r="S55" s="361">
        <f t="shared" ref="S55:S77" ca="1" si="21">ROUND(R55*B55/10000,0)</f>
        <v>278</v>
      </c>
      <c r="V55" s="799"/>
    </row>
    <row r="56" spans="1:22">
      <c r="A56" s="3008" t="str">
        <f>Sheet1!C35</f>
        <v>2#二层商1</v>
      </c>
      <c r="B56" s="717">
        <f>Sheet3!D11</f>
        <v>64.25</v>
      </c>
      <c r="C56" s="24">
        <f t="shared" si="12"/>
        <v>1</v>
      </c>
      <c r="D56" s="719" t="s">
        <v>3243</v>
      </c>
      <c r="E56" s="24">
        <f t="shared" si="13"/>
        <v>0.97</v>
      </c>
      <c r="F56" s="719"/>
      <c r="G56" s="24">
        <f t="shared" si="14"/>
        <v>1</v>
      </c>
      <c r="H56" s="719"/>
      <c r="I56" s="24">
        <f t="shared" si="15"/>
        <v>1</v>
      </c>
      <c r="J56" s="719"/>
      <c r="K56" s="24">
        <f t="shared" si="16"/>
        <v>1</v>
      </c>
      <c r="L56" s="719"/>
      <c r="M56" s="24">
        <f t="shared" si="17"/>
        <v>1</v>
      </c>
      <c r="N56" s="719"/>
      <c r="O56" s="24">
        <f t="shared" si="18"/>
        <v>1</v>
      </c>
      <c r="P56" s="719" t="s">
        <v>3128</v>
      </c>
      <c r="Q56" s="24">
        <f t="shared" si="19"/>
        <v>0.7</v>
      </c>
      <c r="R56" s="715">
        <f t="shared" ca="1" si="20"/>
        <v>22624</v>
      </c>
      <c r="S56" s="361">
        <f t="shared" ca="1" si="21"/>
        <v>145</v>
      </c>
      <c r="V56" s="799"/>
    </row>
    <row r="57" spans="1:22">
      <c r="A57" s="3008" t="str">
        <f>Sheet1!C36</f>
        <v>2#二层商2</v>
      </c>
      <c r="B57" s="717">
        <f>Sheet3!D12</f>
        <v>125</v>
      </c>
      <c r="C57" s="24">
        <f t="shared" si="12"/>
        <v>0.99</v>
      </c>
      <c r="D57" s="719" t="s">
        <v>3243</v>
      </c>
      <c r="E57" s="24">
        <f t="shared" si="13"/>
        <v>0.97</v>
      </c>
      <c r="F57" s="719"/>
      <c r="G57" s="24">
        <f t="shared" si="14"/>
        <v>1</v>
      </c>
      <c r="H57" s="719"/>
      <c r="I57" s="24">
        <f t="shared" si="15"/>
        <v>1</v>
      </c>
      <c r="J57" s="719"/>
      <c r="K57" s="24">
        <f t="shared" si="16"/>
        <v>1</v>
      </c>
      <c r="L57" s="719"/>
      <c r="M57" s="24">
        <f t="shared" si="17"/>
        <v>1</v>
      </c>
      <c r="N57" s="719"/>
      <c r="O57" s="24">
        <f t="shared" si="18"/>
        <v>1</v>
      </c>
      <c r="P57" s="719" t="s">
        <v>3128</v>
      </c>
      <c r="Q57" s="24">
        <f t="shared" si="19"/>
        <v>0.7</v>
      </c>
      <c r="R57" s="715">
        <f t="shared" ca="1" si="20"/>
        <v>22397</v>
      </c>
      <c r="S57" s="361">
        <f t="shared" ca="1" si="21"/>
        <v>280</v>
      </c>
      <c r="V57" s="799"/>
    </row>
    <row r="58" spans="1:22">
      <c r="A58" s="3008" t="str">
        <f>Sheet1!C37</f>
        <v>2#二层商3</v>
      </c>
      <c r="B58" s="717">
        <f>Sheet3!D13</f>
        <v>74.3</v>
      </c>
      <c r="C58" s="24">
        <f t="shared" si="12"/>
        <v>1</v>
      </c>
      <c r="D58" s="719" t="s">
        <v>3243</v>
      </c>
      <c r="E58" s="24">
        <f t="shared" si="13"/>
        <v>0.97</v>
      </c>
      <c r="F58" s="719"/>
      <c r="G58" s="24">
        <f t="shared" si="14"/>
        <v>1</v>
      </c>
      <c r="H58" s="719"/>
      <c r="I58" s="24">
        <f t="shared" si="15"/>
        <v>1</v>
      </c>
      <c r="J58" s="719"/>
      <c r="K58" s="24">
        <f t="shared" si="16"/>
        <v>1</v>
      </c>
      <c r="L58" s="719"/>
      <c r="M58" s="24">
        <f t="shared" si="17"/>
        <v>1</v>
      </c>
      <c r="N58" s="719"/>
      <c r="O58" s="24">
        <f t="shared" si="18"/>
        <v>1</v>
      </c>
      <c r="P58" s="719" t="s">
        <v>3128</v>
      </c>
      <c r="Q58" s="24">
        <f t="shared" si="19"/>
        <v>0.7</v>
      </c>
      <c r="R58" s="715">
        <f t="shared" ca="1" si="20"/>
        <v>22624</v>
      </c>
      <c r="S58" s="361">
        <f t="shared" ca="1" si="21"/>
        <v>168</v>
      </c>
      <c r="V58" s="799"/>
    </row>
    <row r="59" spans="1:22">
      <c r="A59" s="3008" t="str">
        <f>Sheet1!C38</f>
        <v>2#二层商4</v>
      </c>
      <c r="B59" s="717">
        <f>Sheet3!D14</f>
        <v>99.52</v>
      </c>
      <c r="C59" s="24">
        <f t="shared" si="12"/>
        <v>1</v>
      </c>
      <c r="D59" s="719" t="s">
        <v>3243</v>
      </c>
      <c r="E59" s="24">
        <f t="shared" si="13"/>
        <v>0.97</v>
      </c>
      <c r="F59" s="719"/>
      <c r="G59" s="24">
        <f t="shared" si="14"/>
        <v>1</v>
      </c>
      <c r="H59" s="719"/>
      <c r="I59" s="24">
        <f t="shared" si="15"/>
        <v>1</v>
      </c>
      <c r="J59" s="719"/>
      <c r="K59" s="24">
        <f t="shared" si="16"/>
        <v>1</v>
      </c>
      <c r="L59" s="719"/>
      <c r="M59" s="24">
        <f t="shared" si="17"/>
        <v>1</v>
      </c>
      <c r="N59" s="719"/>
      <c r="O59" s="24">
        <f t="shared" si="18"/>
        <v>1</v>
      </c>
      <c r="P59" s="719" t="s">
        <v>3128</v>
      </c>
      <c r="Q59" s="24">
        <f t="shared" si="19"/>
        <v>0.7</v>
      </c>
      <c r="R59" s="715">
        <f t="shared" ca="1" si="20"/>
        <v>22624</v>
      </c>
      <c r="S59" s="361">
        <f t="shared" ca="1" si="21"/>
        <v>225</v>
      </c>
      <c r="V59" s="799"/>
    </row>
    <row r="60" spans="1:22">
      <c r="A60" s="3008" t="str">
        <f>Sheet1!C39</f>
        <v>2#二层商5</v>
      </c>
      <c r="B60" s="717">
        <f>Sheet3!D15</f>
        <v>96.81</v>
      </c>
      <c r="C60" s="24">
        <f t="shared" si="12"/>
        <v>1</v>
      </c>
      <c r="D60" s="719" t="s">
        <v>3243</v>
      </c>
      <c r="E60" s="24">
        <f t="shared" si="13"/>
        <v>0.97</v>
      </c>
      <c r="F60" s="719"/>
      <c r="G60" s="24">
        <f t="shared" si="14"/>
        <v>1</v>
      </c>
      <c r="H60" s="719"/>
      <c r="I60" s="24">
        <f t="shared" si="15"/>
        <v>1</v>
      </c>
      <c r="J60" s="719"/>
      <c r="K60" s="24">
        <f t="shared" si="16"/>
        <v>1</v>
      </c>
      <c r="L60" s="719"/>
      <c r="M60" s="24">
        <f t="shared" si="17"/>
        <v>1</v>
      </c>
      <c r="N60" s="719"/>
      <c r="O60" s="24">
        <f t="shared" si="18"/>
        <v>1</v>
      </c>
      <c r="P60" s="719" t="s">
        <v>3128</v>
      </c>
      <c r="Q60" s="24">
        <f t="shared" si="19"/>
        <v>0.7</v>
      </c>
      <c r="R60" s="715">
        <f t="shared" ca="1" si="20"/>
        <v>22624</v>
      </c>
      <c r="S60" s="361">
        <f t="shared" ca="1" si="21"/>
        <v>219</v>
      </c>
      <c r="V60" s="799"/>
    </row>
    <row r="61" spans="1:22">
      <c r="A61" s="3008" t="str">
        <f>Sheet1!C40</f>
        <v>2#二层商6</v>
      </c>
      <c r="B61" s="717">
        <f>Sheet3!D16</f>
        <v>92.64</v>
      </c>
      <c r="C61" s="24">
        <f t="shared" si="12"/>
        <v>1</v>
      </c>
      <c r="D61" s="719" t="s">
        <v>3243</v>
      </c>
      <c r="E61" s="24">
        <f t="shared" si="13"/>
        <v>0.97</v>
      </c>
      <c r="F61" s="719"/>
      <c r="G61" s="24">
        <f t="shared" si="14"/>
        <v>1</v>
      </c>
      <c r="H61" s="719"/>
      <c r="I61" s="24">
        <f t="shared" si="15"/>
        <v>1</v>
      </c>
      <c r="J61" s="719"/>
      <c r="K61" s="24">
        <f t="shared" si="16"/>
        <v>1</v>
      </c>
      <c r="L61" s="719"/>
      <c r="M61" s="24">
        <f t="shared" si="17"/>
        <v>1</v>
      </c>
      <c r="N61" s="719"/>
      <c r="O61" s="24">
        <f t="shared" si="18"/>
        <v>1</v>
      </c>
      <c r="P61" s="719" t="s">
        <v>3128</v>
      </c>
      <c r="Q61" s="24">
        <f t="shared" si="19"/>
        <v>0.7</v>
      </c>
      <c r="R61" s="715">
        <f t="shared" ca="1" si="20"/>
        <v>22624</v>
      </c>
      <c r="S61" s="361">
        <f t="shared" ca="1" si="21"/>
        <v>210</v>
      </c>
      <c r="V61" s="799"/>
    </row>
    <row r="62" spans="1:22">
      <c r="A62" s="3008" t="str">
        <f>Sheet1!C41</f>
        <v>2#二层商7</v>
      </c>
      <c r="B62" s="717">
        <f>Sheet3!D17</f>
        <v>92.64</v>
      </c>
      <c r="C62" s="24">
        <f t="shared" si="12"/>
        <v>1</v>
      </c>
      <c r="D62" s="719" t="s">
        <v>3243</v>
      </c>
      <c r="E62" s="24">
        <f t="shared" si="13"/>
        <v>0.97</v>
      </c>
      <c r="F62" s="719"/>
      <c r="G62" s="24">
        <f t="shared" si="14"/>
        <v>1</v>
      </c>
      <c r="H62" s="719"/>
      <c r="I62" s="24">
        <f t="shared" si="15"/>
        <v>1</v>
      </c>
      <c r="J62" s="719"/>
      <c r="K62" s="24">
        <f t="shared" si="16"/>
        <v>1</v>
      </c>
      <c r="L62" s="719"/>
      <c r="M62" s="24">
        <f t="shared" si="17"/>
        <v>1</v>
      </c>
      <c r="N62" s="719"/>
      <c r="O62" s="24">
        <f t="shared" si="18"/>
        <v>1</v>
      </c>
      <c r="P62" s="719" t="s">
        <v>3128</v>
      </c>
      <c r="Q62" s="24">
        <f t="shared" si="19"/>
        <v>0.7</v>
      </c>
      <c r="R62" s="715">
        <f t="shared" ca="1" si="20"/>
        <v>22624</v>
      </c>
      <c r="S62" s="361">
        <f t="shared" ca="1" si="21"/>
        <v>210</v>
      </c>
      <c r="V62" s="799"/>
    </row>
    <row r="63" spans="1:22" s="3016" customFormat="1">
      <c r="A63" s="3008" t="str">
        <f>Sheet1!C42</f>
        <v>办公楼一层商1</v>
      </c>
      <c r="B63" s="717">
        <f>Sheet3!F18</f>
        <v>1396.38</v>
      </c>
      <c r="C63" s="3013">
        <f t="shared" si="12"/>
        <v>0.96</v>
      </c>
      <c r="D63" s="3012" t="s">
        <v>3120</v>
      </c>
      <c r="E63" s="3013">
        <f t="shared" si="13"/>
        <v>1</v>
      </c>
      <c r="F63" s="3012"/>
      <c r="G63" s="3013">
        <f t="shared" si="14"/>
        <v>1</v>
      </c>
      <c r="H63" s="3012"/>
      <c r="I63" s="3013">
        <f t="shared" si="15"/>
        <v>1</v>
      </c>
      <c r="J63" s="3012"/>
      <c r="K63" s="3013">
        <f t="shared" si="16"/>
        <v>1</v>
      </c>
      <c r="L63" s="3012"/>
      <c r="M63" s="3013">
        <f t="shared" si="17"/>
        <v>1</v>
      </c>
      <c r="N63" s="3012"/>
      <c r="O63" s="3013">
        <f t="shared" si="18"/>
        <v>1</v>
      </c>
      <c r="P63" s="3012" t="s">
        <v>3123</v>
      </c>
      <c r="Q63" s="3013">
        <f t="shared" si="19"/>
        <v>1</v>
      </c>
      <c r="R63" s="3014">
        <f t="shared" ca="1" si="20"/>
        <v>31986</v>
      </c>
      <c r="S63" s="3015">
        <f t="shared" ca="1" si="21"/>
        <v>4466</v>
      </c>
      <c r="V63" s="3017"/>
    </row>
    <row r="64" spans="1:22" s="3016" customFormat="1">
      <c r="A64" s="3028" t="str">
        <f>Sheet1!C43</f>
        <v>办公楼二层商1</v>
      </c>
      <c r="B64" s="717">
        <f>Sheet3!F18</f>
        <v>1396.38</v>
      </c>
      <c r="C64" s="3013">
        <f t="shared" si="12"/>
        <v>0.96</v>
      </c>
      <c r="D64" s="3012" t="s">
        <v>3120</v>
      </c>
      <c r="E64" s="3013">
        <f t="shared" si="13"/>
        <v>1</v>
      </c>
      <c r="F64" s="3012"/>
      <c r="G64" s="3013">
        <f t="shared" si="14"/>
        <v>1</v>
      </c>
      <c r="H64" s="3012"/>
      <c r="I64" s="3013">
        <f t="shared" si="15"/>
        <v>1</v>
      </c>
      <c r="J64" s="3012"/>
      <c r="K64" s="3013">
        <f t="shared" si="16"/>
        <v>1</v>
      </c>
      <c r="L64" s="3012"/>
      <c r="M64" s="3013">
        <f t="shared" si="17"/>
        <v>1</v>
      </c>
      <c r="N64" s="3012"/>
      <c r="O64" s="3013">
        <f t="shared" si="18"/>
        <v>1</v>
      </c>
      <c r="P64" s="3012" t="s">
        <v>3128</v>
      </c>
      <c r="Q64" s="3013">
        <f t="shared" si="19"/>
        <v>0.7</v>
      </c>
      <c r="R64" s="3014">
        <f t="shared" ca="1" si="20"/>
        <v>22390</v>
      </c>
      <c r="S64" s="3015">
        <f t="shared" ca="1" si="21"/>
        <v>3126</v>
      </c>
      <c r="V64" s="3017"/>
    </row>
    <row r="65" spans="1:22" s="3016" customFormat="1">
      <c r="A65" s="3028" t="str">
        <f>Sheet1!C44</f>
        <v>办公楼三层商1</v>
      </c>
      <c r="B65" s="717">
        <f>Sheet3!D18-Sheet3!F18-Sheet3!F18</f>
        <v>1396.37</v>
      </c>
      <c r="C65" s="3013">
        <f t="shared" si="12"/>
        <v>0.96</v>
      </c>
      <c r="D65" s="3012" t="s">
        <v>3120</v>
      </c>
      <c r="E65" s="3013">
        <f t="shared" si="13"/>
        <v>1</v>
      </c>
      <c r="F65" s="3012"/>
      <c r="G65" s="3013">
        <f t="shared" si="14"/>
        <v>1</v>
      </c>
      <c r="H65" s="3012"/>
      <c r="I65" s="3013">
        <f t="shared" si="15"/>
        <v>1</v>
      </c>
      <c r="J65" s="3012"/>
      <c r="K65" s="3013">
        <f t="shared" si="16"/>
        <v>1</v>
      </c>
      <c r="L65" s="3012"/>
      <c r="M65" s="3013">
        <f t="shared" si="17"/>
        <v>1</v>
      </c>
      <c r="N65" s="3012"/>
      <c r="O65" s="3013">
        <f t="shared" si="18"/>
        <v>1</v>
      </c>
      <c r="P65" s="3012" t="s">
        <v>3129</v>
      </c>
      <c r="Q65" s="3013">
        <f t="shared" si="19"/>
        <v>0.6</v>
      </c>
      <c r="R65" s="3014">
        <f t="shared" ca="1" si="20"/>
        <v>19192</v>
      </c>
      <c r="S65" s="3015">
        <f t="shared" ca="1" si="21"/>
        <v>2680</v>
      </c>
      <c r="V65" s="3017"/>
    </row>
    <row r="66" spans="1:22">
      <c r="A66" s="3028" t="str">
        <f>Sheet1!C45</f>
        <v>办公楼一层商2</v>
      </c>
      <c r="B66" s="717">
        <f>Sheet3!D19</f>
        <v>231.64</v>
      </c>
      <c r="C66" s="24">
        <f t="shared" si="12"/>
        <v>0.98</v>
      </c>
      <c r="D66" s="719" t="s">
        <v>3120</v>
      </c>
      <c r="E66" s="24">
        <f t="shared" si="13"/>
        <v>1</v>
      </c>
      <c r="F66" s="719"/>
      <c r="G66" s="24">
        <f t="shared" si="14"/>
        <v>1</v>
      </c>
      <c r="H66" s="719"/>
      <c r="I66" s="24">
        <f t="shared" si="15"/>
        <v>1</v>
      </c>
      <c r="J66" s="719"/>
      <c r="K66" s="24">
        <f t="shared" si="16"/>
        <v>1</v>
      </c>
      <c r="L66" s="719"/>
      <c r="M66" s="24">
        <f t="shared" si="17"/>
        <v>1</v>
      </c>
      <c r="N66" s="719"/>
      <c r="O66" s="24">
        <f t="shared" si="18"/>
        <v>1</v>
      </c>
      <c r="P66" s="719" t="s">
        <v>3123</v>
      </c>
      <c r="Q66" s="24">
        <f t="shared" si="19"/>
        <v>1</v>
      </c>
      <c r="R66" s="715">
        <f t="shared" ca="1" si="20"/>
        <v>32653</v>
      </c>
      <c r="S66" s="361">
        <f t="shared" ca="1" si="21"/>
        <v>756</v>
      </c>
      <c r="V66" s="799"/>
    </row>
    <row r="67" spans="1:22">
      <c r="A67" s="3028" t="str">
        <f>Sheet1!C46</f>
        <v>办公楼二层商2</v>
      </c>
      <c r="B67" s="717"/>
      <c r="C67" s="24">
        <f t="shared" si="12"/>
        <v>1</v>
      </c>
      <c r="D67" s="719" t="s">
        <v>3120</v>
      </c>
      <c r="E67" s="24">
        <f t="shared" si="13"/>
        <v>1</v>
      </c>
      <c r="F67" s="719"/>
      <c r="G67" s="24">
        <f t="shared" si="14"/>
        <v>1</v>
      </c>
      <c r="H67" s="719"/>
      <c r="I67" s="24">
        <f t="shared" si="15"/>
        <v>1</v>
      </c>
      <c r="J67" s="719"/>
      <c r="K67" s="24">
        <f t="shared" si="16"/>
        <v>1</v>
      </c>
      <c r="L67" s="719"/>
      <c r="M67" s="24">
        <f t="shared" si="17"/>
        <v>1</v>
      </c>
      <c r="N67" s="719"/>
      <c r="O67" s="24">
        <f t="shared" si="18"/>
        <v>1</v>
      </c>
      <c r="P67" s="719" t="s">
        <v>3128</v>
      </c>
      <c r="Q67" s="24">
        <f t="shared" si="19"/>
        <v>0.7</v>
      </c>
      <c r="R67" s="715">
        <f t="shared" si="20"/>
        <v>0</v>
      </c>
      <c r="S67" s="361">
        <f t="shared" si="21"/>
        <v>0</v>
      </c>
      <c r="V67" s="799"/>
    </row>
    <row r="68" spans="1:22">
      <c r="A68" s="3028" t="str">
        <f>Sheet1!C47</f>
        <v>办公楼三层商2</v>
      </c>
      <c r="B68" s="717"/>
      <c r="C68" s="24">
        <f t="shared" si="12"/>
        <v>1</v>
      </c>
      <c r="D68" s="719" t="s">
        <v>3120</v>
      </c>
      <c r="E68" s="24">
        <f t="shared" si="13"/>
        <v>1</v>
      </c>
      <c r="F68" s="719"/>
      <c r="G68" s="24">
        <f t="shared" si="14"/>
        <v>1</v>
      </c>
      <c r="H68" s="719"/>
      <c r="I68" s="24">
        <f t="shared" si="15"/>
        <v>1</v>
      </c>
      <c r="J68" s="719"/>
      <c r="K68" s="24">
        <f t="shared" si="16"/>
        <v>1</v>
      </c>
      <c r="L68" s="719"/>
      <c r="M68" s="24">
        <f t="shared" si="17"/>
        <v>1</v>
      </c>
      <c r="N68" s="719"/>
      <c r="O68" s="24">
        <f t="shared" si="18"/>
        <v>1</v>
      </c>
      <c r="P68" s="719" t="s">
        <v>3129</v>
      </c>
      <c r="Q68" s="24">
        <f t="shared" si="19"/>
        <v>0.6</v>
      </c>
      <c r="R68" s="715">
        <f t="shared" si="20"/>
        <v>0</v>
      </c>
      <c r="S68" s="361">
        <f t="shared" si="21"/>
        <v>0</v>
      </c>
      <c r="V68" s="799"/>
    </row>
    <row r="69" spans="1:22">
      <c r="A69" s="3028" t="str">
        <f>Sheet1!C48</f>
        <v>办公楼一层商3</v>
      </c>
      <c r="B69" s="717">
        <f>Sheet3!D20</f>
        <v>25.45</v>
      </c>
      <c r="C69" s="24">
        <f t="shared" si="12"/>
        <v>1</v>
      </c>
      <c r="D69" s="719" t="s">
        <v>3120</v>
      </c>
      <c r="E69" s="24">
        <f t="shared" si="13"/>
        <v>1</v>
      </c>
      <c r="F69" s="719"/>
      <c r="G69" s="24">
        <f t="shared" si="14"/>
        <v>1</v>
      </c>
      <c r="H69" s="719"/>
      <c r="I69" s="24">
        <f t="shared" si="15"/>
        <v>1</v>
      </c>
      <c r="J69" s="719"/>
      <c r="K69" s="24">
        <f t="shared" si="16"/>
        <v>1</v>
      </c>
      <c r="L69" s="719"/>
      <c r="M69" s="24">
        <f t="shared" si="17"/>
        <v>1</v>
      </c>
      <c r="N69" s="719"/>
      <c r="O69" s="24">
        <f t="shared" si="18"/>
        <v>1</v>
      </c>
      <c r="P69" s="719" t="s">
        <v>3123</v>
      </c>
      <c r="Q69" s="24">
        <f t="shared" si="19"/>
        <v>1</v>
      </c>
      <c r="R69" s="715">
        <f t="shared" ca="1" si="20"/>
        <v>33319</v>
      </c>
      <c r="S69" s="361">
        <f t="shared" ca="1" si="21"/>
        <v>85</v>
      </c>
      <c r="V69" s="799"/>
    </row>
    <row r="70" spans="1:22">
      <c r="A70" s="3028" t="str">
        <f>Sheet1!C49</f>
        <v>办公楼二层商3</v>
      </c>
      <c r="B70" s="717"/>
      <c r="C70" s="24">
        <f t="shared" si="12"/>
        <v>1</v>
      </c>
      <c r="D70" s="719" t="s">
        <v>3120</v>
      </c>
      <c r="E70" s="24">
        <f t="shared" si="13"/>
        <v>1</v>
      </c>
      <c r="F70" s="719"/>
      <c r="G70" s="24">
        <f t="shared" si="14"/>
        <v>1</v>
      </c>
      <c r="H70" s="719"/>
      <c r="I70" s="24">
        <f t="shared" si="15"/>
        <v>1</v>
      </c>
      <c r="J70" s="719"/>
      <c r="K70" s="24">
        <f t="shared" si="16"/>
        <v>1</v>
      </c>
      <c r="L70" s="719"/>
      <c r="M70" s="24">
        <f t="shared" si="17"/>
        <v>1</v>
      </c>
      <c r="N70" s="719"/>
      <c r="O70" s="24">
        <f t="shared" si="18"/>
        <v>1</v>
      </c>
      <c r="P70" s="719" t="s">
        <v>3128</v>
      </c>
      <c r="Q70" s="24">
        <f t="shared" si="19"/>
        <v>0.7</v>
      </c>
      <c r="R70" s="715">
        <f t="shared" si="20"/>
        <v>0</v>
      </c>
      <c r="S70" s="361">
        <f t="shared" si="21"/>
        <v>0</v>
      </c>
      <c r="V70" s="799"/>
    </row>
    <row r="71" spans="1:22">
      <c r="A71" s="3028" t="str">
        <f>Sheet1!C50</f>
        <v>办公楼三层商3</v>
      </c>
      <c r="B71" s="717"/>
      <c r="C71" s="24">
        <f t="shared" si="12"/>
        <v>1</v>
      </c>
      <c r="D71" s="719" t="s">
        <v>3120</v>
      </c>
      <c r="E71" s="24">
        <f t="shared" si="13"/>
        <v>1</v>
      </c>
      <c r="F71" s="719"/>
      <c r="G71" s="24">
        <f t="shared" si="14"/>
        <v>1</v>
      </c>
      <c r="H71" s="719"/>
      <c r="I71" s="24">
        <f t="shared" si="15"/>
        <v>1</v>
      </c>
      <c r="J71" s="719"/>
      <c r="K71" s="24">
        <f t="shared" si="16"/>
        <v>1</v>
      </c>
      <c r="L71" s="719"/>
      <c r="M71" s="24">
        <f t="shared" si="17"/>
        <v>1</v>
      </c>
      <c r="N71" s="719"/>
      <c r="O71" s="24">
        <f t="shared" si="18"/>
        <v>1</v>
      </c>
      <c r="P71" s="719" t="s">
        <v>3129</v>
      </c>
      <c r="Q71" s="24">
        <f t="shared" si="19"/>
        <v>0.6</v>
      </c>
      <c r="R71" s="715">
        <f t="shared" si="20"/>
        <v>0</v>
      </c>
      <c r="S71" s="361">
        <f t="shared" si="21"/>
        <v>0</v>
      </c>
      <c r="V71" s="799"/>
    </row>
    <row r="72" spans="1:22">
      <c r="A72" s="3008" t="str">
        <f>Sheet1!C51</f>
        <v>1#一层商1</v>
      </c>
      <c r="B72" s="717">
        <f>Sheet3!D21</f>
        <v>99.41</v>
      </c>
      <c r="C72" s="24">
        <f t="shared" si="12"/>
        <v>1</v>
      </c>
      <c r="D72" s="719" t="s">
        <v>3120</v>
      </c>
      <c r="E72" s="24">
        <f t="shared" si="13"/>
        <v>1</v>
      </c>
      <c r="F72" s="719"/>
      <c r="G72" s="24">
        <f t="shared" si="14"/>
        <v>1</v>
      </c>
      <c r="H72" s="719"/>
      <c r="I72" s="24">
        <f t="shared" si="15"/>
        <v>1</v>
      </c>
      <c r="J72" s="719"/>
      <c r="K72" s="24">
        <f t="shared" si="16"/>
        <v>1</v>
      </c>
      <c r="L72" s="719"/>
      <c r="M72" s="24">
        <f t="shared" si="17"/>
        <v>1</v>
      </c>
      <c r="N72" s="719"/>
      <c r="O72" s="24">
        <f t="shared" si="18"/>
        <v>1</v>
      </c>
      <c r="P72" s="719" t="s">
        <v>3123</v>
      </c>
      <c r="Q72" s="24">
        <f t="shared" si="19"/>
        <v>1</v>
      </c>
      <c r="R72" s="715">
        <f t="shared" ca="1" si="20"/>
        <v>33319</v>
      </c>
      <c r="S72" s="361">
        <f t="shared" ca="1" si="21"/>
        <v>331</v>
      </c>
      <c r="V72" s="799"/>
    </row>
    <row r="73" spans="1:22">
      <c r="A73" s="3008" t="str">
        <f>Sheet1!C52</f>
        <v>1#一层商2</v>
      </c>
      <c r="B73" s="717">
        <f>Sheet3!D22</f>
        <v>97.45</v>
      </c>
      <c r="C73" s="24">
        <f t="shared" si="12"/>
        <v>1</v>
      </c>
      <c r="D73" s="719" t="s">
        <v>3120</v>
      </c>
      <c r="E73" s="24">
        <f t="shared" si="13"/>
        <v>1</v>
      </c>
      <c r="F73" s="719"/>
      <c r="G73" s="24">
        <f t="shared" si="14"/>
        <v>1</v>
      </c>
      <c r="H73" s="719"/>
      <c r="I73" s="24">
        <f t="shared" si="15"/>
        <v>1</v>
      </c>
      <c r="J73" s="719"/>
      <c r="K73" s="24">
        <f t="shared" si="16"/>
        <v>1</v>
      </c>
      <c r="L73" s="719"/>
      <c r="M73" s="24">
        <f t="shared" si="17"/>
        <v>1</v>
      </c>
      <c r="N73" s="719"/>
      <c r="O73" s="24">
        <f t="shared" si="18"/>
        <v>1</v>
      </c>
      <c r="P73" s="719" t="s">
        <v>3123</v>
      </c>
      <c r="Q73" s="24">
        <f t="shared" si="19"/>
        <v>1</v>
      </c>
      <c r="R73" s="715">
        <f t="shared" ca="1" si="20"/>
        <v>33319</v>
      </c>
      <c r="S73" s="361">
        <f t="shared" ca="1" si="21"/>
        <v>325</v>
      </c>
      <c r="V73" s="799"/>
    </row>
    <row r="74" spans="1:22">
      <c r="A74" s="3008" t="str">
        <f>Sheet1!C53</f>
        <v>1#一层商3</v>
      </c>
      <c r="B74" s="717">
        <f>Sheet3!D23</f>
        <v>103.18</v>
      </c>
      <c r="C74" s="24">
        <f t="shared" si="12"/>
        <v>0.99</v>
      </c>
      <c r="D74" s="719" t="s">
        <v>3120</v>
      </c>
      <c r="E74" s="24">
        <f t="shared" si="13"/>
        <v>1</v>
      </c>
      <c r="F74" s="719"/>
      <c r="G74" s="24">
        <f t="shared" si="14"/>
        <v>1</v>
      </c>
      <c r="H74" s="719"/>
      <c r="I74" s="24">
        <f t="shared" si="15"/>
        <v>1</v>
      </c>
      <c r="J74" s="719"/>
      <c r="K74" s="24">
        <f t="shared" si="16"/>
        <v>1</v>
      </c>
      <c r="L74" s="719"/>
      <c r="M74" s="24">
        <f t="shared" si="17"/>
        <v>1</v>
      </c>
      <c r="N74" s="719"/>
      <c r="O74" s="24">
        <f t="shared" si="18"/>
        <v>1</v>
      </c>
      <c r="P74" s="719" t="s">
        <v>3123</v>
      </c>
      <c r="Q74" s="24">
        <f t="shared" si="19"/>
        <v>1</v>
      </c>
      <c r="R74" s="715">
        <f t="shared" ca="1" si="20"/>
        <v>32986</v>
      </c>
      <c r="S74" s="361">
        <f t="shared" ca="1" si="21"/>
        <v>340</v>
      </c>
      <c r="V74" s="799"/>
    </row>
    <row r="75" spans="1:22">
      <c r="A75" s="3008" t="str">
        <f>Sheet1!C54</f>
        <v>1#一层商4</v>
      </c>
      <c r="B75" s="717">
        <f>Sheet3!D24</f>
        <v>98.27</v>
      </c>
      <c r="C75" s="24">
        <f t="shared" si="12"/>
        <v>1</v>
      </c>
      <c r="D75" s="719" t="s">
        <v>3243</v>
      </c>
      <c r="E75" s="24">
        <f t="shared" si="13"/>
        <v>0.97</v>
      </c>
      <c r="F75" s="719"/>
      <c r="G75" s="24">
        <f t="shared" si="14"/>
        <v>1</v>
      </c>
      <c r="H75" s="719"/>
      <c r="I75" s="24">
        <f t="shared" si="15"/>
        <v>1</v>
      </c>
      <c r="J75" s="719"/>
      <c r="K75" s="24">
        <f t="shared" si="16"/>
        <v>1</v>
      </c>
      <c r="L75" s="719"/>
      <c r="M75" s="24">
        <f t="shared" si="17"/>
        <v>1</v>
      </c>
      <c r="N75" s="719"/>
      <c r="O75" s="24">
        <f t="shared" si="18"/>
        <v>1</v>
      </c>
      <c r="P75" s="719" t="s">
        <v>3128</v>
      </c>
      <c r="Q75" s="24">
        <f t="shared" si="19"/>
        <v>0.7</v>
      </c>
      <c r="R75" s="715">
        <f t="shared" ca="1" si="20"/>
        <v>22624</v>
      </c>
      <c r="S75" s="361">
        <f t="shared" ca="1" si="21"/>
        <v>222</v>
      </c>
      <c r="V75" s="799"/>
    </row>
    <row r="76" spans="1:22">
      <c r="A76" s="3008" t="str">
        <f>Sheet1!C55</f>
        <v>1#一层商5</v>
      </c>
      <c r="B76" s="717">
        <f>Sheet3!D25</f>
        <v>98.27</v>
      </c>
      <c r="C76" s="24">
        <f t="shared" si="12"/>
        <v>1</v>
      </c>
      <c r="D76" s="719" t="s">
        <v>3243</v>
      </c>
      <c r="E76" s="24">
        <f t="shared" si="13"/>
        <v>0.97</v>
      </c>
      <c r="F76" s="719"/>
      <c r="G76" s="24">
        <f t="shared" si="14"/>
        <v>1</v>
      </c>
      <c r="H76" s="719"/>
      <c r="I76" s="24">
        <f t="shared" si="15"/>
        <v>1</v>
      </c>
      <c r="J76" s="719"/>
      <c r="K76" s="24">
        <f t="shared" si="16"/>
        <v>1</v>
      </c>
      <c r="L76" s="719"/>
      <c r="M76" s="24">
        <f t="shared" si="17"/>
        <v>1</v>
      </c>
      <c r="N76" s="719"/>
      <c r="O76" s="24">
        <f t="shared" si="18"/>
        <v>1</v>
      </c>
      <c r="P76" s="719" t="s">
        <v>3128</v>
      </c>
      <c r="Q76" s="24">
        <f t="shared" si="19"/>
        <v>0.7</v>
      </c>
      <c r="R76" s="715">
        <f t="shared" ca="1" si="20"/>
        <v>22624</v>
      </c>
      <c r="S76" s="361">
        <f t="shared" ca="1" si="21"/>
        <v>222</v>
      </c>
      <c r="V76" s="799"/>
    </row>
    <row r="77" spans="1:22">
      <c r="A77" s="3008" t="str">
        <f>Sheet1!C56</f>
        <v>1#一层商6</v>
      </c>
      <c r="B77" s="717">
        <f>Sheet3!D26</f>
        <v>98.27</v>
      </c>
      <c r="C77" s="24">
        <f t="shared" si="12"/>
        <v>1</v>
      </c>
      <c r="D77" s="719" t="s">
        <v>3243</v>
      </c>
      <c r="E77" s="24">
        <f t="shared" si="13"/>
        <v>0.97</v>
      </c>
      <c r="F77" s="719"/>
      <c r="G77" s="24">
        <f t="shared" si="14"/>
        <v>1</v>
      </c>
      <c r="H77" s="719"/>
      <c r="I77" s="24">
        <f t="shared" si="15"/>
        <v>1</v>
      </c>
      <c r="J77" s="719"/>
      <c r="K77" s="24">
        <f t="shared" si="16"/>
        <v>1</v>
      </c>
      <c r="L77" s="719"/>
      <c r="M77" s="24">
        <f t="shared" si="17"/>
        <v>1</v>
      </c>
      <c r="N77" s="719"/>
      <c r="O77" s="24">
        <f t="shared" si="18"/>
        <v>1</v>
      </c>
      <c r="P77" s="719" t="s">
        <v>3128</v>
      </c>
      <c r="Q77" s="24">
        <f t="shared" si="19"/>
        <v>0.7</v>
      </c>
      <c r="R77" s="715">
        <f t="shared" ca="1" si="20"/>
        <v>22624</v>
      </c>
      <c r="S77" s="361">
        <f t="shared" ca="1" si="21"/>
        <v>222</v>
      </c>
      <c r="V77" s="799"/>
    </row>
    <row r="78" spans="1:22">
      <c r="A78" s="3008" t="str">
        <f>Sheet1!C57</f>
        <v>1#一层商7</v>
      </c>
      <c r="B78" s="717">
        <f>Sheet3!D27</f>
        <v>98.27</v>
      </c>
      <c r="C78" s="24">
        <f t="shared" si="12"/>
        <v>1</v>
      </c>
      <c r="D78" s="719" t="s">
        <v>3243</v>
      </c>
      <c r="E78" s="24">
        <f t="shared" si="13"/>
        <v>0.97</v>
      </c>
      <c r="F78" s="719"/>
      <c r="G78" s="24">
        <f t="shared" si="14"/>
        <v>1</v>
      </c>
      <c r="H78" s="719"/>
      <c r="I78" s="24">
        <f t="shared" si="15"/>
        <v>1</v>
      </c>
      <c r="J78" s="719"/>
      <c r="K78" s="24">
        <f t="shared" si="16"/>
        <v>1</v>
      </c>
      <c r="L78" s="719"/>
      <c r="M78" s="24">
        <f t="shared" si="17"/>
        <v>1</v>
      </c>
      <c r="N78" s="719"/>
      <c r="O78" s="24">
        <f t="shared" si="18"/>
        <v>1</v>
      </c>
      <c r="P78" s="719" t="s">
        <v>3128</v>
      </c>
      <c r="Q78" s="24">
        <f t="shared" si="19"/>
        <v>0.7</v>
      </c>
      <c r="R78" s="715">
        <f t="shared" ca="1" si="20"/>
        <v>22624</v>
      </c>
      <c r="S78" s="361">
        <f t="shared" ref="S78:S122" ca="1" si="22">ROUND(R78*B78/10000,0)</f>
        <v>222</v>
      </c>
      <c r="V78" s="799"/>
    </row>
    <row r="79" spans="1:22">
      <c r="A79" s="3008" t="str">
        <f>Sheet1!C58</f>
        <v>1#一层商8</v>
      </c>
      <c r="B79" s="717">
        <f>Sheet3!D28</f>
        <v>98.27</v>
      </c>
      <c r="C79" s="24">
        <f t="shared" si="12"/>
        <v>1</v>
      </c>
      <c r="D79" s="719" t="s">
        <v>3243</v>
      </c>
      <c r="E79" s="24">
        <f t="shared" si="13"/>
        <v>0.97</v>
      </c>
      <c r="F79" s="719"/>
      <c r="G79" s="24">
        <f t="shared" si="14"/>
        <v>1</v>
      </c>
      <c r="H79" s="719"/>
      <c r="I79" s="24">
        <f t="shared" si="15"/>
        <v>1</v>
      </c>
      <c r="J79" s="719"/>
      <c r="K79" s="24">
        <f t="shared" si="16"/>
        <v>1</v>
      </c>
      <c r="L79" s="719"/>
      <c r="M79" s="24">
        <f t="shared" si="17"/>
        <v>1</v>
      </c>
      <c r="N79" s="719"/>
      <c r="O79" s="24">
        <f t="shared" si="18"/>
        <v>1</v>
      </c>
      <c r="P79" s="719" t="s">
        <v>3128</v>
      </c>
      <c r="Q79" s="24">
        <f t="shared" si="19"/>
        <v>0.7</v>
      </c>
      <c r="R79" s="715">
        <f t="shared" ca="1" si="20"/>
        <v>22624</v>
      </c>
      <c r="S79" s="361">
        <f t="shared" ca="1" si="22"/>
        <v>222</v>
      </c>
      <c r="V79" s="799"/>
    </row>
    <row r="80" spans="1:22">
      <c r="A80" s="3008" t="str">
        <f>Sheet1!C59</f>
        <v>1#一层商9</v>
      </c>
      <c r="B80" s="717">
        <f>Sheet3!D29</f>
        <v>115.95</v>
      </c>
      <c r="C80" s="24">
        <f t="shared" si="12"/>
        <v>0.99</v>
      </c>
      <c r="D80" s="719" t="s">
        <v>3243</v>
      </c>
      <c r="E80" s="24">
        <f t="shared" si="13"/>
        <v>0.97</v>
      </c>
      <c r="F80" s="719"/>
      <c r="G80" s="24">
        <f t="shared" si="14"/>
        <v>1</v>
      </c>
      <c r="H80" s="719"/>
      <c r="I80" s="24">
        <f t="shared" si="15"/>
        <v>1</v>
      </c>
      <c r="J80" s="719"/>
      <c r="K80" s="24">
        <f t="shared" si="16"/>
        <v>1</v>
      </c>
      <c r="L80" s="719"/>
      <c r="M80" s="24">
        <f t="shared" si="17"/>
        <v>1</v>
      </c>
      <c r="N80" s="719"/>
      <c r="O80" s="24">
        <f t="shared" si="18"/>
        <v>1</v>
      </c>
      <c r="P80" s="719" t="s">
        <v>3128</v>
      </c>
      <c r="Q80" s="24">
        <f t="shared" si="19"/>
        <v>0.7</v>
      </c>
      <c r="R80" s="715">
        <f t="shared" ca="1" si="20"/>
        <v>22397</v>
      </c>
      <c r="S80" s="361">
        <f t="shared" ca="1" si="22"/>
        <v>260</v>
      </c>
      <c r="V80" s="799"/>
    </row>
    <row r="81" spans="1:22">
      <c r="A81" s="3008" t="str">
        <f>Sheet1!C60</f>
        <v>1#二层商1</v>
      </c>
      <c r="B81" s="717">
        <f>Sheet3!D30</f>
        <v>121.08</v>
      </c>
      <c r="C81" s="24">
        <f t="shared" si="12"/>
        <v>0.99</v>
      </c>
      <c r="D81" s="719" t="s">
        <v>3243</v>
      </c>
      <c r="E81" s="24">
        <f t="shared" si="13"/>
        <v>0.97</v>
      </c>
      <c r="F81" s="719"/>
      <c r="G81" s="24">
        <f t="shared" si="14"/>
        <v>1</v>
      </c>
      <c r="H81" s="719"/>
      <c r="I81" s="24">
        <f t="shared" si="15"/>
        <v>1</v>
      </c>
      <c r="J81" s="719"/>
      <c r="K81" s="24">
        <f t="shared" si="16"/>
        <v>1</v>
      </c>
      <c r="L81" s="719"/>
      <c r="M81" s="24">
        <f t="shared" si="17"/>
        <v>1</v>
      </c>
      <c r="N81" s="719"/>
      <c r="O81" s="24">
        <f t="shared" si="18"/>
        <v>1</v>
      </c>
      <c r="P81" s="719" t="s">
        <v>3128</v>
      </c>
      <c r="Q81" s="24">
        <f t="shared" si="19"/>
        <v>0.7</v>
      </c>
      <c r="R81" s="715">
        <f t="shared" ca="1" si="20"/>
        <v>22397</v>
      </c>
      <c r="S81" s="361">
        <f t="shared" ca="1" si="22"/>
        <v>271</v>
      </c>
      <c r="V81" s="799"/>
    </row>
    <row r="82" spans="1:22">
      <c r="A82" s="3008" t="str">
        <f>Sheet1!C61</f>
        <v>1#二层商2</v>
      </c>
      <c r="B82" s="717">
        <f>Sheet3!D31</f>
        <v>90.37</v>
      </c>
      <c r="C82" s="24">
        <f t="shared" si="12"/>
        <v>1</v>
      </c>
      <c r="D82" s="719" t="s">
        <v>3243</v>
      </c>
      <c r="E82" s="24">
        <f t="shared" si="13"/>
        <v>0.97</v>
      </c>
      <c r="F82" s="719"/>
      <c r="G82" s="24">
        <f t="shared" si="14"/>
        <v>1</v>
      </c>
      <c r="H82" s="719"/>
      <c r="I82" s="24">
        <f t="shared" si="15"/>
        <v>1</v>
      </c>
      <c r="J82" s="719"/>
      <c r="K82" s="24">
        <f t="shared" si="16"/>
        <v>1</v>
      </c>
      <c r="L82" s="719"/>
      <c r="M82" s="24">
        <f t="shared" si="17"/>
        <v>1</v>
      </c>
      <c r="N82" s="719"/>
      <c r="O82" s="24">
        <f t="shared" si="18"/>
        <v>1</v>
      </c>
      <c r="P82" s="719" t="s">
        <v>3128</v>
      </c>
      <c r="Q82" s="24">
        <f t="shared" si="19"/>
        <v>0.7</v>
      </c>
      <c r="R82" s="715">
        <f t="shared" ca="1" si="20"/>
        <v>22624</v>
      </c>
      <c r="S82" s="361">
        <f t="shared" ca="1" si="22"/>
        <v>204</v>
      </c>
      <c r="V82" s="799"/>
    </row>
    <row r="83" spans="1:22">
      <c r="A83" s="3008" t="str">
        <f>Sheet1!C62</f>
        <v>1#二层商3</v>
      </c>
      <c r="B83" s="717">
        <f>Sheet3!D32</f>
        <v>95.89</v>
      </c>
      <c r="C83" s="24">
        <f t="shared" si="12"/>
        <v>1</v>
      </c>
      <c r="D83" s="719" t="s">
        <v>3243</v>
      </c>
      <c r="E83" s="24">
        <f t="shared" si="13"/>
        <v>0.97</v>
      </c>
      <c r="F83" s="719"/>
      <c r="G83" s="24">
        <f t="shared" si="14"/>
        <v>1</v>
      </c>
      <c r="H83" s="719"/>
      <c r="I83" s="24">
        <f t="shared" si="15"/>
        <v>1</v>
      </c>
      <c r="J83" s="719"/>
      <c r="K83" s="24">
        <f t="shared" si="16"/>
        <v>1</v>
      </c>
      <c r="L83" s="719"/>
      <c r="M83" s="24">
        <f t="shared" si="17"/>
        <v>1</v>
      </c>
      <c r="N83" s="719"/>
      <c r="O83" s="24">
        <f t="shared" si="18"/>
        <v>1</v>
      </c>
      <c r="P83" s="719" t="s">
        <v>3128</v>
      </c>
      <c r="Q83" s="24">
        <f t="shared" si="19"/>
        <v>0.7</v>
      </c>
      <c r="R83" s="715">
        <f t="shared" ca="1" si="20"/>
        <v>22624</v>
      </c>
      <c r="S83" s="361">
        <f t="shared" ca="1" si="22"/>
        <v>217</v>
      </c>
      <c r="V83" s="799"/>
    </row>
    <row r="84" spans="1:22">
      <c r="A84" s="3008" t="str">
        <f>Sheet1!C63</f>
        <v>1#二层商4</v>
      </c>
      <c r="B84" s="717">
        <f>Sheet3!D33</f>
        <v>132.43</v>
      </c>
      <c r="C84" s="24">
        <f t="shared" si="12"/>
        <v>0.99</v>
      </c>
      <c r="D84" s="719" t="s">
        <v>3243</v>
      </c>
      <c r="E84" s="24">
        <f t="shared" si="13"/>
        <v>0.97</v>
      </c>
      <c r="F84" s="719"/>
      <c r="G84" s="24">
        <f t="shared" si="14"/>
        <v>1</v>
      </c>
      <c r="H84" s="719"/>
      <c r="I84" s="24">
        <f t="shared" si="15"/>
        <v>1</v>
      </c>
      <c r="J84" s="719"/>
      <c r="K84" s="24">
        <f t="shared" si="16"/>
        <v>1</v>
      </c>
      <c r="L84" s="719"/>
      <c r="M84" s="24">
        <f t="shared" si="17"/>
        <v>1</v>
      </c>
      <c r="N84" s="719"/>
      <c r="O84" s="24">
        <f t="shared" si="18"/>
        <v>1</v>
      </c>
      <c r="P84" s="719" t="s">
        <v>3128</v>
      </c>
      <c r="Q84" s="24">
        <f t="shared" si="19"/>
        <v>0.7</v>
      </c>
      <c r="R84" s="715">
        <f t="shared" ca="1" si="20"/>
        <v>22397</v>
      </c>
      <c r="S84" s="361">
        <f t="shared" ca="1" si="22"/>
        <v>297</v>
      </c>
      <c r="V84" s="799"/>
    </row>
    <row r="85" spans="1:22">
      <c r="A85" s="3008" t="str">
        <f>Sheet1!C64</f>
        <v>1#二层商5</v>
      </c>
      <c r="B85" s="717">
        <f>Sheet3!D34</f>
        <v>91.32</v>
      </c>
      <c r="C85" s="24">
        <f t="shared" si="12"/>
        <v>1</v>
      </c>
      <c r="D85" s="719" t="s">
        <v>3243</v>
      </c>
      <c r="E85" s="24">
        <f t="shared" si="13"/>
        <v>0.97</v>
      </c>
      <c r="F85" s="719"/>
      <c r="G85" s="24">
        <f t="shared" si="14"/>
        <v>1</v>
      </c>
      <c r="H85" s="719"/>
      <c r="I85" s="24">
        <f t="shared" si="15"/>
        <v>1</v>
      </c>
      <c r="J85" s="719"/>
      <c r="K85" s="24">
        <f t="shared" si="16"/>
        <v>1</v>
      </c>
      <c r="L85" s="719"/>
      <c r="M85" s="24">
        <f t="shared" si="17"/>
        <v>1</v>
      </c>
      <c r="N85" s="719"/>
      <c r="O85" s="24">
        <f t="shared" si="18"/>
        <v>1</v>
      </c>
      <c r="P85" s="719" t="s">
        <v>3178</v>
      </c>
      <c r="Q85" s="24">
        <f t="shared" si="19"/>
        <v>0.85</v>
      </c>
      <c r="R85" s="715">
        <f t="shared" ca="1" si="20"/>
        <v>27472</v>
      </c>
      <c r="S85" s="361">
        <f t="shared" ca="1" si="22"/>
        <v>251</v>
      </c>
      <c r="V85" s="799"/>
    </row>
    <row r="86" spans="1:22">
      <c r="A86" s="3008" t="str">
        <f>Sheet1!C65</f>
        <v>1#二层商6</v>
      </c>
      <c r="B86" s="717">
        <f>Sheet3!D35</f>
        <v>91.32</v>
      </c>
      <c r="C86" s="24">
        <f t="shared" si="12"/>
        <v>1</v>
      </c>
      <c r="D86" s="719" t="s">
        <v>3243</v>
      </c>
      <c r="E86" s="24">
        <f t="shared" si="13"/>
        <v>0.97</v>
      </c>
      <c r="F86" s="719"/>
      <c r="G86" s="24">
        <f t="shared" si="14"/>
        <v>1</v>
      </c>
      <c r="H86" s="719"/>
      <c r="I86" s="24">
        <f t="shared" si="15"/>
        <v>1</v>
      </c>
      <c r="J86" s="719"/>
      <c r="K86" s="24">
        <f t="shared" si="16"/>
        <v>1</v>
      </c>
      <c r="L86" s="719"/>
      <c r="M86" s="24">
        <f t="shared" si="17"/>
        <v>1</v>
      </c>
      <c r="N86" s="719"/>
      <c r="O86" s="24">
        <f t="shared" si="18"/>
        <v>1</v>
      </c>
      <c r="P86" s="719" t="s">
        <v>3123</v>
      </c>
      <c r="Q86" s="24">
        <f t="shared" si="19"/>
        <v>1</v>
      </c>
      <c r="R86" s="715">
        <f t="shared" ca="1" si="20"/>
        <v>32319</v>
      </c>
      <c r="S86" s="361">
        <f t="shared" ca="1" si="22"/>
        <v>295</v>
      </c>
      <c r="V86" s="799"/>
    </row>
    <row r="87" spans="1:22">
      <c r="A87" s="3008" t="str">
        <f>Sheet1!C66</f>
        <v>1#二层商7</v>
      </c>
      <c r="B87" s="717">
        <f>Sheet3!D36</f>
        <v>91.32</v>
      </c>
      <c r="C87" s="24">
        <f t="shared" si="12"/>
        <v>1</v>
      </c>
      <c r="D87" s="719" t="s">
        <v>3243</v>
      </c>
      <c r="E87" s="24">
        <f t="shared" si="13"/>
        <v>0.97</v>
      </c>
      <c r="F87" s="719"/>
      <c r="G87" s="24">
        <f t="shared" si="14"/>
        <v>1</v>
      </c>
      <c r="H87" s="719"/>
      <c r="I87" s="24">
        <f t="shared" si="15"/>
        <v>1</v>
      </c>
      <c r="J87" s="719"/>
      <c r="K87" s="24">
        <f t="shared" si="16"/>
        <v>1</v>
      </c>
      <c r="L87" s="719"/>
      <c r="M87" s="24">
        <f t="shared" si="17"/>
        <v>1</v>
      </c>
      <c r="N87" s="719"/>
      <c r="O87" s="24">
        <f t="shared" si="18"/>
        <v>1</v>
      </c>
      <c r="P87" s="719" t="s">
        <v>3123</v>
      </c>
      <c r="Q87" s="24">
        <f t="shared" si="19"/>
        <v>1</v>
      </c>
      <c r="R87" s="715">
        <f t="shared" ca="1" si="20"/>
        <v>32319</v>
      </c>
      <c r="S87" s="361">
        <f t="shared" ca="1" si="22"/>
        <v>295</v>
      </c>
      <c r="V87" s="799"/>
    </row>
    <row r="88" spans="1:22">
      <c r="A88" s="3008" t="str">
        <f>Sheet1!C67</f>
        <v>1#二层商8</v>
      </c>
      <c r="B88" s="717">
        <f>Sheet3!D37</f>
        <v>91.32</v>
      </c>
      <c r="C88" s="24">
        <f t="shared" si="12"/>
        <v>1</v>
      </c>
      <c r="D88" s="719" t="s">
        <v>3243</v>
      </c>
      <c r="E88" s="24">
        <f t="shared" si="13"/>
        <v>0.97</v>
      </c>
      <c r="F88" s="719"/>
      <c r="G88" s="24">
        <f t="shared" si="14"/>
        <v>1</v>
      </c>
      <c r="H88" s="719"/>
      <c r="I88" s="24">
        <f t="shared" si="15"/>
        <v>1</v>
      </c>
      <c r="J88" s="719"/>
      <c r="K88" s="24">
        <f t="shared" si="16"/>
        <v>1</v>
      </c>
      <c r="L88" s="719"/>
      <c r="M88" s="24">
        <f t="shared" si="17"/>
        <v>1</v>
      </c>
      <c r="N88" s="719"/>
      <c r="O88" s="24">
        <f t="shared" si="18"/>
        <v>1</v>
      </c>
      <c r="P88" s="719" t="s">
        <v>3178</v>
      </c>
      <c r="Q88" s="24">
        <f t="shared" si="19"/>
        <v>0.85</v>
      </c>
      <c r="R88" s="715">
        <f t="shared" ca="1" si="20"/>
        <v>27472</v>
      </c>
      <c r="S88" s="361">
        <f t="shared" ca="1" si="22"/>
        <v>251</v>
      </c>
      <c r="V88" s="799"/>
    </row>
    <row r="89" spans="1:22">
      <c r="A89" s="3008" t="str">
        <f>Sheet1!C68</f>
        <v>1#二层商9</v>
      </c>
      <c r="B89" s="717">
        <f>Sheet3!D38</f>
        <v>102.01</v>
      </c>
      <c r="C89" s="24">
        <f t="shared" si="12"/>
        <v>0.99</v>
      </c>
      <c r="D89" s="719" t="s">
        <v>3243</v>
      </c>
      <c r="E89" s="24">
        <f t="shared" si="13"/>
        <v>0.97</v>
      </c>
      <c r="F89" s="719"/>
      <c r="G89" s="24">
        <f t="shared" si="14"/>
        <v>1</v>
      </c>
      <c r="H89" s="719"/>
      <c r="I89" s="24">
        <f t="shared" si="15"/>
        <v>1</v>
      </c>
      <c r="J89" s="719"/>
      <c r="K89" s="24">
        <f t="shared" si="16"/>
        <v>1</v>
      </c>
      <c r="L89" s="719"/>
      <c r="M89" s="24">
        <f t="shared" si="17"/>
        <v>1</v>
      </c>
      <c r="N89" s="719"/>
      <c r="O89" s="24">
        <f t="shared" si="18"/>
        <v>1</v>
      </c>
      <c r="P89" s="719" t="s">
        <v>3178</v>
      </c>
      <c r="Q89" s="24">
        <f t="shared" si="19"/>
        <v>0.85</v>
      </c>
      <c r="R89" s="715">
        <f t="shared" ca="1" si="20"/>
        <v>27197</v>
      </c>
      <c r="S89" s="361">
        <f t="shared" ca="1" si="22"/>
        <v>277</v>
      </c>
      <c r="V89" s="799"/>
    </row>
    <row r="90" spans="1:22">
      <c r="A90" s="3008"/>
      <c r="B90" s="717"/>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3178</v>
      </c>
      <c r="Q90" s="24">
        <f t="shared" ref="Q90:Q153" si="30">(SUMIF($17:$17,P90,$18:$18)-SUMIF($17:$17,$P$24,$18:$18)+100)/100</f>
        <v>0.85</v>
      </c>
      <c r="R90" s="715">
        <f t="shared" ref="R90:R153" si="31">IF(B90="",0,ROUND($R$24*C90*E90*G90*I90*K90*M90*O90*Q90,0))</f>
        <v>0</v>
      </c>
      <c r="S90" s="361">
        <f t="shared" si="22"/>
        <v>0</v>
      </c>
      <c r="V90" s="799"/>
    </row>
    <row r="91" spans="1:22">
      <c r="A91" s="3008"/>
      <c r="B91" s="717"/>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t="s">
        <v>3123</v>
      </c>
      <c r="Q91" s="24">
        <f t="shared" si="30"/>
        <v>1</v>
      </c>
      <c r="R91" s="715">
        <f t="shared" si="31"/>
        <v>0</v>
      </c>
      <c r="S91" s="361">
        <f t="shared" si="22"/>
        <v>0</v>
      </c>
      <c r="V91" s="799"/>
    </row>
    <row r="92" spans="1:22">
      <c r="A92" s="3008"/>
      <c r="B92" s="717"/>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t="s">
        <v>3123</v>
      </c>
      <c r="Q92" s="24">
        <f t="shared" si="30"/>
        <v>1</v>
      </c>
      <c r="R92" s="715">
        <f t="shared" si="31"/>
        <v>0</v>
      </c>
      <c r="S92" s="361">
        <f t="shared" si="22"/>
        <v>0</v>
      </c>
      <c r="V92" s="799"/>
    </row>
    <row r="93" spans="1:22">
      <c r="A93" s="3008"/>
      <c r="B93" s="717"/>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t="s">
        <v>3123</v>
      </c>
      <c r="Q93" s="24">
        <f t="shared" si="30"/>
        <v>1</v>
      </c>
      <c r="R93" s="715">
        <f t="shared" si="31"/>
        <v>0</v>
      </c>
      <c r="S93" s="361">
        <f t="shared" si="22"/>
        <v>0</v>
      </c>
      <c r="V93" s="799"/>
    </row>
    <row r="94" spans="1:22">
      <c r="A94" s="3008"/>
      <c r="B94" s="717"/>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t="s">
        <v>3123</v>
      </c>
      <c r="Q94" s="24">
        <f t="shared" si="30"/>
        <v>1</v>
      </c>
      <c r="R94" s="715">
        <f t="shared" si="31"/>
        <v>0</v>
      </c>
      <c r="S94" s="361">
        <f t="shared" si="22"/>
        <v>0</v>
      </c>
      <c r="V94" s="799"/>
    </row>
    <row r="95" spans="1:22">
      <c r="A95" s="3008"/>
      <c r="B95" s="717"/>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t="s">
        <v>3123</v>
      </c>
      <c r="Q95" s="24">
        <f t="shared" si="30"/>
        <v>1</v>
      </c>
      <c r="R95" s="715">
        <f t="shared" si="31"/>
        <v>0</v>
      </c>
      <c r="S95" s="361">
        <f t="shared" si="22"/>
        <v>0</v>
      </c>
      <c r="V95" s="799"/>
    </row>
    <row r="96" spans="1:22">
      <c r="A96" s="3008"/>
      <c r="B96" s="717"/>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t="s">
        <v>3123</v>
      </c>
      <c r="Q96" s="24">
        <f t="shared" si="30"/>
        <v>1</v>
      </c>
      <c r="R96" s="715">
        <f t="shared" si="31"/>
        <v>0</v>
      </c>
      <c r="S96" s="361">
        <f t="shared" si="22"/>
        <v>0</v>
      </c>
      <c r="V96" s="799"/>
    </row>
    <row r="97" spans="1:22">
      <c r="A97" s="3008"/>
      <c r="B97" s="717"/>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t="s">
        <v>3123</v>
      </c>
      <c r="Q97" s="24">
        <f t="shared" si="30"/>
        <v>1</v>
      </c>
      <c r="R97" s="715">
        <f t="shared" si="31"/>
        <v>0</v>
      </c>
      <c r="S97" s="361">
        <f t="shared" si="22"/>
        <v>0</v>
      </c>
      <c r="V97" s="799"/>
    </row>
    <row r="98" spans="1:22">
      <c r="A98" s="3008"/>
      <c r="B98" s="717"/>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t="s">
        <v>3123</v>
      </c>
      <c r="Q98" s="24">
        <f t="shared" si="30"/>
        <v>1</v>
      </c>
      <c r="R98" s="715">
        <f t="shared" si="31"/>
        <v>0</v>
      </c>
      <c r="S98" s="361">
        <f t="shared" si="22"/>
        <v>0</v>
      </c>
      <c r="V98" s="799"/>
    </row>
    <row r="99" spans="1:22">
      <c r="A99" s="3008"/>
      <c r="B99" s="717"/>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t="s">
        <v>3123</v>
      </c>
      <c r="Q99" s="24">
        <f t="shared" si="30"/>
        <v>1</v>
      </c>
      <c r="R99" s="715">
        <f t="shared" si="31"/>
        <v>0</v>
      </c>
      <c r="S99" s="361">
        <f t="shared" si="22"/>
        <v>0</v>
      </c>
      <c r="V99" s="799"/>
    </row>
    <row r="100" spans="1:22">
      <c r="A100" s="3008"/>
      <c r="B100" s="717"/>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t="s">
        <v>3123</v>
      </c>
      <c r="Q100" s="24">
        <f t="shared" si="30"/>
        <v>1</v>
      </c>
      <c r="R100" s="715">
        <f t="shared" si="31"/>
        <v>0</v>
      </c>
      <c r="S100" s="361">
        <f t="shared" si="22"/>
        <v>0</v>
      </c>
      <c r="V100" s="799"/>
    </row>
    <row r="101" spans="1:22">
      <c r="A101" s="3008"/>
      <c r="B101" s="717"/>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t="s">
        <v>3123</v>
      </c>
      <c r="Q101" s="24">
        <f t="shared" si="30"/>
        <v>1</v>
      </c>
      <c r="R101" s="715">
        <f t="shared" si="31"/>
        <v>0</v>
      </c>
      <c r="S101" s="361">
        <f t="shared" si="22"/>
        <v>0</v>
      </c>
      <c r="V101" s="799"/>
    </row>
    <row r="102" spans="1:22">
      <c r="A102" s="3008"/>
      <c r="B102" s="717"/>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t="s">
        <v>3123</v>
      </c>
      <c r="Q102" s="24">
        <f t="shared" si="30"/>
        <v>1</v>
      </c>
      <c r="R102" s="715">
        <f t="shared" si="31"/>
        <v>0</v>
      </c>
      <c r="S102" s="361">
        <f t="shared" si="22"/>
        <v>0</v>
      </c>
      <c r="V102" s="799"/>
    </row>
    <row r="103" spans="1:22">
      <c r="A103" s="3008"/>
      <c r="B103" s="717"/>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t="s">
        <v>3123</v>
      </c>
      <c r="Q103" s="24">
        <f t="shared" si="30"/>
        <v>1</v>
      </c>
      <c r="R103" s="715">
        <f t="shared" si="31"/>
        <v>0</v>
      </c>
      <c r="S103" s="361">
        <f t="shared" si="22"/>
        <v>0</v>
      </c>
      <c r="V103" s="799"/>
    </row>
    <row r="104" spans="1:22">
      <c r="A104" s="3008"/>
      <c r="B104" s="717"/>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t="s">
        <v>3123</v>
      </c>
      <c r="Q104" s="24">
        <f t="shared" si="30"/>
        <v>1</v>
      </c>
      <c r="R104" s="715">
        <f t="shared" si="31"/>
        <v>0</v>
      </c>
      <c r="S104" s="361">
        <f t="shared" si="22"/>
        <v>0</v>
      </c>
      <c r="V104" s="799"/>
    </row>
    <row r="105" spans="1:22">
      <c r="A105" s="3008"/>
      <c r="B105" s="717"/>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t="s">
        <v>3123</v>
      </c>
      <c r="Q105" s="24">
        <f t="shared" si="30"/>
        <v>1</v>
      </c>
      <c r="R105" s="715">
        <f t="shared" si="31"/>
        <v>0</v>
      </c>
      <c r="S105" s="361">
        <f t="shared" si="22"/>
        <v>0</v>
      </c>
      <c r="V105" s="799"/>
    </row>
    <row r="106" spans="1:22">
      <c r="A106" s="3008"/>
      <c r="B106" s="717"/>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t="s">
        <v>3123</v>
      </c>
      <c r="Q106" s="24">
        <f t="shared" si="30"/>
        <v>1</v>
      </c>
      <c r="R106" s="715">
        <f t="shared" si="31"/>
        <v>0</v>
      </c>
      <c r="S106" s="361">
        <f t="shared" si="22"/>
        <v>0</v>
      </c>
      <c r="V106" s="799"/>
    </row>
    <row r="107" spans="1:22">
      <c r="A107" s="3008"/>
      <c r="B107" s="717"/>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t="s">
        <v>3123</v>
      </c>
      <c r="Q107" s="24">
        <f t="shared" si="30"/>
        <v>1</v>
      </c>
      <c r="R107" s="715">
        <f t="shared" si="31"/>
        <v>0</v>
      </c>
      <c r="S107" s="361">
        <f t="shared" si="22"/>
        <v>0</v>
      </c>
      <c r="V107" s="799"/>
    </row>
    <row r="108" spans="1:22">
      <c r="A108" s="3008"/>
      <c r="B108" s="717"/>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t="s">
        <v>3123</v>
      </c>
      <c r="Q108" s="24">
        <f t="shared" si="30"/>
        <v>1</v>
      </c>
      <c r="R108" s="715">
        <f t="shared" si="31"/>
        <v>0</v>
      </c>
      <c r="S108" s="361">
        <f t="shared" si="22"/>
        <v>0</v>
      </c>
      <c r="V108" s="799"/>
    </row>
    <row r="109" spans="1:22">
      <c r="A109" s="3008"/>
      <c r="B109" s="717"/>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t="s">
        <v>3123</v>
      </c>
      <c r="Q109" s="24">
        <f t="shared" si="30"/>
        <v>1</v>
      </c>
      <c r="R109" s="715">
        <f t="shared" si="31"/>
        <v>0</v>
      </c>
      <c r="S109" s="361">
        <f t="shared" si="22"/>
        <v>0</v>
      </c>
      <c r="V109" s="799"/>
    </row>
    <row r="110" spans="1:22">
      <c r="A110" s="3008"/>
      <c r="B110" s="717"/>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t="s">
        <v>3123</v>
      </c>
      <c r="Q110" s="24">
        <f t="shared" si="30"/>
        <v>1</v>
      </c>
      <c r="R110" s="715">
        <f t="shared" si="31"/>
        <v>0</v>
      </c>
      <c r="S110" s="361">
        <f t="shared" si="22"/>
        <v>0</v>
      </c>
      <c r="V110" s="799"/>
    </row>
    <row r="111" spans="1:22">
      <c r="A111" s="3008"/>
      <c r="B111" s="717"/>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t="s">
        <v>3123</v>
      </c>
      <c r="Q111" s="24">
        <f t="shared" si="30"/>
        <v>1</v>
      </c>
      <c r="R111" s="715">
        <f t="shared" si="31"/>
        <v>0</v>
      </c>
      <c r="S111" s="361">
        <f t="shared" si="22"/>
        <v>0</v>
      </c>
      <c r="V111" s="799"/>
    </row>
    <row r="112" spans="1:22">
      <c r="A112" s="3008"/>
      <c r="B112" s="717"/>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t="s">
        <v>3123</v>
      </c>
      <c r="Q112" s="24">
        <f t="shared" si="30"/>
        <v>1</v>
      </c>
      <c r="R112" s="715">
        <f t="shared" si="31"/>
        <v>0</v>
      </c>
      <c r="S112" s="361">
        <f t="shared" si="22"/>
        <v>0</v>
      </c>
      <c r="V112" s="799"/>
    </row>
    <row r="113" spans="1:22">
      <c r="A113" s="3008"/>
      <c r="B113" s="717"/>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t="s">
        <v>3123</v>
      </c>
      <c r="Q113" s="24">
        <f t="shared" si="30"/>
        <v>1</v>
      </c>
      <c r="R113" s="715">
        <f t="shared" si="31"/>
        <v>0</v>
      </c>
      <c r="S113" s="361">
        <f t="shared" si="22"/>
        <v>0</v>
      </c>
      <c r="V113" s="799"/>
    </row>
    <row r="114" spans="1:22">
      <c r="A114" s="3008"/>
      <c r="B114" s="717"/>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t="s">
        <v>3123</v>
      </c>
      <c r="Q114" s="24">
        <f t="shared" si="30"/>
        <v>1</v>
      </c>
      <c r="R114" s="715">
        <f t="shared" si="31"/>
        <v>0</v>
      </c>
      <c r="S114" s="361">
        <f t="shared" si="22"/>
        <v>0</v>
      </c>
      <c r="V114" s="799"/>
    </row>
    <row r="115" spans="1:22">
      <c r="A115" s="3008"/>
      <c r="B115" s="717"/>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t="s">
        <v>3123</v>
      </c>
      <c r="Q115" s="24">
        <f t="shared" si="30"/>
        <v>1</v>
      </c>
      <c r="R115" s="715">
        <f t="shared" si="31"/>
        <v>0</v>
      </c>
      <c r="S115" s="361">
        <f t="shared" si="22"/>
        <v>0</v>
      </c>
      <c r="V115" s="799"/>
    </row>
    <row r="116" spans="1:22">
      <c r="A116" s="3008"/>
      <c r="B116" s="717"/>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t="s">
        <v>3123</v>
      </c>
      <c r="Q116" s="24">
        <f t="shared" si="30"/>
        <v>1</v>
      </c>
      <c r="R116" s="715">
        <f t="shared" si="31"/>
        <v>0</v>
      </c>
      <c r="S116" s="361">
        <f t="shared" si="22"/>
        <v>0</v>
      </c>
      <c r="V116" s="799"/>
    </row>
    <row r="117" spans="1:22">
      <c r="A117" s="3008"/>
      <c r="B117" s="717"/>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t="s">
        <v>3123</v>
      </c>
      <c r="Q117" s="24">
        <f t="shared" si="30"/>
        <v>1</v>
      </c>
      <c r="R117" s="715">
        <f t="shared" si="31"/>
        <v>0</v>
      </c>
      <c r="S117" s="361">
        <f t="shared" si="22"/>
        <v>0</v>
      </c>
      <c r="V117" s="799"/>
    </row>
    <row r="118" spans="1:22">
      <c r="A118" s="3008"/>
      <c r="B118" s="717"/>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t="s">
        <v>3123</v>
      </c>
      <c r="Q118" s="24">
        <f t="shared" si="30"/>
        <v>1</v>
      </c>
      <c r="R118" s="715">
        <f t="shared" si="31"/>
        <v>0</v>
      </c>
      <c r="S118" s="361">
        <f t="shared" si="22"/>
        <v>0</v>
      </c>
      <c r="V118" s="799"/>
    </row>
    <row r="119" spans="1:22">
      <c r="A119" s="3008"/>
      <c r="B119" s="717"/>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t="s">
        <v>3123</v>
      </c>
      <c r="Q119" s="24">
        <f t="shared" si="30"/>
        <v>1</v>
      </c>
      <c r="R119" s="715">
        <f t="shared" si="31"/>
        <v>0</v>
      </c>
      <c r="S119" s="361">
        <f t="shared" si="22"/>
        <v>0</v>
      </c>
      <c r="V119" s="799"/>
    </row>
    <row r="120" spans="1:22">
      <c r="A120" s="3008"/>
      <c r="B120" s="717"/>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t="s">
        <v>3123</v>
      </c>
      <c r="Q120" s="24">
        <f t="shared" si="30"/>
        <v>1</v>
      </c>
      <c r="R120" s="715">
        <f t="shared" si="31"/>
        <v>0</v>
      </c>
      <c r="S120" s="361">
        <f t="shared" si="22"/>
        <v>0</v>
      </c>
      <c r="V120" s="799"/>
    </row>
    <row r="121" spans="1:22">
      <c r="A121" s="3008"/>
      <c r="B121" s="717"/>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t="s">
        <v>3123</v>
      </c>
      <c r="Q121" s="24">
        <f t="shared" si="30"/>
        <v>1</v>
      </c>
      <c r="R121" s="715">
        <f t="shared" si="31"/>
        <v>0</v>
      </c>
      <c r="S121" s="361">
        <f t="shared" si="22"/>
        <v>0</v>
      </c>
      <c r="V121" s="799"/>
    </row>
    <row r="122" spans="1:22">
      <c r="A122" s="3008"/>
      <c r="B122" s="717"/>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t="s">
        <v>3123</v>
      </c>
      <c r="Q122" s="24">
        <f t="shared" si="30"/>
        <v>1</v>
      </c>
      <c r="R122" s="715">
        <f t="shared" si="31"/>
        <v>0</v>
      </c>
      <c r="S122" s="361">
        <f t="shared" si="22"/>
        <v>0</v>
      </c>
      <c r="V122" s="799"/>
    </row>
    <row r="123" spans="1:22">
      <c r="A123" s="3008"/>
      <c r="B123" s="717"/>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t="s">
        <v>3128</v>
      </c>
      <c r="Q123" s="24">
        <f t="shared" si="30"/>
        <v>0.7</v>
      </c>
      <c r="R123" s="715">
        <f t="shared" si="31"/>
        <v>0</v>
      </c>
      <c r="S123" s="361">
        <f t="shared" ref="S123:S186" si="32">ROUND(R123*B123/10000,0)</f>
        <v>0</v>
      </c>
      <c r="V123" s="799"/>
    </row>
    <row r="124" spans="1:22">
      <c r="A124" s="3008"/>
      <c r="B124" s="717"/>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t="s">
        <v>3128</v>
      </c>
      <c r="Q124" s="24">
        <f t="shared" si="30"/>
        <v>0.7</v>
      </c>
      <c r="R124" s="715">
        <f t="shared" si="31"/>
        <v>0</v>
      </c>
      <c r="S124" s="361">
        <f t="shared" si="32"/>
        <v>0</v>
      </c>
      <c r="V124" s="799"/>
    </row>
    <row r="125" spans="1:22">
      <c r="A125" s="3008"/>
      <c r="B125" s="717"/>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t="s">
        <v>3128</v>
      </c>
      <c r="Q125" s="24">
        <f t="shared" si="30"/>
        <v>0.7</v>
      </c>
      <c r="R125" s="715">
        <f t="shared" si="31"/>
        <v>0</v>
      </c>
      <c r="S125" s="361">
        <f t="shared" si="32"/>
        <v>0</v>
      </c>
      <c r="V125" s="799"/>
    </row>
    <row r="126" spans="1:22">
      <c r="A126" s="3008"/>
      <c r="B126" s="717"/>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t="s">
        <v>3128</v>
      </c>
      <c r="Q126" s="24">
        <f t="shared" si="30"/>
        <v>0.7</v>
      </c>
      <c r="R126" s="715">
        <f t="shared" si="31"/>
        <v>0</v>
      </c>
      <c r="S126" s="361">
        <f t="shared" si="32"/>
        <v>0</v>
      </c>
      <c r="V126" s="799"/>
    </row>
    <row r="127" spans="1:22">
      <c r="A127" s="3008"/>
      <c r="B127" s="717"/>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t="s">
        <v>3128</v>
      </c>
      <c r="Q127" s="24">
        <f t="shared" si="30"/>
        <v>0.7</v>
      </c>
      <c r="R127" s="715">
        <f t="shared" si="31"/>
        <v>0</v>
      </c>
      <c r="S127" s="361">
        <f t="shared" si="32"/>
        <v>0</v>
      </c>
      <c r="V127" s="799"/>
    </row>
    <row r="128" spans="1:22">
      <c r="A128" s="3008"/>
      <c r="B128" s="717"/>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t="s">
        <v>3128</v>
      </c>
      <c r="Q128" s="24">
        <f t="shared" si="30"/>
        <v>0.7</v>
      </c>
      <c r="R128" s="715">
        <f t="shared" si="31"/>
        <v>0</v>
      </c>
      <c r="S128" s="361">
        <f t="shared" si="32"/>
        <v>0</v>
      </c>
      <c r="V128" s="799"/>
    </row>
    <row r="129" spans="1:22">
      <c r="A129" s="3008"/>
      <c r="B129" s="717"/>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t="s">
        <v>3128</v>
      </c>
      <c r="Q129" s="24">
        <f t="shared" si="30"/>
        <v>0.7</v>
      </c>
      <c r="R129" s="715">
        <f t="shared" si="31"/>
        <v>0</v>
      </c>
      <c r="S129" s="361">
        <f t="shared" si="32"/>
        <v>0</v>
      </c>
      <c r="V129" s="799"/>
    </row>
    <row r="130" spans="1:22">
      <c r="A130" s="3008"/>
      <c r="B130" s="717"/>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t="s">
        <v>3128</v>
      </c>
      <c r="Q130" s="24">
        <f t="shared" si="30"/>
        <v>0.7</v>
      </c>
      <c r="R130" s="715">
        <f t="shared" si="31"/>
        <v>0</v>
      </c>
      <c r="S130" s="361">
        <f t="shared" si="32"/>
        <v>0</v>
      </c>
      <c r="V130" s="799"/>
    </row>
    <row r="131" spans="1:22">
      <c r="A131" s="3008"/>
      <c r="B131" s="717"/>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t="s">
        <v>3128</v>
      </c>
      <c r="Q131" s="24">
        <f t="shared" si="30"/>
        <v>0.7</v>
      </c>
      <c r="R131" s="715">
        <f t="shared" si="31"/>
        <v>0</v>
      </c>
      <c r="S131" s="361">
        <f t="shared" si="32"/>
        <v>0</v>
      </c>
      <c r="V131" s="799"/>
    </row>
    <row r="132" spans="1:22">
      <c r="A132" s="3008"/>
      <c r="B132" s="717"/>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t="s">
        <v>3128</v>
      </c>
      <c r="Q132" s="24">
        <f t="shared" si="30"/>
        <v>0.7</v>
      </c>
      <c r="R132" s="715">
        <f t="shared" si="31"/>
        <v>0</v>
      </c>
      <c r="S132" s="361">
        <f t="shared" si="32"/>
        <v>0</v>
      </c>
      <c r="V132" s="799"/>
    </row>
    <row r="133" spans="1:22">
      <c r="A133" s="3008"/>
      <c r="B133" s="717"/>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t="s">
        <v>3128</v>
      </c>
      <c r="Q133" s="24">
        <f t="shared" si="30"/>
        <v>0.7</v>
      </c>
      <c r="R133" s="715">
        <f t="shared" si="31"/>
        <v>0</v>
      </c>
      <c r="S133" s="361">
        <f t="shared" si="32"/>
        <v>0</v>
      </c>
      <c r="V133" s="799"/>
    </row>
    <row r="134" spans="1:22">
      <c r="A134" s="3008"/>
      <c r="B134" s="717"/>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t="s">
        <v>3128</v>
      </c>
      <c r="Q134" s="24">
        <f t="shared" si="30"/>
        <v>0.7</v>
      </c>
      <c r="R134" s="715">
        <f t="shared" si="31"/>
        <v>0</v>
      </c>
      <c r="S134" s="361">
        <f t="shared" si="32"/>
        <v>0</v>
      </c>
      <c r="V134" s="799"/>
    </row>
    <row r="135" spans="1:22">
      <c r="A135" s="3008"/>
      <c r="B135" s="717"/>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t="s">
        <v>3128</v>
      </c>
      <c r="Q135" s="24">
        <f t="shared" si="30"/>
        <v>0.7</v>
      </c>
      <c r="R135" s="715">
        <f t="shared" si="31"/>
        <v>0</v>
      </c>
      <c r="S135" s="361">
        <f t="shared" si="32"/>
        <v>0</v>
      </c>
      <c r="V135" s="799"/>
    </row>
    <row r="136" spans="1:22">
      <c r="A136" s="3008"/>
      <c r="B136" s="717"/>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t="s">
        <v>3128</v>
      </c>
      <c r="Q136" s="24">
        <f t="shared" si="30"/>
        <v>0.7</v>
      </c>
      <c r="R136" s="715">
        <f t="shared" si="31"/>
        <v>0</v>
      </c>
      <c r="S136" s="361">
        <f t="shared" si="32"/>
        <v>0</v>
      </c>
      <c r="V136" s="799"/>
    </row>
    <row r="137" spans="1:22">
      <c r="A137" s="3008"/>
      <c r="B137" s="717"/>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t="s">
        <v>3128</v>
      </c>
      <c r="Q137" s="24">
        <f t="shared" si="30"/>
        <v>0.7</v>
      </c>
      <c r="R137" s="715">
        <f t="shared" si="31"/>
        <v>0</v>
      </c>
      <c r="S137" s="361">
        <f t="shared" si="32"/>
        <v>0</v>
      </c>
      <c r="V137" s="799"/>
    </row>
    <row r="138" spans="1:22">
      <c r="A138" s="3008"/>
      <c r="B138" s="717"/>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t="s">
        <v>3128</v>
      </c>
      <c r="Q138" s="24">
        <f t="shared" si="30"/>
        <v>0.7</v>
      </c>
      <c r="R138" s="715">
        <f t="shared" si="31"/>
        <v>0</v>
      </c>
      <c r="S138" s="361">
        <f t="shared" si="32"/>
        <v>0</v>
      </c>
      <c r="V138" s="799"/>
    </row>
    <row r="139" spans="1:22">
      <c r="A139" s="3008"/>
      <c r="B139" s="717"/>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t="s">
        <v>3128</v>
      </c>
      <c r="Q139" s="24">
        <f t="shared" si="30"/>
        <v>0.7</v>
      </c>
      <c r="R139" s="715">
        <f t="shared" si="31"/>
        <v>0</v>
      </c>
      <c r="S139" s="361">
        <f t="shared" si="32"/>
        <v>0</v>
      </c>
      <c r="V139" s="799"/>
    </row>
    <row r="140" spans="1:22">
      <c r="A140" s="3008"/>
      <c r="B140" s="717"/>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t="s">
        <v>3128</v>
      </c>
      <c r="Q140" s="24">
        <f t="shared" si="30"/>
        <v>0.7</v>
      </c>
      <c r="R140" s="715">
        <f t="shared" si="31"/>
        <v>0</v>
      </c>
      <c r="S140" s="361">
        <f t="shared" si="32"/>
        <v>0</v>
      </c>
      <c r="V140" s="799"/>
    </row>
    <row r="141" spans="1:22">
      <c r="A141" s="3008"/>
      <c r="B141" s="717"/>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t="s">
        <v>3128</v>
      </c>
      <c r="Q141" s="24">
        <f t="shared" si="30"/>
        <v>0.7</v>
      </c>
      <c r="R141" s="715">
        <f t="shared" si="31"/>
        <v>0</v>
      </c>
      <c r="S141" s="361">
        <f t="shared" si="32"/>
        <v>0</v>
      </c>
      <c r="V141" s="799"/>
    </row>
    <row r="142" spans="1:22">
      <c r="A142" s="3008"/>
      <c r="B142" s="717"/>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t="s">
        <v>3128</v>
      </c>
      <c r="Q142" s="24">
        <f t="shared" si="30"/>
        <v>0.7</v>
      </c>
      <c r="R142" s="715">
        <f t="shared" si="31"/>
        <v>0</v>
      </c>
      <c r="S142" s="361">
        <f t="shared" si="32"/>
        <v>0</v>
      </c>
      <c r="V142" s="799"/>
    </row>
    <row r="143" spans="1:22">
      <c r="A143" s="3008"/>
      <c r="B143" s="717"/>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t="s">
        <v>3128</v>
      </c>
      <c r="Q143" s="24">
        <f t="shared" si="30"/>
        <v>0.7</v>
      </c>
      <c r="R143" s="715">
        <f t="shared" si="31"/>
        <v>0</v>
      </c>
      <c r="S143" s="361">
        <f t="shared" si="32"/>
        <v>0</v>
      </c>
      <c r="V143" s="799"/>
    </row>
    <row r="144" spans="1:22">
      <c r="A144" s="3008"/>
      <c r="B144" s="717"/>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t="s">
        <v>3128</v>
      </c>
      <c r="Q144" s="24">
        <f t="shared" si="30"/>
        <v>0.7</v>
      </c>
      <c r="R144" s="715">
        <f t="shared" si="31"/>
        <v>0</v>
      </c>
      <c r="S144" s="361">
        <f t="shared" si="32"/>
        <v>0</v>
      </c>
    </row>
    <row r="145" spans="1:19">
      <c r="A145" s="3008"/>
      <c r="B145" s="717"/>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t="s">
        <v>3128</v>
      </c>
      <c r="Q145" s="24">
        <f t="shared" si="30"/>
        <v>0.7</v>
      </c>
      <c r="R145" s="715">
        <f t="shared" si="31"/>
        <v>0</v>
      </c>
      <c r="S145" s="361">
        <f t="shared" si="32"/>
        <v>0</v>
      </c>
    </row>
    <row r="146" spans="1:19">
      <c r="A146" s="3008"/>
      <c r="B146" s="717"/>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t="s">
        <v>3128</v>
      </c>
      <c r="Q146" s="24">
        <f t="shared" si="30"/>
        <v>0.7</v>
      </c>
      <c r="R146" s="715">
        <f t="shared" si="31"/>
        <v>0</v>
      </c>
      <c r="S146" s="361">
        <f t="shared" si="32"/>
        <v>0</v>
      </c>
    </row>
    <row r="147" spans="1:19">
      <c r="A147" s="3008"/>
      <c r="B147" s="717"/>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t="s">
        <v>3128</v>
      </c>
      <c r="Q147" s="24">
        <f t="shared" si="30"/>
        <v>0.7</v>
      </c>
      <c r="R147" s="715">
        <f t="shared" si="31"/>
        <v>0</v>
      </c>
      <c r="S147" s="361">
        <f t="shared" si="32"/>
        <v>0</v>
      </c>
    </row>
    <row r="148" spans="1:19">
      <c r="A148" s="3008"/>
      <c r="B148" s="717"/>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t="s">
        <v>3128</v>
      </c>
      <c r="Q148" s="24">
        <f t="shared" si="30"/>
        <v>0.7</v>
      </c>
      <c r="R148" s="715">
        <f t="shared" si="31"/>
        <v>0</v>
      </c>
      <c r="S148" s="361">
        <f t="shared" si="32"/>
        <v>0</v>
      </c>
    </row>
    <row r="149" spans="1:19">
      <c r="A149" s="3008"/>
      <c r="B149" s="717"/>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t="s">
        <v>3128</v>
      </c>
      <c r="Q149" s="24">
        <f t="shared" si="30"/>
        <v>0.7</v>
      </c>
      <c r="R149" s="715">
        <f t="shared" si="31"/>
        <v>0</v>
      </c>
      <c r="S149" s="361">
        <f t="shared" si="32"/>
        <v>0</v>
      </c>
    </row>
    <row r="150" spans="1:19">
      <c r="A150" s="3008"/>
      <c r="B150" s="717"/>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t="s">
        <v>3128</v>
      </c>
      <c r="Q150" s="24">
        <f t="shared" si="30"/>
        <v>0.7</v>
      </c>
      <c r="R150" s="715">
        <f t="shared" si="31"/>
        <v>0</v>
      </c>
      <c r="S150" s="361">
        <f t="shared" si="32"/>
        <v>0</v>
      </c>
    </row>
    <row r="151" spans="1:19">
      <c r="A151" s="3008"/>
      <c r="B151" s="717"/>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t="s">
        <v>3128</v>
      </c>
      <c r="Q151" s="24">
        <f t="shared" si="30"/>
        <v>0.7</v>
      </c>
      <c r="R151" s="715">
        <f t="shared" si="31"/>
        <v>0</v>
      </c>
      <c r="S151" s="361">
        <f t="shared" si="32"/>
        <v>0</v>
      </c>
    </row>
    <row r="152" spans="1:19">
      <c r="A152" s="3008"/>
      <c r="B152" s="717"/>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t="s">
        <v>3128</v>
      </c>
      <c r="Q152" s="24">
        <f t="shared" si="30"/>
        <v>0.7</v>
      </c>
      <c r="R152" s="715">
        <f t="shared" si="31"/>
        <v>0</v>
      </c>
      <c r="S152" s="361">
        <f t="shared" si="32"/>
        <v>0</v>
      </c>
    </row>
    <row r="153" spans="1:19">
      <c r="A153" s="3008"/>
      <c r="B153" s="717"/>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t="s">
        <v>3128</v>
      </c>
      <c r="Q153" s="24">
        <f t="shared" si="30"/>
        <v>0.7</v>
      </c>
      <c r="R153" s="715">
        <f t="shared" si="31"/>
        <v>0</v>
      </c>
      <c r="S153" s="361">
        <f t="shared" si="32"/>
        <v>0</v>
      </c>
    </row>
    <row r="154" spans="1:19">
      <c r="A154" s="3008"/>
      <c r="B154" s="717"/>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3128</v>
      </c>
      <c r="Q154" s="24">
        <f t="shared" ref="Q154:Q217" si="40">(SUMIF($17:$17,P154,$18:$18)-SUMIF($17:$17,$P$24,$18:$18)+100)/100</f>
        <v>0.7</v>
      </c>
      <c r="R154" s="715">
        <f t="shared" ref="R154:R217" si="41">IF(B154="",0,ROUND($R$24*C154*E154*G154*I154*K154*M154*O154*Q154,0))</f>
        <v>0</v>
      </c>
      <c r="S154" s="361">
        <f t="shared" si="32"/>
        <v>0</v>
      </c>
    </row>
    <row r="155" spans="1:19">
      <c r="A155" s="3008"/>
      <c r="B155" s="717"/>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t="s">
        <v>3129</v>
      </c>
      <c r="Q155" s="24">
        <f t="shared" si="40"/>
        <v>0.6</v>
      </c>
      <c r="R155" s="715">
        <f t="shared" si="41"/>
        <v>0</v>
      </c>
      <c r="S155" s="361">
        <f t="shared" si="32"/>
        <v>0</v>
      </c>
    </row>
    <row r="156" spans="1:19">
      <c r="A156" s="3008"/>
      <c r="B156" s="717"/>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t="s">
        <v>3129</v>
      </c>
      <c r="Q156" s="24">
        <f t="shared" si="40"/>
        <v>0.6</v>
      </c>
      <c r="R156" s="715">
        <f t="shared" si="41"/>
        <v>0</v>
      </c>
      <c r="S156" s="361">
        <f t="shared" si="32"/>
        <v>0</v>
      </c>
    </row>
    <row r="157" spans="1:19">
      <c r="A157" s="3008"/>
      <c r="B157" s="717"/>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t="s">
        <v>3129</v>
      </c>
      <c r="Q157" s="24">
        <f t="shared" si="40"/>
        <v>0.6</v>
      </c>
      <c r="R157" s="715">
        <f t="shared" si="41"/>
        <v>0</v>
      </c>
      <c r="S157" s="361">
        <f t="shared" si="32"/>
        <v>0</v>
      </c>
    </row>
    <row r="158" spans="1:19">
      <c r="A158" s="3008"/>
      <c r="B158" s="717"/>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t="s">
        <v>3129</v>
      </c>
      <c r="Q158" s="24">
        <f t="shared" si="40"/>
        <v>0.6</v>
      </c>
      <c r="R158" s="715">
        <f t="shared" si="41"/>
        <v>0</v>
      </c>
      <c r="S158" s="361">
        <f t="shared" si="32"/>
        <v>0</v>
      </c>
    </row>
    <row r="159" spans="1:19">
      <c r="A159" s="3008"/>
      <c r="B159" s="717"/>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t="s">
        <v>3129</v>
      </c>
      <c r="Q159" s="24">
        <f t="shared" si="40"/>
        <v>0.6</v>
      </c>
      <c r="R159" s="715">
        <f t="shared" si="41"/>
        <v>0</v>
      </c>
      <c r="S159" s="361">
        <f t="shared" si="32"/>
        <v>0</v>
      </c>
    </row>
    <row r="160" spans="1:19">
      <c r="A160" s="3008"/>
      <c r="B160" s="717"/>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t="s">
        <v>3129</v>
      </c>
      <c r="Q160" s="24">
        <f t="shared" si="40"/>
        <v>0.6</v>
      </c>
      <c r="R160" s="715">
        <f t="shared" si="41"/>
        <v>0</v>
      </c>
      <c r="S160" s="361">
        <f t="shared" si="32"/>
        <v>0</v>
      </c>
    </row>
    <row r="161" spans="1:19">
      <c r="A161" s="3008"/>
      <c r="B161" s="717"/>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t="s">
        <v>3129</v>
      </c>
      <c r="Q161" s="24">
        <f t="shared" si="40"/>
        <v>0.6</v>
      </c>
      <c r="R161" s="715">
        <f t="shared" si="41"/>
        <v>0</v>
      </c>
      <c r="S161" s="361">
        <f t="shared" si="32"/>
        <v>0</v>
      </c>
    </row>
    <row r="162" spans="1:19">
      <c r="A162" s="3008"/>
      <c r="B162" s="717"/>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t="s">
        <v>3129</v>
      </c>
      <c r="Q162" s="24">
        <f t="shared" si="40"/>
        <v>0.6</v>
      </c>
      <c r="R162" s="715">
        <f t="shared" si="41"/>
        <v>0</v>
      </c>
      <c r="S162" s="361">
        <f t="shared" si="32"/>
        <v>0</v>
      </c>
    </row>
    <row r="163" spans="1:19">
      <c r="A163" s="3008"/>
      <c r="B163" s="717"/>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t="s">
        <v>3129</v>
      </c>
      <c r="Q163" s="24">
        <f t="shared" si="40"/>
        <v>0.6</v>
      </c>
      <c r="R163" s="715">
        <f t="shared" si="41"/>
        <v>0</v>
      </c>
      <c r="S163" s="361">
        <f t="shared" si="32"/>
        <v>0</v>
      </c>
    </row>
    <row r="164" spans="1:19">
      <c r="A164" s="3008"/>
      <c r="B164" s="717"/>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t="s">
        <v>3129</v>
      </c>
      <c r="Q164" s="24">
        <f t="shared" si="40"/>
        <v>0.6</v>
      </c>
      <c r="R164" s="715">
        <f t="shared" si="41"/>
        <v>0</v>
      </c>
      <c r="S164" s="361">
        <f t="shared" si="32"/>
        <v>0</v>
      </c>
    </row>
    <row r="165" spans="1:19">
      <c r="A165" s="3008"/>
      <c r="B165" s="717"/>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t="s">
        <v>3129</v>
      </c>
      <c r="Q165" s="24">
        <f t="shared" si="40"/>
        <v>0.6</v>
      </c>
      <c r="R165" s="715">
        <f t="shared" si="41"/>
        <v>0</v>
      </c>
      <c r="S165" s="361">
        <f t="shared" si="32"/>
        <v>0</v>
      </c>
    </row>
    <row r="166" spans="1:19">
      <c r="A166" s="3008"/>
      <c r="B166" s="717"/>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t="s">
        <v>3129</v>
      </c>
      <c r="Q166" s="24">
        <f t="shared" si="40"/>
        <v>0.6</v>
      </c>
      <c r="R166" s="715">
        <f t="shared" si="41"/>
        <v>0</v>
      </c>
      <c r="S166" s="361">
        <f t="shared" si="32"/>
        <v>0</v>
      </c>
    </row>
    <row r="167" spans="1:19">
      <c r="A167" s="3008"/>
      <c r="B167" s="717"/>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t="s">
        <v>3123</v>
      </c>
      <c r="Q167" s="24">
        <f t="shared" si="40"/>
        <v>1</v>
      </c>
      <c r="R167" s="715">
        <f t="shared" si="41"/>
        <v>0</v>
      </c>
      <c r="S167" s="361">
        <f t="shared" si="32"/>
        <v>0</v>
      </c>
    </row>
    <row r="168" spans="1:19">
      <c r="A168" s="3008"/>
      <c r="B168" s="717"/>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t="s">
        <v>3123</v>
      </c>
      <c r="Q168" s="24">
        <f t="shared" si="40"/>
        <v>1</v>
      </c>
      <c r="R168" s="715">
        <f t="shared" si="41"/>
        <v>0</v>
      </c>
      <c r="S168" s="361">
        <f t="shared" si="32"/>
        <v>0</v>
      </c>
    </row>
    <row r="169" spans="1:19">
      <c r="A169" s="3008"/>
      <c r="B169" s="717"/>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t="s">
        <v>3123</v>
      </c>
      <c r="Q169" s="24">
        <f t="shared" si="40"/>
        <v>1</v>
      </c>
      <c r="R169" s="715">
        <f t="shared" si="41"/>
        <v>0</v>
      </c>
      <c r="S169" s="361">
        <f t="shared" si="32"/>
        <v>0</v>
      </c>
    </row>
    <row r="170" spans="1:19">
      <c r="A170" s="3008"/>
      <c r="B170" s="717"/>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t="s">
        <v>3123</v>
      </c>
      <c r="Q170" s="24">
        <f t="shared" si="40"/>
        <v>1</v>
      </c>
      <c r="R170" s="715">
        <f t="shared" si="41"/>
        <v>0</v>
      </c>
      <c r="S170" s="361">
        <f t="shared" si="32"/>
        <v>0</v>
      </c>
    </row>
    <row r="171" spans="1:19">
      <c r="A171" s="3008"/>
      <c r="B171" s="717"/>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t="s">
        <v>3123</v>
      </c>
      <c r="Q171" s="24">
        <f t="shared" si="40"/>
        <v>1</v>
      </c>
      <c r="R171" s="715">
        <f t="shared" si="41"/>
        <v>0</v>
      </c>
      <c r="S171" s="361">
        <f t="shared" si="32"/>
        <v>0</v>
      </c>
    </row>
    <row r="172" spans="1:19">
      <c r="A172" s="3008"/>
      <c r="B172" s="717"/>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t="s">
        <v>3123</v>
      </c>
      <c r="Q172" s="24">
        <f t="shared" si="40"/>
        <v>1</v>
      </c>
      <c r="R172" s="715">
        <f t="shared" si="41"/>
        <v>0</v>
      </c>
      <c r="S172" s="361">
        <f t="shared" si="32"/>
        <v>0</v>
      </c>
    </row>
    <row r="173" spans="1:19">
      <c r="A173" s="3008"/>
      <c r="B173" s="717"/>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t="s">
        <v>3123</v>
      </c>
      <c r="Q173" s="24">
        <f t="shared" si="40"/>
        <v>1</v>
      </c>
      <c r="R173" s="715">
        <f t="shared" si="41"/>
        <v>0</v>
      </c>
      <c r="S173" s="361">
        <f t="shared" si="32"/>
        <v>0</v>
      </c>
    </row>
    <row r="174" spans="1:19">
      <c r="A174" s="3008"/>
      <c r="B174" s="717"/>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t="s">
        <v>3123</v>
      </c>
      <c r="Q174" s="24">
        <f t="shared" si="40"/>
        <v>1</v>
      </c>
      <c r="R174" s="715">
        <f t="shared" si="41"/>
        <v>0</v>
      </c>
      <c r="S174" s="361">
        <f t="shared" si="32"/>
        <v>0</v>
      </c>
    </row>
    <row r="175" spans="1:19">
      <c r="A175" s="3008"/>
      <c r="B175" s="717"/>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t="s">
        <v>3123</v>
      </c>
      <c r="Q175" s="24">
        <f t="shared" si="40"/>
        <v>1</v>
      </c>
      <c r="R175" s="715">
        <f t="shared" si="41"/>
        <v>0</v>
      </c>
      <c r="S175" s="361">
        <f t="shared" si="32"/>
        <v>0</v>
      </c>
    </row>
    <row r="176" spans="1:19">
      <c r="A176" s="3008"/>
      <c r="B176" s="717"/>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t="s">
        <v>3123</v>
      </c>
      <c r="Q176" s="24">
        <f t="shared" si="40"/>
        <v>1</v>
      </c>
      <c r="R176" s="715">
        <f t="shared" si="41"/>
        <v>0</v>
      </c>
      <c r="S176" s="361">
        <f t="shared" si="32"/>
        <v>0</v>
      </c>
    </row>
    <row r="177" spans="1:19">
      <c r="A177" s="3008"/>
      <c r="B177" s="717"/>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t="s">
        <v>3123</v>
      </c>
      <c r="Q177" s="24">
        <f t="shared" si="40"/>
        <v>1</v>
      </c>
      <c r="R177" s="715">
        <f t="shared" si="41"/>
        <v>0</v>
      </c>
      <c r="S177" s="361">
        <f t="shared" si="32"/>
        <v>0</v>
      </c>
    </row>
    <row r="178" spans="1:19">
      <c r="A178" s="3008"/>
      <c r="B178" s="717"/>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t="s">
        <v>3123</v>
      </c>
      <c r="Q178" s="24">
        <f t="shared" si="40"/>
        <v>1</v>
      </c>
      <c r="R178" s="715">
        <f t="shared" si="41"/>
        <v>0</v>
      </c>
      <c r="S178" s="361">
        <f t="shared" si="32"/>
        <v>0</v>
      </c>
    </row>
    <row r="179" spans="1:19">
      <c r="A179" s="3008"/>
      <c r="B179" s="717"/>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t="s">
        <v>3123</v>
      </c>
      <c r="Q179" s="24">
        <f t="shared" si="40"/>
        <v>1</v>
      </c>
      <c r="R179" s="715">
        <f t="shared" si="41"/>
        <v>0</v>
      </c>
      <c r="S179" s="361">
        <f t="shared" si="32"/>
        <v>0</v>
      </c>
    </row>
    <row r="180" spans="1:19">
      <c r="A180" s="3008"/>
      <c r="B180" s="717"/>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t="s">
        <v>3123</v>
      </c>
      <c r="Q180" s="24">
        <f t="shared" si="40"/>
        <v>1</v>
      </c>
      <c r="R180" s="715">
        <f t="shared" si="41"/>
        <v>0</v>
      </c>
      <c r="S180" s="361">
        <f t="shared" si="32"/>
        <v>0</v>
      </c>
    </row>
    <row r="181" spans="1:19">
      <c r="A181" s="3008"/>
      <c r="B181" s="717"/>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t="s">
        <v>3123</v>
      </c>
      <c r="Q181" s="24">
        <f t="shared" si="40"/>
        <v>1</v>
      </c>
      <c r="R181" s="715">
        <f t="shared" si="41"/>
        <v>0</v>
      </c>
      <c r="S181" s="361">
        <f t="shared" si="32"/>
        <v>0</v>
      </c>
    </row>
    <row r="182" spans="1:19">
      <c r="A182" s="3008"/>
      <c r="B182" s="717"/>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t="s">
        <v>3123</v>
      </c>
      <c r="Q182" s="24">
        <f t="shared" si="40"/>
        <v>1</v>
      </c>
      <c r="R182" s="715">
        <f t="shared" si="41"/>
        <v>0</v>
      </c>
      <c r="S182" s="361">
        <f t="shared" si="32"/>
        <v>0</v>
      </c>
    </row>
    <row r="183" spans="1:19">
      <c r="A183" s="3008"/>
      <c r="B183" s="717"/>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t="s">
        <v>3123</v>
      </c>
      <c r="Q183" s="24">
        <f t="shared" si="40"/>
        <v>1</v>
      </c>
      <c r="R183" s="715">
        <f t="shared" si="41"/>
        <v>0</v>
      </c>
      <c r="S183" s="361">
        <f t="shared" si="32"/>
        <v>0</v>
      </c>
    </row>
    <row r="184" spans="1:19">
      <c r="A184" s="3008"/>
      <c r="B184" s="717"/>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t="s">
        <v>3123</v>
      </c>
      <c r="Q184" s="24">
        <f t="shared" si="40"/>
        <v>1</v>
      </c>
      <c r="R184" s="715">
        <f t="shared" si="41"/>
        <v>0</v>
      </c>
      <c r="S184" s="361">
        <f t="shared" si="32"/>
        <v>0</v>
      </c>
    </row>
    <row r="185" spans="1:19">
      <c r="A185" s="3008"/>
      <c r="B185" s="717"/>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t="s">
        <v>3123</v>
      </c>
      <c r="Q185" s="24">
        <f t="shared" si="40"/>
        <v>1</v>
      </c>
      <c r="R185" s="715">
        <f t="shared" si="41"/>
        <v>0</v>
      </c>
      <c r="S185" s="361">
        <f t="shared" si="32"/>
        <v>0</v>
      </c>
    </row>
    <row r="186" spans="1:19">
      <c r="A186" s="3008"/>
      <c r="B186" s="717"/>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t="s">
        <v>3123</v>
      </c>
      <c r="Q186" s="24">
        <f t="shared" si="40"/>
        <v>1</v>
      </c>
      <c r="R186" s="715">
        <f t="shared" si="41"/>
        <v>0</v>
      </c>
      <c r="S186" s="361">
        <f t="shared" si="32"/>
        <v>0</v>
      </c>
    </row>
    <row r="187" spans="1:19">
      <c r="A187" s="3008"/>
      <c r="B187" s="717"/>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t="s">
        <v>3123</v>
      </c>
      <c r="Q187" s="24">
        <f t="shared" si="40"/>
        <v>1</v>
      </c>
      <c r="R187" s="715">
        <f t="shared" si="41"/>
        <v>0</v>
      </c>
      <c r="S187" s="361">
        <f t="shared" ref="S187:S222" si="42">ROUND(R187*B187/10000,0)</f>
        <v>0</v>
      </c>
    </row>
    <row r="188" spans="1:19">
      <c r="A188" s="3008"/>
      <c r="B188" s="717"/>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t="s">
        <v>3123</v>
      </c>
      <c r="Q188" s="24">
        <f t="shared" si="40"/>
        <v>1</v>
      </c>
      <c r="R188" s="715">
        <f t="shared" si="41"/>
        <v>0</v>
      </c>
      <c r="S188" s="361">
        <f t="shared" si="42"/>
        <v>0</v>
      </c>
    </row>
    <row r="189" spans="1:19">
      <c r="A189" s="3008"/>
      <c r="B189" s="717"/>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t="s">
        <v>3123</v>
      </c>
      <c r="Q189" s="24">
        <f t="shared" si="40"/>
        <v>1</v>
      </c>
      <c r="R189" s="715">
        <f t="shared" si="41"/>
        <v>0</v>
      </c>
      <c r="S189" s="361">
        <f t="shared" si="42"/>
        <v>0</v>
      </c>
    </row>
    <row r="190" spans="1:19">
      <c r="A190" s="3008"/>
      <c r="B190" s="717"/>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t="s">
        <v>3123</v>
      </c>
      <c r="Q190" s="24">
        <f t="shared" si="40"/>
        <v>1</v>
      </c>
      <c r="R190" s="715">
        <f t="shared" si="41"/>
        <v>0</v>
      </c>
      <c r="S190" s="361">
        <f t="shared" si="42"/>
        <v>0</v>
      </c>
    </row>
    <row r="191" spans="1:19">
      <c r="A191" s="3008"/>
      <c r="B191" s="717"/>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t="s">
        <v>3123</v>
      </c>
      <c r="Q191" s="24">
        <f t="shared" si="40"/>
        <v>1</v>
      </c>
      <c r="R191" s="715">
        <f t="shared" si="41"/>
        <v>0</v>
      </c>
      <c r="S191" s="361">
        <f t="shared" si="42"/>
        <v>0</v>
      </c>
    </row>
    <row r="192" spans="1:19">
      <c r="A192" s="3008"/>
      <c r="B192" s="717"/>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t="s">
        <v>3123</v>
      </c>
      <c r="Q192" s="24">
        <f t="shared" si="40"/>
        <v>1</v>
      </c>
      <c r="R192" s="715">
        <f t="shared" si="41"/>
        <v>0</v>
      </c>
      <c r="S192" s="361">
        <f t="shared" si="42"/>
        <v>0</v>
      </c>
    </row>
    <row r="193" spans="1:19">
      <c r="A193" s="3008"/>
      <c r="B193" s="717"/>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t="s">
        <v>3123</v>
      </c>
      <c r="Q193" s="24">
        <f t="shared" si="40"/>
        <v>1</v>
      </c>
      <c r="R193" s="715">
        <f t="shared" si="41"/>
        <v>0</v>
      </c>
      <c r="S193" s="361">
        <f t="shared" si="42"/>
        <v>0</v>
      </c>
    </row>
    <row r="194" spans="1:19">
      <c r="A194" s="3008"/>
      <c r="B194" s="717"/>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t="s">
        <v>3123</v>
      </c>
      <c r="Q194" s="24">
        <f t="shared" si="40"/>
        <v>1</v>
      </c>
      <c r="R194" s="715">
        <f t="shared" si="41"/>
        <v>0</v>
      </c>
      <c r="S194" s="361">
        <f t="shared" si="42"/>
        <v>0</v>
      </c>
    </row>
    <row r="195" spans="1:19">
      <c r="A195" s="3008"/>
      <c r="B195" s="717"/>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t="s">
        <v>3123</v>
      </c>
      <c r="Q195" s="24">
        <f t="shared" si="40"/>
        <v>1</v>
      </c>
      <c r="R195" s="715">
        <f t="shared" si="41"/>
        <v>0</v>
      </c>
      <c r="S195" s="361">
        <f t="shared" si="42"/>
        <v>0</v>
      </c>
    </row>
    <row r="196" spans="1:19">
      <c r="A196" s="3008"/>
      <c r="B196" s="717"/>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t="s">
        <v>3123</v>
      </c>
      <c r="Q196" s="24">
        <f t="shared" si="40"/>
        <v>1</v>
      </c>
      <c r="R196" s="715">
        <f t="shared" si="41"/>
        <v>0</v>
      </c>
      <c r="S196" s="361">
        <f t="shared" si="42"/>
        <v>0</v>
      </c>
    </row>
    <row r="197" spans="1:19">
      <c r="A197" s="3008"/>
      <c r="B197" s="717"/>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t="s">
        <v>3123</v>
      </c>
      <c r="Q197" s="24">
        <f t="shared" si="40"/>
        <v>1</v>
      </c>
      <c r="R197" s="715">
        <f t="shared" si="41"/>
        <v>0</v>
      </c>
      <c r="S197" s="361">
        <f t="shared" si="42"/>
        <v>0</v>
      </c>
    </row>
    <row r="198" spans="1:19">
      <c r="A198" s="3008"/>
      <c r="B198" s="717"/>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t="s">
        <v>3123</v>
      </c>
      <c r="Q198" s="24">
        <f t="shared" si="40"/>
        <v>1</v>
      </c>
      <c r="R198" s="715">
        <f t="shared" si="41"/>
        <v>0</v>
      </c>
      <c r="S198" s="361">
        <f t="shared" si="42"/>
        <v>0</v>
      </c>
    </row>
    <row r="199" spans="1:19">
      <c r="A199" s="3008"/>
      <c r="B199" s="717"/>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t="s">
        <v>3123</v>
      </c>
      <c r="Q199" s="24">
        <f t="shared" si="40"/>
        <v>1</v>
      </c>
      <c r="R199" s="715">
        <f t="shared" si="41"/>
        <v>0</v>
      </c>
      <c r="S199" s="361">
        <f t="shared" si="42"/>
        <v>0</v>
      </c>
    </row>
    <row r="200" spans="1:19">
      <c r="A200" s="3008"/>
      <c r="B200" s="717"/>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t="s">
        <v>3123</v>
      </c>
      <c r="Q200" s="24">
        <f t="shared" si="40"/>
        <v>1</v>
      </c>
      <c r="R200" s="715">
        <f t="shared" si="41"/>
        <v>0</v>
      </c>
      <c r="S200" s="361">
        <f t="shared" si="42"/>
        <v>0</v>
      </c>
    </row>
    <row r="201" spans="1:19">
      <c r="A201" s="3008"/>
      <c r="B201" s="717"/>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t="s">
        <v>3123</v>
      </c>
      <c r="Q201" s="24">
        <f t="shared" si="40"/>
        <v>1</v>
      </c>
      <c r="R201" s="715">
        <f t="shared" si="41"/>
        <v>0</v>
      </c>
      <c r="S201" s="361">
        <f t="shared" si="42"/>
        <v>0</v>
      </c>
    </row>
    <row r="202" spans="1:19">
      <c r="A202" s="3008"/>
      <c r="B202" s="717"/>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t="s">
        <v>3123</v>
      </c>
      <c r="Q202" s="24">
        <f t="shared" si="40"/>
        <v>1</v>
      </c>
      <c r="R202" s="715">
        <f t="shared" si="41"/>
        <v>0</v>
      </c>
      <c r="S202" s="361">
        <f t="shared" si="42"/>
        <v>0</v>
      </c>
    </row>
    <row r="203" spans="1:19">
      <c r="A203" s="3008"/>
      <c r="B203" s="717"/>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t="s">
        <v>3123</v>
      </c>
      <c r="Q203" s="24">
        <f t="shared" si="40"/>
        <v>1</v>
      </c>
      <c r="R203" s="715">
        <f t="shared" si="41"/>
        <v>0</v>
      </c>
      <c r="S203" s="361">
        <f t="shared" si="42"/>
        <v>0</v>
      </c>
    </row>
    <row r="204" spans="1:19">
      <c r="A204" s="3008"/>
      <c r="B204" s="717"/>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t="s">
        <v>3123</v>
      </c>
      <c r="Q204" s="24">
        <f t="shared" si="40"/>
        <v>1</v>
      </c>
      <c r="R204" s="715">
        <f t="shared" si="41"/>
        <v>0</v>
      </c>
      <c r="S204" s="361">
        <f t="shared" si="42"/>
        <v>0</v>
      </c>
    </row>
    <row r="205" spans="1:19">
      <c r="A205" s="3008"/>
      <c r="B205" s="717"/>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t="s">
        <v>3123</v>
      </c>
      <c r="Q205" s="24">
        <f t="shared" si="40"/>
        <v>1</v>
      </c>
      <c r="R205" s="715">
        <f t="shared" si="41"/>
        <v>0</v>
      </c>
      <c r="S205" s="361">
        <f t="shared" si="42"/>
        <v>0</v>
      </c>
    </row>
    <row r="206" spans="1:19">
      <c r="A206" s="3008"/>
      <c r="B206" s="717"/>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t="s">
        <v>3123</v>
      </c>
      <c r="Q206" s="24">
        <f t="shared" si="40"/>
        <v>1</v>
      </c>
      <c r="R206" s="715">
        <f t="shared" si="41"/>
        <v>0</v>
      </c>
      <c r="S206" s="361">
        <f t="shared" si="42"/>
        <v>0</v>
      </c>
    </row>
    <row r="207" spans="1:19">
      <c r="A207" s="3008"/>
      <c r="B207" s="717"/>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t="s">
        <v>3123</v>
      </c>
      <c r="Q207" s="24">
        <f t="shared" si="40"/>
        <v>1</v>
      </c>
      <c r="R207" s="715">
        <f t="shared" si="41"/>
        <v>0</v>
      </c>
      <c r="S207" s="361">
        <f t="shared" si="42"/>
        <v>0</v>
      </c>
    </row>
    <row r="208" spans="1:19">
      <c r="A208" s="3008"/>
      <c r="B208" s="717"/>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t="s">
        <v>3123</v>
      </c>
      <c r="Q208" s="24">
        <f t="shared" si="40"/>
        <v>1</v>
      </c>
      <c r="R208" s="715">
        <f t="shared" si="41"/>
        <v>0</v>
      </c>
      <c r="S208" s="361">
        <f t="shared" si="42"/>
        <v>0</v>
      </c>
    </row>
    <row r="209" spans="1:19">
      <c r="A209" s="3008"/>
      <c r="B209" s="717"/>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t="s">
        <v>3123</v>
      </c>
      <c r="Q209" s="24">
        <f t="shared" si="40"/>
        <v>1</v>
      </c>
      <c r="R209" s="715">
        <f t="shared" si="41"/>
        <v>0</v>
      </c>
      <c r="S209" s="361">
        <f t="shared" si="42"/>
        <v>0</v>
      </c>
    </row>
    <row r="210" spans="1:19">
      <c r="A210" s="3008"/>
      <c r="B210" s="717"/>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t="s">
        <v>3123</v>
      </c>
      <c r="Q210" s="24">
        <f t="shared" si="40"/>
        <v>1</v>
      </c>
      <c r="R210" s="715">
        <f t="shared" si="41"/>
        <v>0</v>
      </c>
      <c r="S210" s="361">
        <f t="shared" si="42"/>
        <v>0</v>
      </c>
    </row>
    <row r="211" spans="1:19">
      <c r="A211" s="3008"/>
      <c r="B211" s="717"/>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t="s">
        <v>3123</v>
      </c>
      <c r="Q211" s="24">
        <f t="shared" si="40"/>
        <v>1</v>
      </c>
      <c r="R211" s="715">
        <f t="shared" si="41"/>
        <v>0</v>
      </c>
      <c r="S211" s="361">
        <f t="shared" si="42"/>
        <v>0</v>
      </c>
    </row>
    <row r="212" spans="1:19">
      <c r="A212" s="3008"/>
      <c r="B212" s="717"/>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t="s">
        <v>3123</v>
      </c>
      <c r="Q212" s="24">
        <f t="shared" si="40"/>
        <v>1</v>
      </c>
      <c r="R212" s="715">
        <f t="shared" si="41"/>
        <v>0</v>
      </c>
      <c r="S212" s="361">
        <f t="shared" si="42"/>
        <v>0</v>
      </c>
    </row>
    <row r="213" spans="1:19">
      <c r="A213" s="3008"/>
      <c r="B213" s="717"/>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t="s">
        <v>3123</v>
      </c>
      <c r="Q213" s="24">
        <f t="shared" si="40"/>
        <v>1</v>
      </c>
      <c r="R213" s="715">
        <f t="shared" si="41"/>
        <v>0</v>
      </c>
      <c r="S213" s="361">
        <f t="shared" si="42"/>
        <v>0</v>
      </c>
    </row>
    <row r="214" spans="1:19">
      <c r="A214" s="3008"/>
      <c r="B214" s="717"/>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t="s">
        <v>3123</v>
      </c>
      <c r="Q214" s="24">
        <f t="shared" si="40"/>
        <v>1</v>
      </c>
      <c r="R214" s="715">
        <f t="shared" si="41"/>
        <v>0</v>
      </c>
      <c r="S214" s="361">
        <f t="shared" si="42"/>
        <v>0</v>
      </c>
    </row>
    <row r="215" spans="1:19">
      <c r="A215" s="3008"/>
      <c r="B215" s="717"/>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t="s">
        <v>3123</v>
      </c>
      <c r="Q215" s="24">
        <f t="shared" si="40"/>
        <v>1</v>
      </c>
      <c r="R215" s="715">
        <f t="shared" si="41"/>
        <v>0</v>
      </c>
      <c r="S215" s="361">
        <f t="shared" si="42"/>
        <v>0</v>
      </c>
    </row>
    <row r="216" spans="1:19">
      <c r="A216" s="3008"/>
      <c r="B216" s="717"/>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t="s">
        <v>3123</v>
      </c>
      <c r="Q216" s="24">
        <f t="shared" si="40"/>
        <v>1</v>
      </c>
      <c r="R216" s="715">
        <f t="shared" si="41"/>
        <v>0</v>
      </c>
      <c r="S216" s="361">
        <f t="shared" si="42"/>
        <v>0</v>
      </c>
    </row>
    <row r="217" spans="1:19">
      <c r="A217" s="3008"/>
      <c r="B217" s="717"/>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t="s">
        <v>3123</v>
      </c>
      <c r="Q217" s="24">
        <f t="shared" si="40"/>
        <v>1</v>
      </c>
      <c r="R217" s="715">
        <f t="shared" si="41"/>
        <v>0</v>
      </c>
      <c r="S217" s="361">
        <f t="shared" si="42"/>
        <v>0</v>
      </c>
    </row>
    <row r="218" spans="1:19">
      <c r="A218" s="3008"/>
      <c r="B218" s="717"/>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3123</v>
      </c>
      <c r="Q218" s="24">
        <f t="shared" ref="Q218:Q281" si="50">(SUMIF($17:$17,P218,$18:$18)-SUMIF($17:$17,$P$24,$18:$18)+100)/100</f>
        <v>1</v>
      </c>
      <c r="R218" s="715">
        <f t="shared" ref="R218:R281" si="51">IF(B218="",0,ROUND($R$24*C218*E218*G218*I218*K218*M218*O218*Q218,0))</f>
        <v>0</v>
      </c>
      <c r="S218" s="361">
        <f t="shared" si="42"/>
        <v>0</v>
      </c>
    </row>
    <row r="219" spans="1:19">
      <c r="A219" s="3008"/>
      <c r="B219" s="717"/>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t="s">
        <v>3123</v>
      </c>
      <c r="Q219" s="24">
        <f t="shared" si="50"/>
        <v>1</v>
      </c>
      <c r="R219" s="715">
        <f t="shared" si="51"/>
        <v>0</v>
      </c>
      <c r="S219" s="361">
        <f t="shared" si="42"/>
        <v>0</v>
      </c>
    </row>
    <row r="220" spans="1:19">
      <c r="A220" s="3008"/>
      <c r="B220" s="717"/>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t="s">
        <v>3123</v>
      </c>
      <c r="Q220" s="24">
        <f t="shared" si="50"/>
        <v>1</v>
      </c>
      <c r="R220" s="715">
        <f t="shared" si="51"/>
        <v>0</v>
      </c>
      <c r="S220" s="361">
        <f t="shared" si="42"/>
        <v>0</v>
      </c>
    </row>
    <row r="221" spans="1:19">
      <c r="A221" s="3008"/>
      <c r="B221" s="717"/>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t="s">
        <v>3123</v>
      </c>
      <c r="Q221" s="24">
        <f t="shared" si="50"/>
        <v>1</v>
      </c>
      <c r="R221" s="715">
        <f t="shared" si="51"/>
        <v>0</v>
      </c>
      <c r="S221" s="361">
        <f t="shared" si="42"/>
        <v>0</v>
      </c>
    </row>
    <row r="222" spans="1:19">
      <c r="A222" s="3008"/>
      <c r="B222" s="717"/>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t="s">
        <v>3123</v>
      </c>
      <c r="Q222" s="24">
        <f t="shared" si="50"/>
        <v>1</v>
      </c>
      <c r="R222" s="715">
        <f t="shared" si="51"/>
        <v>0</v>
      </c>
      <c r="S222" s="361">
        <f t="shared" si="42"/>
        <v>0</v>
      </c>
    </row>
    <row r="223" spans="1:19">
      <c r="A223" s="3008"/>
      <c r="B223" s="717"/>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t="s">
        <v>3123</v>
      </c>
      <c r="Q223" s="24">
        <f t="shared" si="50"/>
        <v>1</v>
      </c>
      <c r="R223" s="715">
        <f t="shared" si="51"/>
        <v>0</v>
      </c>
      <c r="S223" s="361">
        <f t="shared" ref="S223:S286" si="52">ROUND(R223*B223/10000,0)</f>
        <v>0</v>
      </c>
    </row>
    <row r="224" spans="1:19">
      <c r="A224" s="3008"/>
      <c r="B224" s="717"/>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t="s">
        <v>3123</v>
      </c>
      <c r="Q224" s="24">
        <f t="shared" si="50"/>
        <v>1</v>
      </c>
      <c r="R224" s="715">
        <f t="shared" si="51"/>
        <v>0</v>
      </c>
      <c r="S224" s="361">
        <f t="shared" si="52"/>
        <v>0</v>
      </c>
    </row>
    <row r="225" spans="1:19">
      <c r="A225" s="3008"/>
      <c r="B225" s="717"/>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t="s">
        <v>3123</v>
      </c>
      <c r="Q225" s="24">
        <f t="shared" si="50"/>
        <v>1</v>
      </c>
      <c r="R225" s="715">
        <f t="shared" si="51"/>
        <v>0</v>
      </c>
      <c r="S225" s="361">
        <f t="shared" si="52"/>
        <v>0</v>
      </c>
    </row>
    <row r="226" spans="1:19">
      <c r="A226" s="3008"/>
      <c r="B226" s="717"/>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t="s">
        <v>3123</v>
      </c>
      <c r="Q226" s="24">
        <f t="shared" si="50"/>
        <v>1</v>
      </c>
      <c r="R226" s="715">
        <f t="shared" si="51"/>
        <v>0</v>
      </c>
      <c r="S226" s="361">
        <f t="shared" si="52"/>
        <v>0</v>
      </c>
    </row>
    <row r="227" spans="1:19">
      <c r="A227" s="3008"/>
      <c r="B227" s="717"/>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t="s">
        <v>3123</v>
      </c>
      <c r="Q227" s="24">
        <f t="shared" si="50"/>
        <v>1</v>
      </c>
      <c r="R227" s="715">
        <f t="shared" si="51"/>
        <v>0</v>
      </c>
      <c r="S227" s="361">
        <f t="shared" si="52"/>
        <v>0</v>
      </c>
    </row>
    <row r="228" spans="1:19">
      <c r="A228" s="3008"/>
      <c r="B228" s="717"/>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t="s">
        <v>3123</v>
      </c>
      <c r="Q228" s="24">
        <f t="shared" si="50"/>
        <v>1</v>
      </c>
      <c r="R228" s="715">
        <f t="shared" si="51"/>
        <v>0</v>
      </c>
      <c r="S228" s="361">
        <f t="shared" si="52"/>
        <v>0</v>
      </c>
    </row>
    <row r="229" spans="1:19">
      <c r="A229" s="3008"/>
      <c r="B229" s="717"/>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t="s">
        <v>3123</v>
      </c>
      <c r="Q229" s="24">
        <f t="shared" si="50"/>
        <v>1</v>
      </c>
      <c r="R229" s="715">
        <f t="shared" si="51"/>
        <v>0</v>
      </c>
      <c r="S229" s="361">
        <f t="shared" si="52"/>
        <v>0</v>
      </c>
    </row>
    <row r="230" spans="1:19">
      <c r="A230" s="3008"/>
      <c r="B230" s="717"/>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t="s">
        <v>3123</v>
      </c>
      <c r="Q230" s="24">
        <f t="shared" si="50"/>
        <v>1</v>
      </c>
      <c r="R230" s="715">
        <f t="shared" si="51"/>
        <v>0</v>
      </c>
      <c r="S230" s="361">
        <f t="shared" si="52"/>
        <v>0</v>
      </c>
    </row>
    <row r="231" spans="1:19">
      <c r="A231" s="3008"/>
      <c r="B231" s="717"/>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t="s">
        <v>3123</v>
      </c>
      <c r="Q231" s="24">
        <f t="shared" si="50"/>
        <v>1</v>
      </c>
      <c r="R231" s="715">
        <f t="shared" si="51"/>
        <v>0</v>
      </c>
      <c r="S231" s="361">
        <f t="shared" si="52"/>
        <v>0</v>
      </c>
    </row>
    <row r="232" spans="1:19">
      <c r="A232" s="3008"/>
      <c r="B232" s="717"/>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t="s">
        <v>3123</v>
      </c>
      <c r="Q232" s="24">
        <f t="shared" si="50"/>
        <v>1</v>
      </c>
      <c r="R232" s="715">
        <f t="shared" si="51"/>
        <v>0</v>
      </c>
      <c r="S232" s="361">
        <f t="shared" si="52"/>
        <v>0</v>
      </c>
    </row>
    <row r="233" spans="1:19">
      <c r="A233" s="3008"/>
      <c r="B233" s="717"/>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t="s">
        <v>3123</v>
      </c>
      <c r="Q233" s="24">
        <f t="shared" si="50"/>
        <v>1</v>
      </c>
      <c r="R233" s="715">
        <f t="shared" si="51"/>
        <v>0</v>
      </c>
      <c r="S233" s="361">
        <f t="shared" si="52"/>
        <v>0</v>
      </c>
    </row>
    <row r="234" spans="1:19">
      <c r="A234" s="3008"/>
      <c r="B234" s="717"/>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t="s">
        <v>3123</v>
      </c>
      <c r="Q234" s="24">
        <f t="shared" si="50"/>
        <v>1</v>
      </c>
      <c r="R234" s="715">
        <f t="shared" si="51"/>
        <v>0</v>
      </c>
      <c r="S234" s="361">
        <f t="shared" si="52"/>
        <v>0</v>
      </c>
    </row>
    <row r="235" spans="1:19">
      <c r="A235" s="3008"/>
      <c r="B235" s="717"/>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t="s">
        <v>3123</v>
      </c>
      <c r="Q235" s="24">
        <f t="shared" si="50"/>
        <v>1</v>
      </c>
      <c r="R235" s="715">
        <f t="shared" si="51"/>
        <v>0</v>
      </c>
      <c r="S235" s="361">
        <f t="shared" si="52"/>
        <v>0</v>
      </c>
    </row>
    <row r="236" spans="1:19">
      <c r="A236" s="3008"/>
      <c r="B236" s="717"/>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t="s">
        <v>3123</v>
      </c>
      <c r="Q236" s="24">
        <f t="shared" si="50"/>
        <v>1</v>
      </c>
      <c r="R236" s="715">
        <f t="shared" si="51"/>
        <v>0</v>
      </c>
      <c r="S236" s="361">
        <f t="shared" si="52"/>
        <v>0</v>
      </c>
    </row>
    <row r="237" spans="1:19">
      <c r="A237" s="3008"/>
      <c r="B237" s="717"/>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t="s">
        <v>3123</v>
      </c>
      <c r="Q237" s="24">
        <f t="shared" si="50"/>
        <v>1</v>
      </c>
      <c r="R237" s="715">
        <f t="shared" si="51"/>
        <v>0</v>
      </c>
      <c r="S237" s="361">
        <f t="shared" si="52"/>
        <v>0</v>
      </c>
    </row>
    <row r="238" spans="1:19">
      <c r="A238" s="3008"/>
      <c r="B238" s="717"/>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t="s">
        <v>3123</v>
      </c>
      <c r="Q238" s="24">
        <f t="shared" si="50"/>
        <v>1</v>
      </c>
      <c r="R238" s="715">
        <f t="shared" si="51"/>
        <v>0</v>
      </c>
      <c r="S238" s="361">
        <f t="shared" si="52"/>
        <v>0</v>
      </c>
    </row>
    <row r="239" spans="1:19">
      <c r="A239" s="3008"/>
      <c r="B239" s="717"/>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t="s">
        <v>3123</v>
      </c>
      <c r="Q239" s="24">
        <f t="shared" si="50"/>
        <v>1</v>
      </c>
      <c r="R239" s="715">
        <f t="shared" si="51"/>
        <v>0</v>
      </c>
      <c r="S239" s="361">
        <f t="shared" si="52"/>
        <v>0</v>
      </c>
    </row>
    <row r="240" spans="1:19">
      <c r="A240" s="3008"/>
      <c r="B240" s="717"/>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t="s">
        <v>3123</v>
      </c>
      <c r="Q240" s="24">
        <f t="shared" si="50"/>
        <v>1</v>
      </c>
      <c r="R240" s="715">
        <f t="shared" si="51"/>
        <v>0</v>
      </c>
      <c r="S240" s="361">
        <f t="shared" si="52"/>
        <v>0</v>
      </c>
    </row>
    <row r="241" spans="1:19">
      <c r="A241" s="3008"/>
      <c r="B241" s="717"/>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t="s">
        <v>3123</v>
      </c>
      <c r="Q241" s="24">
        <f t="shared" si="50"/>
        <v>1</v>
      </c>
      <c r="R241" s="715">
        <f t="shared" si="51"/>
        <v>0</v>
      </c>
      <c r="S241" s="361">
        <f t="shared" si="52"/>
        <v>0</v>
      </c>
    </row>
    <row r="242" spans="1:19">
      <c r="A242" s="3008"/>
      <c r="B242" s="717"/>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t="s">
        <v>3123</v>
      </c>
      <c r="Q242" s="24">
        <f t="shared" si="50"/>
        <v>1</v>
      </c>
      <c r="R242" s="715">
        <f t="shared" si="51"/>
        <v>0</v>
      </c>
      <c r="S242" s="361">
        <f t="shared" si="52"/>
        <v>0</v>
      </c>
    </row>
    <row r="243" spans="1:19">
      <c r="A243" s="3008"/>
      <c r="B243" s="717"/>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t="s">
        <v>3123</v>
      </c>
      <c r="Q243" s="24">
        <f t="shared" si="50"/>
        <v>1</v>
      </c>
      <c r="R243" s="715">
        <f t="shared" si="51"/>
        <v>0</v>
      </c>
      <c r="S243" s="361">
        <f t="shared" si="52"/>
        <v>0</v>
      </c>
    </row>
    <row r="244" spans="1:19">
      <c r="A244" s="3008"/>
      <c r="B244" s="717"/>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t="s">
        <v>3123</v>
      </c>
      <c r="Q244" s="24">
        <f t="shared" si="50"/>
        <v>1</v>
      </c>
      <c r="R244" s="715">
        <f t="shared" si="51"/>
        <v>0</v>
      </c>
      <c r="S244" s="361">
        <f t="shared" si="52"/>
        <v>0</v>
      </c>
    </row>
    <row r="245" spans="1:19">
      <c r="A245" s="3008"/>
      <c r="B245" s="717"/>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t="s">
        <v>3123</v>
      </c>
      <c r="Q245" s="24">
        <f t="shared" si="50"/>
        <v>1</v>
      </c>
      <c r="R245" s="715">
        <f t="shared" si="51"/>
        <v>0</v>
      </c>
      <c r="S245" s="361">
        <f t="shared" si="52"/>
        <v>0</v>
      </c>
    </row>
    <row r="246" spans="1:19">
      <c r="A246" s="3008"/>
      <c r="B246" s="717"/>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t="s">
        <v>3123</v>
      </c>
      <c r="Q246" s="24">
        <f t="shared" si="50"/>
        <v>1</v>
      </c>
      <c r="R246" s="715">
        <f t="shared" si="51"/>
        <v>0</v>
      </c>
      <c r="S246" s="361">
        <f t="shared" si="52"/>
        <v>0</v>
      </c>
    </row>
    <row r="247" spans="1:19">
      <c r="A247" s="3008"/>
      <c r="B247" s="717"/>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t="s">
        <v>3123</v>
      </c>
      <c r="Q247" s="24">
        <f t="shared" si="50"/>
        <v>1</v>
      </c>
      <c r="R247" s="715">
        <f t="shared" si="51"/>
        <v>0</v>
      </c>
      <c r="S247" s="361">
        <f t="shared" si="52"/>
        <v>0</v>
      </c>
    </row>
    <row r="248" spans="1:19">
      <c r="A248" s="3008"/>
      <c r="B248" s="717"/>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t="s">
        <v>3123</v>
      </c>
      <c r="Q248" s="24">
        <f t="shared" si="50"/>
        <v>1</v>
      </c>
      <c r="R248" s="715">
        <f t="shared" si="51"/>
        <v>0</v>
      </c>
      <c r="S248" s="361">
        <f t="shared" si="52"/>
        <v>0</v>
      </c>
    </row>
    <row r="249" spans="1:19">
      <c r="A249" s="3008"/>
      <c r="B249" s="717"/>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t="s">
        <v>3123</v>
      </c>
      <c r="Q249" s="24">
        <f t="shared" si="50"/>
        <v>1</v>
      </c>
      <c r="R249" s="715">
        <f t="shared" si="51"/>
        <v>0</v>
      </c>
      <c r="S249" s="361">
        <f t="shared" si="52"/>
        <v>0</v>
      </c>
    </row>
    <row r="250" spans="1:19">
      <c r="A250" s="3008"/>
      <c r="B250" s="717"/>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t="s">
        <v>3123</v>
      </c>
      <c r="Q250" s="24">
        <f t="shared" si="50"/>
        <v>1</v>
      </c>
      <c r="R250" s="715">
        <f t="shared" si="51"/>
        <v>0</v>
      </c>
      <c r="S250" s="361">
        <f t="shared" si="52"/>
        <v>0</v>
      </c>
    </row>
    <row r="251" spans="1:19">
      <c r="A251" s="3008"/>
      <c r="B251" s="717"/>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t="s">
        <v>3123</v>
      </c>
      <c r="Q251" s="24">
        <f t="shared" si="50"/>
        <v>1</v>
      </c>
      <c r="R251" s="715">
        <f t="shared" si="51"/>
        <v>0</v>
      </c>
      <c r="S251" s="361">
        <f t="shared" si="52"/>
        <v>0</v>
      </c>
    </row>
    <row r="252" spans="1:19">
      <c r="A252" s="3008"/>
      <c r="B252" s="717"/>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t="s">
        <v>3123</v>
      </c>
      <c r="Q252" s="24">
        <f t="shared" si="50"/>
        <v>1</v>
      </c>
      <c r="R252" s="715">
        <f t="shared" si="51"/>
        <v>0</v>
      </c>
      <c r="S252" s="361">
        <f t="shared" si="52"/>
        <v>0</v>
      </c>
    </row>
    <row r="253" spans="1:19">
      <c r="A253" s="3008"/>
      <c r="B253" s="717"/>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t="s">
        <v>3123</v>
      </c>
      <c r="Q253" s="24">
        <f t="shared" si="50"/>
        <v>1</v>
      </c>
      <c r="R253" s="715">
        <f t="shared" si="51"/>
        <v>0</v>
      </c>
      <c r="S253" s="361">
        <f t="shared" si="52"/>
        <v>0</v>
      </c>
    </row>
    <row r="254" spans="1:19">
      <c r="A254" s="3008"/>
      <c r="B254" s="717"/>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t="s">
        <v>3123</v>
      </c>
      <c r="Q254" s="24">
        <f t="shared" si="50"/>
        <v>1</v>
      </c>
      <c r="R254" s="715">
        <f t="shared" si="51"/>
        <v>0</v>
      </c>
      <c r="S254" s="361">
        <f t="shared" si="52"/>
        <v>0</v>
      </c>
    </row>
    <row r="255" spans="1:19">
      <c r="A255" s="3008"/>
      <c r="B255" s="717"/>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t="s">
        <v>3123</v>
      </c>
      <c r="Q255" s="24">
        <f t="shared" si="50"/>
        <v>1</v>
      </c>
      <c r="R255" s="715">
        <f t="shared" si="51"/>
        <v>0</v>
      </c>
      <c r="S255" s="361">
        <f t="shared" si="52"/>
        <v>0</v>
      </c>
    </row>
    <row r="256" spans="1:19">
      <c r="A256" s="3008"/>
      <c r="B256" s="717"/>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t="s">
        <v>3123</v>
      </c>
      <c r="Q256" s="24">
        <f t="shared" si="50"/>
        <v>1</v>
      </c>
      <c r="R256" s="715">
        <f t="shared" si="51"/>
        <v>0</v>
      </c>
      <c r="S256" s="361">
        <f t="shared" si="52"/>
        <v>0</v>
      </c>
    </row>
    <row r="257" spans="1:19">
      <c r="A257" s="3008"/>
      <c r="B257" s="717"/>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t="s">
        <v>3123</v>
      </c>
      <c r="Q257" s="24">
        <f t="shared" si="50"/>
        <v>1</v>
      </c>
      <c r="R257" s="715">
        <f t="shared" si="51"/>
        <v>0</v>
      </c>
      <c r="S257" s="361">
        <f t="shared" si="52"/>
        <v>0</v>
      </c>
    </row>
    <row r="258" spans="1:19">
      <c r="A258" s="3008"/>
      <c r="B258" s="717"/>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t="s">
        <v>3123</v>
      </c>
      <c r="Q258" s="24">
        <f t="shared" si="50"/>
        <v>1</v>
      </c>
      <c r="R258" s="715">
        <f t="shared" si="51"/>
        <v>0</v>
      </c>
      <c r="S258" s="361">
        <f t="shared" si="52"/>
        <v>0</v>
      </c>
    </row>
    <row r="259" spans="1:19">
      <c r="A259" s="3008"/>
      <c r="B259" s="717"/>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t="s">
        <v>3123</v>
      </c>
      <c r="Q259" s="24">
        <f t="shared" si="50"/>
        <v>1</v>
      </c>
      <c r="R259" s="715">
        <f t="shared" si="51"/>
        <v>0</v>
      </c>
      <c r="S259" s="361">
        <f t="shared" si="52"/>
        <v>0</v>
      </c>
    </row>
    <row r="260" spans="1:19">
      <c r="A260" s="3008"/>
      <c r="B260" s="717"/>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t="s">
        <v>3123</v>
      </c>
      <c r="Q260" s="24">
        <f t="shared" si="50"/>
        <v>1</v>
      </c>
      <c r="R260" s="715">
        <f t="shared" si="51"/>
        <v>0</v>
      </c>
      <c r="S260" s="361">
        <f t="shared" si="52"/>
        <v>0</v>
      </c>
    </row>
    <row r="261" spans="1:19">
      <c r="A261" s="3008"/>
      <c r="B261" s="717"/>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t="s">
        <v>3123</v>
      </c>
      <c r="Q261" s="24">
        <f t="shared" si="50"/>
        <v>1</v>
      </c>
      <c r="R261" s="715">
        <f t="shared" si="51"/>
        <v>0</v>
      </c>
      <c r="S261" s="361">
        <f t="shared" si="52"/>
        <v>0</v>
      </c>
    </row>
    <row r="262" spans="1:19">
      <c r="A262" s="3008"/>
      <c r="B262" s="717"/>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t="s">
        <v>3123</v>
      </c>
      <c r="Q262" s="24">
        <f t="shared" si="50"/>
        <v>1</v>
      </c>
      <c r="R262" s="715">
        <f t="shared" si="51"/>
        <v>0</v>
      </c>
      <c r="S262" s="361">
        <f t="shared" si="52"/>
        <v>0</v>
      </c>
    </row>
    <row r="263" spans="1:19">
      <c r="A263" s="3008"/>
      <c r="B263" s="717"/>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t="s">
        <v>3123</v>
      </c>
      <c r="Q263" s="24">
        <f t="shared" si="50"/>
        <v>1</v>
      </c>
      <c r="R263" s="715">
        <f t="shared" si="51"/>
        <v>0</v>
      </c>
      <c r="S263" s="361">
        <f t="shared" si="52"/>
        <v>0</v>
      </c>
    </row>
    <row r="264" spans="1:19">
      <c r="A264" s="3008"/>
      <c r="B264" s="717"/>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t="s">
        <v>3123</v>
      </c>
      <c r="Q264" s="24">
        <f t="shared" si="50"/>
        <v>1</v>
      </c>
      <c r="R264" s="715">
        <f t="shared" si="51"/>
        <v>0</v>
      </c>
      <c r="S264" s="361">
        <f t="shared" si="52"/>
        <v>0</v>
      </c>
    </row>
    <row r="265" spans="1:19">
      <c r="A265" s="3008"/>
      <c r="B265" s="717"/>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t="s">
        <v>3123</v>
      </c>
      <c r="Q265" s="24">
        <f t="shared" si="50"/>
        <v>1</v>
      </c>
      <c r="R265" s="715">
        <f t="shared" si="51"/>
        <v>0</v>
      </c>
      <c r="S265" s="361">
        <f t="shared" si="52"/>
        <v>0</v>
      </c>
    </row>
    <row r="266" spans="1:19">
      <c r="A266" s="3008"/>
      <c r="B266" s="717"/>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t="s">
        <v>3123</v>
      </c>
      <c r="Q266" s="24">
        <f t="shared" si="50"/>
        <v>1</v>
      </c>
      <c r="R266" s="715">
        <f t="shared" si="51"/>
        <v>0</v>
      </c>
      <c r="S266" s="361">
        <f t="shared" si="52"/>
        <v>0</v>
      </c>
    </row>
    <row r="267" spans="1:19">
      <c r="A267" s="3008"/>
      <c r="B267" s="717"/>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t="s">
        <v>3123</v>
      </c>
      <c r="Q267" s="24">
        <f t="shared" si="50"/>
        <v>1</v>
      </c>
      <c r="R267" s="715">
        <f t="shared" si="51"/>
        <v>0</v>
      </c>
      <c r="S267" s="361">
        <f t="shared" si="52"/>
        <v>0</v>
      </c>
    </row>
    <row r="268" spans="1:19">
      <c r="A268" s="3008"/>
      <c r="B268" s="717"/>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t="s">
        <v>3123</v>
      </c>
      <c r="Q268" s="24">
        <f t="shared" si="50"/>
        <v>1</v>
      </c>
      <c r="R268" s="715">
        <f t="shared" si="51"/>
        <v>0</v>
      </c>
      <c r="S268" s="361">
        <f t="shared" si="52"/>
        <v>0</v>
      </c>
    </row>
    <row r="269" spans="1:19">
      <c r="A269" s="3008"/>
      <c r="B269" s="717"/>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t="s">
        <v>3123</v>
      </c>
      <c r="Q269" s="24">
        <f t="shared" si="50"/>
        <v>1</v>
      </c>
      <c r="R269" s="715">
        <f t="shared" si="51"/>
        <v>0</v>
      </c>
      <c r="S269" s="361">
        <f t="shared" si="52"/>
        <v>0</v>
      </c>
    </row>
    <row r="270" spans="1:19">
      <c r="A270" s="3008"/>
      <c r="B270" s="717"/>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t="s">
        <v>3123</v>
      </c>
      <c r="Q270" s="24">
        <f t="shared" si="50"/>
        <v>1</v>
      </c>
      <c r="R270" s="715">
        <f t="shared" si="51"/>
        <v>0</v>
      </c>
      <c r="S270" s="361">
        <f t="shared" si="52"/>
        <v>0</v>
      </c>
    </row>
    <row r="271" spans="1:19">
      <c r="A271" s="3008"/>
      <c r="B271" s="717"/>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t="s">
        <v>3123</v>
      </c>
      <c r="Q271" s="24">
        <f t="shared" si="50"/>
        <v>1</v>
      </c>
      <c r="R271" s="715">
        <f t="shared" si="51"/>
        <v>0</v>
      </c>
      <c r="S271" s="361">
        <f t="shared" si="52"/>
        <v>0</v>
      </c>
    </row>
    <row r="272" spans="1:19">
      <c r="A272" s="3008"/>
      <c r="B272" s="717"/>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t="s">
        <v>3123</v>
      </c>
      <c r="Q272" s="24">
        <f t="shared" si="50"/>
        <v>1</v>
      </c>
      <c r="R272" s="715">
        <f t="shared" si="51"/>
        <v>0</v>
      </c>
      <c r="S272" s="361">
        <f t="shared" si="52"/>
        <v>0</v>
      </c>
    </row>
    <row r="273" spans="1:19">
      <c r="A273" s="3008"/>
      <c r="B273" s="717"/>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t="s">
        <v>3123</v>
      </c>
      <c r="Q273" s="24">
        <f t="shared" si="50"/>
        <v>1</v>
      </c>
      <c r="R273" s="715">
        <f t="shared" si="51"/>
        <v>0</v>
      </c>
      <c r="S273" s="361">
        <f t="shared" si="52"/>
        <v>0</v>
      </c>
    </row>
    <row r="274" spans="1:19">
      <c r="A274" s="3008"/>
      <c r="B274" s="717"/>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t="s">
        <v>3123</v>
      </c>
      <c r="Q274" s="24">
        <f t="shared" si="50"/>
        <v>1</v>
      </c>
      <c r="R274" s="715">
        <f t="shared" si="51"/>
        <v>0</v>
      </c>
      <c r="S274" s="361">
        <f t="shared" si="52"/>
        <v>0</v>
      </c>
    </row>
    <row r="275" spans="1:19">
      <c r="A275" s="3008"/>
      <c r="B275" s="717"/>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t="s">
        <v>3123</v>
      </c>
      <c r="Q275" s="24">
        <f t="shared" si="50"/>
        <v>1</v>
      </c>
      <c r="R275" s="715">
        <f t="shared" si="51"/>
        <v>0</v>
      </c>
      <c r="S275" s="361">
        <f t="shared" si="52"/>
        <v>0</v>
      </c>
    </row>
    <row r="276" spans="1:19">
      <c r="A276" s="3008"/>
      <c r="B276" s="717"/>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t="s">
        <v>3123</v>
      </c>
      <c r="Q276" s="24">
        <f t="shared" si="50"/>
        <v>1</v>
      </c>
      <c r="R276" s="715">
        <f t="shared" si="51"/>
        <v>0</v>
      </c>
      <c r="S276" s="361">
        <f t="shared" si="52"/>
        <v>0</v>
      </c>
    </row>
    <row r="277" spans="1:19">
      <c r="A277" s="3008"/>
      <c r="B277" s="717"/>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t="s">
        <v>3123</v>
      </c>
      <c r="Q277" s="24">
        <f t="shared" si="50"/>
        <v>1</v>
      </c>
      <c r="R277" s="715">
        <f t="shared" si="51"/>
        <v>0</v>
      </c>
      <c r="S277" s="361">
        <f t="shared" si="52"/>
        <v>0</v>
      </c>
    </row>
    <row r="278" spans="1:19">
      <c r="A278" s="3008"/>
      <c r="B278" s="717"/>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t="s">
        <v>3123</v>
      </c>
      <c r="Q278" s="24">
        <f t="shared" si="50"/>
        <v>1</v>
      </c>
      <c r="R278" s="715">
        <f t="shared" si="51"/>
        <v>0</v>
      </c>
      <c r="S278" s="361">
        <f t="shared" si="52"/>
        <v>0</v>
      </c>
    </row>
    <row r="279" spans="1:19">
      <c r="A279" s="3008"/>
      <c r="B279" s="717"/>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t="s">
        <v>3123</v>
      </c>
      <c r="Q279" s="24">
        <f t="shared" si="50"/>
        <v>1</v>
      </c>
      <c r="R279" s="715">
        <f t="shared" si="51"/>
        <v>0</v>
      </c>
      <c r="S279" s="361">
        <f t="shared" si="52"/>
        <v>0</v>
      </c>
    </row>
    <row r="280" spans="1:19">
      <c r="A280" s="3008"/>
      <c r="B280" s="717"/>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t="s">
        <v>3123</v>
      </c>
      <c r="Q280" s="24">
        <f t="shared" si="50"/>
        <v>1</v>
      </c>
      <c r="R280" s="715">
        <f t="shared" si="51"/>
        <v>0</v>
      </c>
      <c r="S280" s="361">
        <f t="shared" si="52"/>
        <v>0</v>
      </c>
    </row>
    <row r="281" spans="1:19">
      <c r="A281" s="3008"/>
      <c r="B281" s="717"/>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t="s">
        <v>3123</v>
      </c>
      <c r="Q281" s="24">
        <f t="shared" si="50"/>
        <v>1</v>
      </c>
      <c r="R281" s="715">
        <f t="shared" si="51"/>
        <v>0</v>
      </c>
      <c r="S281" s="361">
        <f t="shared" si="52"/>
        <v>0</v>
      </c>
    </row>
    <row r="282" spans="1:19">
      <c r="A282" s="3008"/>
      <c r="B282" s="717"/>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3123</v>
      </c>
      <c r="Q282" s="24">
        <f t="shared" ref="Q282:Q345" si="60">(SUMIF($17:$17,P282,$18:$18)-SUMIF($17:$17,$P$24,$18:$18)+100)/100</f>
        <v>1</v>
      </c>
      <c r="R282" s="715">
        <f t="shared" ref="R282:R345" si="61">IF(B282="",0,ROUND($R$24*C282*E282*G282*I282*K282*M282*O282*Q282,0))</f>
        <v>0</v>
      </c>
      <c r="S282" s="361">
        <f t="shared" si="52"/>
        <v>0</v>
      </c>
    </row>
    <row r="283" spans="1:19">
      <c r="A283" s="3008"/>
      <c r="B283" s="717"/>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t="s">
        <v>3123</v>
      </c>
      <c r="Q283" s="24">
        <f t="shared" si="60"/>
        <v>1</v>
      </c>
      <c r="R283" s="715">
        <f t="shared" si="61"/>
        <v>0</v>
      </c>
      <c r="S283" s="361">
        <f t="shared" si="52"/>
        <v>0</v>
      </c>
    </row>
    <row r="284" spans="1:19">
      <c r="A284" s="3008"/>
      <c r="B284" s="717"/>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t="s">
        <v>3123</v>
      </c>
      <c r="Q284" s="24">
        <f t="shared" si="60"/>
        <v>1</v>
      </c>
      <c r="R284" s="715">
        <f t="shared" si="61"/>
        <v>0</v>
      </c>
      <c r="S284" s="361">
        <f t="shared" si="52"/>
        <v>0</v>
      </c>
    </row>
    <row r="285" spans="1:19">
      <c r="A285" s="3008"/>
      <c r="B285" s="717"/>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t="s">
        <v>3123</v>
      </c>
      <c r="Q285" s="24">
        <f t="shared" si="60"/>
        <v>1</v>
      </c>
      <c r="R285" s="715">
        <f t="shared" si="61"/>
        <v>0</v>
      </c>
      <c r="S285" s="361">
        <f t="shared" si="52"/>
        <v>0</v>
      </c>
    </row>
    <row r="286" spans="1:19">
      <c r="A286" s="3008"/>
      <c r="B286" s="717"/>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t="s">
        <v>3123</v>
      </c>
      <c r="Q286" s="24">
        <f t="shared" si="60"/>
        <v>1</v>
      </c>
      <c r="R286" s="715">
        <f t="shared" si="61"/>
        <v>0</v>
      </c>
      <c r="S286" s="361">
        <f t="shared" si="52"/>
        <v>0</v>
      </c>
    </row>
    <row r="287" spans="1:19">
      <c r="A287" s="3008"/>
      <c r="B287" s="717"/>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t="s">
        <v>3123</v>
      </c>
      <c r="Q287" s="24">
        <f t="shared" si="60"/>
        <v>1</v>
      </c>
      <c r="R287" s="715">
        <f t="shared" si="61"/>
        <v>0</v>
      </c>
      <c r="S287" s="361">
        <f t="shared" ref="S287:S320" si="62">ROUND(R287*B287/10000,0)</f>
        <v>0</v>
      </c>
    </row>
    <row r="288" spans="1:19">
      <c r="A288" s="3008"/>
      <c r="B288" s="717"/>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t="s">
        <v>3123</v>
      </c>
      <c r="Q288" s="24">
        <f t="shared" si="60"/>
        <v>1</v>
      </c>
      <c r="R288" s="715">
        <f t="shared" si="61"/>
        <v>0</v>
      </c>
      <c r="S288" s="361">
        <f t="shared" si="62"/>
        <v>0</v>
      </c>
    </row>
    <row r="289" spans="1:19">
      <c r="A289" s="3008"/>
      <c r="B289" s="717"/>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t="s">
        <v>3123</v>
      </c>
      <c r="Q289" s="24">
        <f t="shared" si="60"/>
        <v>1</v>
      </c>
      <c r="R289" s="715">
        <f t="shared" si="61"/>
        <v>0</v>
      </c>
      <c r="S289" s="361">
        <f t="shared" si="62"/>
        <v>0</v>
      </c>
    </row>
    <row r="290" spans="1:19">
      <c r="A290" s="3008"/>
      <c r="B290" s="717"/>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t="s">
        <v>3123</v>
      </c>
      <c r="Q290" s="24">
        <f t="shared" si="60"/>
        <v>1</v>
      </c>
      <c r="R290" s="715">
        <f t="shared" si="61"/>
        <v>0</v>
      </c>
      <c r="S290" s="361">
        <f t="shared" si="62"/>
        <v>0</v>
      </c>
    </row>
    <row r="291" spans="1:19">
      <c r="A291" s="3008"/>
      <c r="B291" s="717"/>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t="s">
        <v>3123</v>
      </c>
      <c r="Q291" s="24">
        <f t="shared" si="60"/>
        <v>1</v>
      </c>
      <c r="R291" s="715">
        <f t="shared" si="61"/>
        <v>0</v>
      </c>
      <c r="S291" s="361">
        <f t="shared" si="62"/>
        <v>0</v>
      </c>
    </row>
    <row r="292" spans="1:19">
      <c r="A292" s="3008"/>
      <c r="B292" s="717"/>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t="s">
        <v>3123</v>
      </c>
      <c r="Q292" s="24">
        <f t="shared" si="60"/>
        <v>1</v>
      </c>
      <c r="R292" s="715">
        <f t="shared" si="61"/>
        <v>0</v>
      </c>
      <c r="S292" s="361">
        <f t="shared" si="62"/>
        <v>0</v>
      </c>
    </row>
    <row r="293" spans="1:19">
      <c r="A293" s="3008"/>
      <c r="B293" s="717"/>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t="s">
        <v>3123</v>
      </c>
      <c r="Q293" s="24">
        <f t="shared" si="60"/>
        <v>1</v>
      </c>
      <c r="R293" s="715">
        <f t="shared" si="61"/>
        <v>0</v>
      </c>
      <c r="S293" s="361">
        <f t="shared" si="62"/>
        <v>0</v>
      </c>
    </row>
    <row r="294" spans="1:19">
      <c r="A294" s="3008"/>
      <c r="B294" s="717"/>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t="s">
        <v>3123</v>
      </c>
      <c r="Q294" s="24">
        <f t="shared" si="60"/>
        <v>1</v>
      </c>
      <c r="R294" s="715">
        <f t="shared" si="61"/>
        <v>0</v>
      </c>
      <c r="S294" s="361">
        <f t="shared" si="62"/>
        <v>0</v>
      </c>
    </row>
    <row r="295" spans="1:19">
      <c r="A295" s="3008"/>
      <c r="B295" s="717"/>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t="s">
        <v>3123</v>
      </c>
      <c r="Q295" s="24">
        <f t="shared" si="60"/>
        <v>1</v>
      </c>
      <c r="R295" s="715">
        <f t="shared" si="61"/>
        <v>0</v>
      </c>
      <c r="S295" s="361">
        <f t="shared" si="62"/>
        <v>0</v>
      </c>
    </row>
    <row r="296" spans="1:19">
      <c r="A296" s="3008"/>
      <c r="B296" s="717"/>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t="s">
        <v>3123</v>
      </c>
      <c r="Q296" s="24">
        <f t="shared" si="60"/>
        <v>1</v>
      </c>
      <c r="R296" s="715">
        <f t="shared" si="61"/>
        <v>0</v>
      </c>
      <c r="S296" s="361">
        <f t="shared" si="62"/>
        <v>0</v>
      </c>
    </row>
    <row r="297" spans="1:19">
      <c r="A297" s="3008"/>
      <c r="B297" s="717"/>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t="s">
        <v>3123</v>
      </c>
      <c r="Q297" s="24">
        <f t="shared" si="60"/>
        <v>1</v>
      </c>
      <c r="R297" s="715">
        <f t="shared" si="61"/>
        <v>0</v>
      </c>
      <c r="S297" s="361">
        <f t="shared" si="62"/>
        <v>0</v>
      </c>
    </row>
    <row r="298" spans="1:19">
      <c r="A298" s="3008"/>
      <c r="B298" s="717"/>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t="s">
        <v>3123</v>
      </c>
      <c r="Q298" s="24">
        <f t="shared" si="60"/>
        <v>1</v>
      </c>
      <c r="R298" s="715">
        <f t="shared" si="61"/>
        <v>0</v>
      </c>
      <c r="S298" s="361">
        <f t="shared" si="62"/>
        <v>0</v>
      </c>
    </row>
    <row r="299" spans="1:19">
      <c r="A299" s="3008"/>
      <c r="B299" s="717"/>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t="s">
        <v>3123</v>
      </c>
      <c r="Q299" s="24">
        <f t="shared" si="60"/>
        <v>1</v>
      </c>
      <c r="R299" s="715">
        <f t="shared" si="61"/>
        <v>0</v>
      </c>
      <c r="S299" s="361">
        <f t="shared" si="62"/>
        <v>0</v>
      </c>
    </row>
    <row r="300" spans="1:19">
      <c r="A300" s="3008"/>
      <c r="B300" s="717"/>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t="s">
        <v>3123</v>
      </c>
      <c r="Q300" s="24">
        <f t="shared" si="60"/>
        <v>1</v>
      </c>
      <c r="R300" s="715">
        <f t="shared" si="61"/>
        <v>0</v>
      </c>
      <c r="S300" s="361">
        <f t="shared" si="62"/>
        <v>0</v>
      </c>
    </row>
    <row r="301" spans="1:19">
      <c r="A301" s="3008"/>
      <c r="B301" s="717"/>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t="s">
        <v>3123</v>
      </c>
      <c r="Q301" s="24">
        <f t="shared" si="60"/>
        <v>1</v>
      </c>
      <c r="R301" s="715">
        <f t="shared" si="61"/>
        <v>0</v>
      </c>
      <c r="S301" s="361">
        <f t="shared" si="62"/>
        <v>0</v>
      </c>
    </row>
    <row r="302" spans="1:19">
      <c r="A302" s="3008"/>
      <c r="B302" s="717"/>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t="s">
        <v>3123</v>
      </c>
      <c r="Q302" s="24">
        <f t="shared" si="60"/>
        <v>1</v>
      </c>
      <c r="R302" s="715">
        <f t="shared" si="61"/>
        <v>0</v>
      </c>
      <c r="S302" s="361">
        <f t="shared" si="62"/>
        <v>0</v>
      </c>
    </row>
    <row r="303" spans="1:19">
      <c r="A303" s="3008"/>
      <c r="B303" s="717"/>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t="s">
        <v>3123</v>
      </c>
      <c r="Q303" s="24">
        <f t="shared" si="60"/>
        <v>1</v>
      </c>
      <c r="R303" s="715">
        <f t="shared" si="61"/>
        <v>0</v>
      </c>
      <c r="S303" s="361">
        <f t="shared" si="62"/>
        <v>0</v>
      </c>
    </row>
    <row r="304" spans="1:19">
      <c r="A304" s="3008"/>
      <c r="B304" s="717"/>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t="s">
        <v>3123</v>
      </c>
      <c r="Q304" s="24">
        <f t="shared" si="60"/>
        <v>1</v>
      </c>
      <c r="R304" s="715">
        <f t="shared" si="61"/>
        <v>0</v>
      </c>
      <c r="S304" s="361">
        <f t="shared" si="62"/>
        <v>0</v>
      </c>
    </row>
    <row r="305" spans="1:19">
      <c r="A305" s="3008"/>
      <c r="B305" s="717"/>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t="s">
        <v>3123</v>
      </c>
      <c r="Q305" s="24">
        <f t="shared" si="60"/>
        <v>1</v>
      </c>
      <c r="R305" s="715">
        <f t="shared" si="61"/>
        <v>0</v>
      </c>
      <c r="S305" s="361">
        <f t="shared" si="62"/>
        <v>0</v>
      </c>
    </row>
    <row r="306" spans="1:19">
      <c r="A306" s="3008"/>
      <c r="B306" s="717"/>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t="s">
        <v>3123</v>
      </c>
      <c r="Q306" s="24">
        <f t="shared" si="60"/>
        <v>1</v>
      </c>
      <c r="R306" s="715">
        <f t="shared" si="61"/>
        <v>0</v>
      </c>
      <c r="S306" s="361">
        <f t="shared" si="62"/>
        <v>0</v>
      </c>
    </row>
    <row r="307" spans="1:19">
      <c r="A307" s="3008"/>
      <c r="B307" s="717"/>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t="s">
        <v>3123</v>
      </c>
      <c r="Q307" s="24">
        <f t="shared" si="60"/>
        <v>1</v>
      </c>
      <c r="R307" s="715">
        <f t="shared" si="61"/>
        <v>0</v>
      </c>
      <c r="S307" s="361">
        <f t="shared" si="62"/>
        <v>0</v>
      </c>
    </row>
    <row r="308" spans="1:19">
      <c r="A308" s="3008"/>
      <c r="B308" s="717"/>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t="s">
        <v>3123</v>
      </c>
      <c r="Q308" s="24">
        <f t="shared" si="60"/>
        <v>1</v>
      </c>
      <c r="R308" s="715">
        <f t="shared" si="61"/>
        <v>0</v>
      </c>
      <c r="S308" s="361">
        <f t="shared" si="62"/>
        <v>0</v>
      </c>
    </row>
    <row r="309" spans="1:19">
      <c r="A309" s="3008"/>
      <c r="B309" s="717"/>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t="s">
        <v>3123</v>
      </c>
      <c r="Q309" s="24">
        <f t="shared" si="60"/>
        <v>1</v>
      </c>
      <c r="R309" s="715">
        <f t="shared" si="61"/>
        <v>0</v>
      </c>
      <c r="S309" s="361">
        <f t="shared" si="62"/>
        <v>0</v>
      </c>
    </row>
    <row r="310" spans="1:19">
      <c r="A310" s="3008"/>
      <c r="B310" s="717"/>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t="s">
        <v>3123</v>
      </c>
      <c r="Q310" s="24">
        <f t="shared" si="60"/>
        <v>1</v>
      </c>
      <c r="R310" s="715">
        <f t="shared" si="61"/>
        <v>0</v>
      </c>
      <c r="S310" s="361">
        <f t="shared" si="62"/>
        <v>0</v>
      </c>
    </row>
    <row r="311" spans="1:19">
      <c r="A311" s="3008"/>
      <c r="B311" s="717"/>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t="s">
        <v>3123</v>
      </c>
      <c r="Q311" s="24">
        <f t="shared" si="60"/>
        <v>1</v>
      </c>
      <c r="R311" s="715">
        <f t="shared" si="61"/>
        <v>0</v>
      </c>
      <c r="S311" s="361">
        <f t="shared" si="62"/>
        <v>0</v>
      </c>
    </row>
    <row r="312" spans="1:19">
      <c r="A312" s="3008"/>
      <c r="B312" s="717"/>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t="s">
        <v>3123</v>
      </c>
      <c r="Q312" s="24">
        <f t="shared" si="60"/>
        <v>1</v>
      </c>
      <c r="R312" s="715">
        <f t="shared" si="61"/>
        <v>0</v>
      </c>
      <c r="S312" s="361">
        <f t="shared" si="62"/>
        <v>0</v>
      </c>
    </row>
    <row r="313" spans="1:19">
      <c r="A313" s="3008"/>
      <c r="B313" s="717"/>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t="s">
        <v>3123</v>
      </c>
      <c r="Q313" s="24">
        <f t="shared" si="60"/>
        <v>1</v>
      </c>
      <c r="R313" s="715">
        <f t="shared" si="61"/>
        <v>0</v>
      </c>
      <c r="S313" s="361">
        <f t="shared" si="62"/>
        <v>0</v>
      </c>
    </row>
    <row r="314" spans="1:19">
      <c r="A314" s="3008"/>
      <c r="B314" s="717"/>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t="s">
        <v>3123</v>
      </c>
      <c r="Q314" s="24">
        <f t="shared" si="60"/>
        <v>1</v>
      </c>
      <c r="R314" s="715">
        <f t="shared" si="61"/>
        <v>0</v>
      </c>
      <c r="S314" s="361">
        <f t="shared" si="62"/>
        <v>0</v>
      </c>
    </row>
    <row r="315" spans="1:19">
      <c r="A315" s="3008"/>
      <c r="B315" s="717"/>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t="s">
        <v>3178</v>
      </c>
      <c r="Q315" s="24">
        <f t="shared" si="60"/>
        <v>0.85</v>
      </c>
      <c r="R315" s="715">
        <f t="shared" si="61"/>
        <v>0</v>
      </c>
      <c r="S315" s="361">
        <f t="shared" si="62"/>
        <v>0</v>
      </c>
    </row>
    <row r="316" spans="1:19">
      <c r="A316" s="3008"/>
      <c r="B316" s="717"/>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t="s">
        <v>3178</v>
      </c>
      <c r="Q316" s="24">
        <f t="shared" si="60"/>
        <v>0.85</v>
      </c>
      <c r="R316" s="715">
        <f t="shared" si="61"/>
        <v>0</v>
      </c>
      <c r="S316" s="361">
        <f t="shared" si="62"/>
        <v>0</v>
      </c>
    </row>
    <row r="317" spans="1:19">
      <c r="A317" s="3008"/>
      <c r="B317" s="717"/>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t="s">
        <v>3178</v>
      </c>
      <c r="Q317" s="24">
        <f t="shared" si="60"/>
        <v>0.85</v>
      </c>
      <c r="R317" s="715">
        <f t="shared" si="61"/>
        <v>0</v>
      </c>
      <c r="S317" s="361">
        <f t="shared" si="62"/>
        <v>0</v>
      </c>
    </row>
    <row r="318" spans="1:19">
      <c r="A318" s="3008"/>
      <c r="B318" s="717"/>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t="s">
        <v>3178</v>
      </c>
      <c r="Q318" s="24">
        <f t="shared" si="60"/>
        <v>0.85</v>
      </c>
      <c r="R318" s="715">
        <f t="shared" si="61"/>
        <v>0</v>
      </c>
      <c r="S318" s="361">
        <f t="shared" si="62"/>
        <v>0</v>
      </c>
    </row>
    <row r="319" spans="1:19">
      <c r="A319" s="3008"/>
      <c r="B319" s="717"/>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t="s">
        <v>3178</v>
      </c>
      <c r="Q319" s="24">
        <f t="shared" si="60"/>
        <v>0.85</v>
      </c>
      <c r="R319" s="715">
        <f t="shared" si="61"/>
        <v>0</v>
      </c>
      <c r="S319" s="361">
        <f t="shared" si="62"/>
        <v>0</v>
      </c>
    </row>
    <row r="320" spans="1:19">
      <c r="A320" s="3008"/>
      <c r="B320" s="717"/>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t="s">
        <v>3123</v>
      </c>
      <c r="Q320" s="24">
        <f t="shared" si="60"/>
        <v>1</v>
      </c>
      <c r="R320" s="715">
        <f t="shared" si="61"/>
        <v>0</v>
      </c>
      <c r="S320" s="361">
        <f t="shared" si="62"/>
        <v>0</v>
      </c>
    </row>
    <row r="321" spans="1:19">
      <c r="A321" s="3008"/>
      <c r="B321" s="717"/>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t="s">
        <v>3123</v>
      </c>
      <c r="Q321" s="24">
        <f t="shared" si="60"/>
        <v>1</v>
      </c>
      <c r="R321" s="715">
        <f t="shared" si="61"/>
        <v>0</v>
      </c>
      <c r="S321" s="361">
        <f t="shared" ref="S321:S384" si="63">ROUND(R321*B321/10000,0)</f>
        <v>0</v>
      </c>
    </row>
    <row r="322" spans="1:19">
      <c r="A322" s="3008"/>
      <c r="B322" s="717"/>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t="s">
        <v>3123</v>
      </c>
      <c r="Q322" s="24">
        <f t="shared" si="60"/>
        <v>1</v>
      </c>
      <c r="R322" s="715">
        <f t="shared" si="61"/>
        <v>0</v>
      </c>
      <c r="S322" s="361">
        <f t="shared" si="63"/>
        <v>0</v>
      </c>
    </row>
    <row r="323" spans="1:19">
      <c r="A323" s="3008"/>
      <c r="B323" s="717"/>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t="s">
        <v>3123</v>
      </c>
      <c r="Q323" s="24">
        <f t="shared" si="60"/>
        <v>1</v>
      </c>
      <c r="R323" s="715">
        <f t="shared" si="61"/>
        <v>0</v>
      </c>
      <c r="S323" s="361">
        <f t="shared" si="63"/>
        <v>0</v>
      </c>
    </row>
    <row r="324" spans="1:19">
      <c r="A324" s="3008"/>
      <c r="B324" s="717"/>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t="s">
        <v>3123</v>
      </c>
      <c r="Q324" s="24">
        <f t="shared" si="60"/>
        <v>1</v>
      </c>
      <c r="R324" s="715">
        <f t="shared" si="61"/>
        <v>0</v>
      </c>
      <c r="S324" s="361">
        <f t="shared" si="63"/>
        <v>0</v>
      </c>
    </row>
    <row r="325" spans="1:19">
      <c r="A325" s="3008"/>
      <c r="B325" s="717"/>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t="s">
        <v>3123</v>
      </c>
      <c r="Q325" s="24">
        <f t="shared" si="60"/>
        <v>1</v>
      </c>
      <c r="R325" s="715">
        <f t="shared" si="61"/>
        <v>0</v>
      </c>
      <c r="S325" s="361">
        <f t="shared" si="63"/>
        <v>0</v>
      </c>
    </row>
    <row r="326" spans="1:19">
      <c r="A326" s="3008"/>
      <c r="B326" s="717"/>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t="s">
        <v>3123</v>
      </c>
      <c r="Q326" s="24">
        <f t="shared" si="60"/>
        <v>1</v>
      </c>
      <c r="R326" s="715">
        <f t="shared" si="61"/>
        <v>0</v>
      </c>
      <c r="S326" s="361">
        <f t="shared" si="63"/>
        <v>0</v>
      </c>
    </row>
    <row r="327" spans="1:19">
      <c r="A327" s="3008"/>
      <c r="B327" s="717"/>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t="s">
        <v>3123</v>
      </c>
      <c r="Q327" s="24">
        <f t="shared" si="60"/>
        <v>1</v>
      </c>
      <c r="R327" s="715">
        <f t="shared" si="61"/>
        <v>0</v>
      </c>
      <c r="S327" s="361">
        <f t="shared" si="63"/>
        <v>0</v>
      </c>
    </row>
    <row r="328" spans="1:19">
      <c r="A328" s="3008"/>
      <c r="B328" s="717"/>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t="s">
        <v>3123</v>
      </c>
      <c r="Q328" s="24">
        <f t="shared" si="60"/>
        <v>1</v>
      </c>
      <c r="R328" s="715">
        <f t="shared" si="61"/>
        <v>0</v>
      </c>
      <c r="S328" s="361">
        <f t="shared" si="63"/>
        <v>0</v>
      </c>
    </row>
    <row r="329" spans="1:19">
      <c r="A329" s="3008"/>
      <c r="B329" s="717"/>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t="s">
        <v>3123</v>
      </c>
      <c r="Q329" s="24">
        <f t="shared" si="60"/>
        <v>1</v>
      </c>
      <c r="R329" s="715">
        <f t="shared" si="61"/>
        <v>0</v>
      </c>
      <c r="S329" s="361">
        <f t="shared" si="63"/>
        <v>0</v>
      </c>
    </row>
    <row r="330" spans="1:19">
      <c r="A330" s="3008"/>
      <c r="B330" s="717"/>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t="s">
        <v>3123</v>
      </c>
      <c r="Q330" s="24">
        <f t="shared" si="60"/>
        <v>1</v>
      </c>
      <c r="R330" s="715">
        <f t="shared" si="61"/>
        <v>0</v>
      </c>
      <c r="S330" s="361">
        <f t="shared" si="63"/>
        <v>0</v>
      </c>
    </row>
    <row r="331" spans="1:19">
      <c r="A331" s="3008"/>
      <c r="B331" s="717"/>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t="s">
        <v>3123</v>
      </c>
      <c r="Q331" s="24">
        <f t="shared" si="60"/>
        <v>1</v>
      </c>
      <c r="R331" s="715">
        <f t="shared" si="61"/>
        <v>0</v>
      </c>
      <c r="S331" s="361">
        <f t="shared" si="63"/>
        <v>0</v>
      </c>
    </row>
    <row r="332" spans="1:19" ht="13.5" customHeight="1">
      <c r="A332" s="3008"/>
      <c r="B332" s="717"/>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t="s">
        <v>3123</v>
      </c>
      <c r="Q332" s="24">
        <f t="shared" si="60"/>
        <v>1</v>
      </c>
      <c r="R332" s="715">
        <f t="shared" si="61"/>
        <v>0</v>
      </c>
      <c r="S332" s="361">
        <f t="shared" si="63"/>
        <v>0</v>
      </c>
    </row>
    <row r="333" spans="1:19">
      <c r="A333" s="3008"/>
      <c r="B333" s="717"/>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t="s">
        <v>3178</v>
      </c>
      <c r="Q333" s="24">
        <f t="shared" si="60"/>
        <v>0.85</v>
      </c>
      <c r="R333" s="715">
        <f t="shared" si="61"/>
        <v>0</v>
      </c>
      <c r="S333" s="361">
        <f t="shared" si="63"/>
        <v>0</v>
      </c>
    </row>
    <row r="334" spans="1:19">
      <c r="A334" s="3008"/>
      <c r="B334" s="717"/>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t="s">
        <v>3123</v>
      </c>
      <c r="Q334" s="24">
        <f t="shared" si="60"/>
        <v>1</v>
      </c>
      <c r="R334" s="715">
        <f t="shared" si="61"/>
        <v>0</v>
      </c>
      <c r="S334" s="361">
        <f t="shared" si="63"/>
        <v>0</v>
      </c>
    </row>
    <row r="335" spans="1:19">
      <c r="A335" s="3008"/>
      <c r="B335" s="717"/>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t="s">
        <v>3123</v>
      </c>
      <c r="Q335" s="24">
        <f t="shared" si="60"/>
        <v>1</v>
      </c>
      <c r="R335" s="715">
        <f t="shared" si="61"/>
        <v>0</v>
      </c>
      <c r="S335" s="361">
        <f t="shared" si="63"/>
        <v>0</v>
      </c>
    </row>
    <row r="336" spans="1:19">
      <c r="A336" s="3008"/>
      <c r="B336" s="717"/>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t="s">
        <v>3123</v>
      </c>
      <c r="Q336" s="24">
        <f t="shared" si="60"/>
        <v>1</v>
      </c>
      <c r="R336" s="715">
        <f t="shared" si="61"/>
        <v>0</v>
      </c>
      <c r="S336" s="361">
        <f t="shared" si="63"/>
        <v>0</v>
      </c>
    </row>
    <row r="337" spans="1:19">
      <c r="A337" s="3008"/>
      <c r="B337" s="717"/>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t="s">
        <v>3123</v>
      </c>
      <c r="Q337" s="24">
        <f t="shared" si="60"/>
        <v>1</v>
      </c>
      <c r="R337" s="715">
        <f t="shared" si="61"/>
        <v>0</v>
      </c>
      <c r="S337" s="361">
        <f t="shared" si="63"/>
        <v>0</v>
      </c>
    </row>
    <row r="338" spans="1:19">
      <c r="A338" s="3008"/>
      <c r="B338" s="717"/>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t="s">
        <v>3123</v>
      </c>
      <c r="Q338" s="24">
        <f t="shared" si="60"/>
        <v>1</v>
      </c>
      <c r="R338" s="715">
        <f t="shared" si="61"/>
        <v>0</v>
      </c>
      <c r="S338" s="361">
        <f t="shared" si="63"/>
        <v>0</v>
      </c>
    </row>
    <row r="339" spans="1:19">
      <c r="A339" s="3008"/>
      <c r="B339" s="717"/>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t="s">
        <v>3123</v>
      </c>
      <c r="Q339" s="24">
        <f t="shared" si="60"/>
        <v>1</v>
      </c>
      <c r="R339" s="715">
        <f t="shared" si="61"/>
        <v>0</v>
      </c>
      <c r="S339" s="361">
        <f t="shared" si="63"/>
        <v>0</v>
      </c>
    </row>
    <row r="340" spans="1:19">
      <c r="A340" s="3008"/>
      <c r="B340" s="717"/>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t="s">
        <v>3123</v>
      </c>
      <c r="Q340" s="24">
        <f t="shared" si="60"/>
        <v>1</v>
      </c>
      <c r="R340" s="715">
        <f t="shared" si="61"/>
        <v>0</v>
      </c>
      <c r="S340" s="361">
        <f t="shared" si="63"/>
        <v>0</v>
      </c>
    </row>
    <row r="341" spans="1:19">
      <c r="A341" s="3008"/>
      <c r="B341" s="717"/>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t="s">
        <v>3123</v>
      </c>
      <c r="Q341" s="24">
        <f t="shared" si="60"/>
        <v>1</v>
      </c>
      <c r="R341" s="715">
        <f t="shared" si="61"/>
        <v>0</v>
      </c>
      <c r="S341" s="361">
        <f t="shared" si="63"/>
        <v>0</v>
      </c>
    </row>
    <row r="342" spans="1:19">
      <c r="A342" s="3008"/>
      <c r="B342" s="717"/>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t="s">
        <v>3123</v>
      </c>
      <c r="Q342" s="24">
        <f t="shared" si="60"/>
        <v>1</v>
      </c>
      <c r="R342" s="715">
        <f t="shared" si="61"/>
        <v>0</v>
      </c>
      <c r="S342" s="361">
        <f t="shared" si="63"/>
        <v>0</v>
      </c>
    </row>
    <row r="343" spans="1:19">
      <c r="A343" s="3008"/>
      <c r="B343" s="717"/>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t="s">
        <v>3123</v>
      </c>
      <c r="Q343" s="24">
        <f t="shared" si="60"/>
        <v>1</v>
      </c>
      <c r="R343" s="715">
        <f t="shared" si="61"/>
        <v>0</v>
      </c>
      <c r="S343" s="361">
        <f t="shared" si="63"/>
        <v>0</v>
      </c>
    </row>
    <row r="344" spans="1:19">
      <c r="A344" s="3008"/>
      <c r="B344" s="717"/>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t="s">
        <v>3123</v>
      </c>
      <c r="Q344" s="24">
        <f t="shared" si="60"/>
        <v>1</v>
      </c>
      <c r="R344" s="715">
        <f t="shared" si="61"/>
        <v>0</v>
      </c>
      <c r="S344" s="361">
        <f t="shared" si="63"/>
        <v>0</v>
      </c>
    </row>
    <row r="345" spans="1:19">
      <c r="A345" s="3008"/>
      <c r="B345" s="717"/>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t="s">
        <v>3123</v>
      </c>
      <c r="Q345" s="24">
        <f t="shared" si="60"/>
        <v>1</v>
      </c>
      <c r="R345" s="715">
        <f t="shared" si="61"/>
        <v>0</v>
      </c>
      <c r="S345" s="361">
        <f t="shared" si="63"/>
        <v>0</v>
      </c>
    </row>
    <row r="346" spans="1:19">
      <c r="A346" s="3008"/>
      <c r="B346" s="717"/>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3123</v>
      </c>
      <c r="Q346" s="24">
        <f t="shared" ref="Q346:Q409" si="71">(SUMIF($17:$17,P346,$18:$18)-SUMIF($17:$17,$P$24,$18:$18)+100)/100</f>
        <v>1</v>
      </c>
      <c r="R346" s="715">
        <f t="shared" ref="R346:R409" si="72">IF(B346="",0,ROUND($R$24*C346*E346*G346*I346*K346*M346*O346*Q346,0))</f>
        <v>0</v>
      </c>
      <c r="S346" s="361">
        <f t="shared" si="63"/>
        <v>0</v>
      </c>
    </row>
    <row r="347" spans="1:19">
      <c r="A347" s="3008"/>
      <c r="B347" s="717"/>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t="s">
        <v>3123</v>
      </c>
      <c r="Q347" s="24">
        <f t="shared" si="71"/>
        <v>1</v>
      </c>
      <c r="R347" s="715">
        <f t="shared" si="72"/>
        <v>0</v>
      </c>
      <c r="S347" s="361">
        <f t="shared" si="63"/>
        <v>0</v>
      </c>
    </row>
    <row r="348" spans="1:19">
      <c r="A348" s="3008"/>
      <c r="B348" s="717"/>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t="s">
        <v>3123</v>
      </c>
      <c r="Q348" s="24">
        <f t="shared" si="71"/>
        <v>1</v>
      </c>
      <c r="R348" s="715">
        <f t="shared" si="72"/>
        <v>0</v>
      </c>
      <c r="S348" s="361">
        <f t="shared" si="63"/>
        <v>0</v>
      </c>
    </row>
    <row r="349" spans="1:19">
      <c r="A349" s="3008"/>
      <c r="B349" s="717"/>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t="s">
        <v>3123</v>
      </c>
      <c r="Q349" s="24">
        <f t="shared" si="71"/>
        <v>1</v>
      </c>
      <c r="R349" s="715">
        <f t="shared" si="72"/>
        <v>0</v>
      </c>
      <c r="S349" s="361">
        <f t="shared" si="63"/>
        <v>0</v>
      </c>
    </row>
    <row r="350" spans="1:19">
      <c r="A350" s="3008"/>
      <c r="B350" s="717"/>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t="s">
        <v>3123</v>
      </c>
      <c r="Q350" s="24">
        <f t="shared" si="71"/>
        <v>1</v>
      </c>
      <c r="R350" s="715">
        <f t="shared" si="72"/>
        <v>0</v>
      </c>
      <c r="S350" s="361">
        <f t="shared" si="63"/>
        <v>0</v>
      </c>
    </row>
    <row r="351" spans="1:19">
      <c r="A351" s="3008"/>
      <c r="B351" s="717"/>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t="s">
        <v>3123</v>
      </c>
      <c r="Q351" s="24">
        <f t="shared" si="71"/>
        <v>1</v>
      </c>
      <c r="R351" s="715">
        <f t="shared" si="72"/>
        <v>0</v>
      </c>
      <c r="S351" s="361">
        <f t="shared" si="63"/>
        <v>0</v>
      </c>
    </row>
    <row r="352" spans="1:19">
      <c r="A352" s="3008"/>
      <c r="B352" s="717"/>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t="s">
        <v>3178</v>
      </c>
      <c r="Q352" s="24">
        <f t="shared" si="71"/>
        <v>0.85</v>
      </c>
      <c r="R352" s="715">
        <f t="shared" si="72"/>
        <v>0</v>
      </c>
      <c r="S352" s="361">
        <f t="shared" si="63"/>
        <v>0</v>
      </c>
    </row>
    <row r="353" spans="1:19">
      <c r="A353" s="3006"/>
      <c r="B353" s="717"/>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t="s">
        <v>3178</v>
      </c>
      <c r="Q353" s="24">
        <f t="shared" si="71"/>
        <v>0.85</v>
      </c>
      <c r="R353" s="715">
        <f t="shared" si="72"/>
        <v>0</v>
      </c>
      <c r="S353" s="361">
        <f t="shared" si="63"/>
        <v>0</v>
      </c>
    </row>
    <row r="354" spans="1:19">
      <c r="A354" s="3006"/>
      <c r="B354" s="717"/>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t="s">
        <v>3178</v>
      </c>
      <c r="Q354" s="24">
        <f t="shared" si="71"/>
        <v>0.85</v>
      </c>
      <c r="R354" s="715">
        <f t="shared" si="72"/>
        <v>0</v>
      </c>
      <c r="S354" s="361">
        <f t="shared" si="63"/>
        <v>0</v>
      </c>
    </row>
    <row r="355" spans="1:19">
      <c r="A355" s="3006"/>
      <c r="B355" s="717"/>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t="s">
        <v>3178</v>
      </c>
      <c r="Q355" s="24">
        <f t="shared" si="71"/>
        <v>0.85</v>
      </c>
      <c r="R355" s="715">
        <f t="shared" si="72"/>
        <v>0</v>
      </c>
      <c r="S355" s="361">
        <f t="shared" si="63"/>
        <v>0</v>
      </c>
    </row>
    <row r="356" spans="1:19">
      <c r="A356" s="3006"/>
      <c r="B356" s="717"/>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t="s">
        <v>3123</v>
      </c>
      <c r="Q356" s="24">
        <f t="shared" si="71"/>
        <v>1</v>
      </c>
      <c r="R356" s="715">
        <f t="shared" si="72"/>
        <v>0</v>
      </c>
      <c r="S356" s="361">
        <f t="shared" si="63"/>
        <v>0</v>
      </c>
    </row>
    <row r="357" spans="1:19">
      <c r="A357" s="3006"/>
      <c r="B357" s="717"/>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t="s">
        <v>3123</v>
      </c>
      <c r="Q357" s="24">
        <f t="shared" si="71"/>
        <v>1</v>
      </c>
      <c r="R357" s="715">
        <f t="shared" si="72"/>
        <v>0</v>
      </c>
      <c r="S357" s="361">
        <f t="shared" si="63"/>
        <v>0</v>
      </c>
    </row>
    <row r="358" spans="1:19">
      <c r="A358" s="3006"/>
      <c r="B358" s="717"/>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t="s">
        <v>3123</v>
      </c>
      <c r="Q358" s="24">
        <f t="shared" si="71"/>
        <v>1</v>
      </c>
      <c r="R358" s="715">
        <f t="shared" si="72"/>
        <v>0</v>
      </c>
      <c r="S358" s="361">
        <f t="shared" si="63"/>
        <v>0</v>
      </c>
    </row>
    <row r="359" spans="1:19">
      <c r="A359" s="3006"/>
      <c r="B359" s="717"/>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t="s">
        <v>3123</v>
      </c>
      <c r="Q359" s="24">
        <f t="shared" si="71"/>
        <v>1</v>
      </c>
      <c r="R359" s="715">
        <f t="shared" si="72"/>
        <v>0</v>
      </c>
      <c r="S359" s="361">
        <f t="shared" si="63"/>
        <v>0</v>
      </c>
    </row>
    <row r="360" spans="1:19">
      <c r="A360" s="3006"/>
      <c r="B360" s="717"/>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t="s">
        <v>3123</v>
      </c>
      <c r="Q360" s="24">
        <f t="shared" si="71"/>
        <v>1</v>
      </c>
      <c r="R360" s="715">
        <f t="shared" si="72"/>
        <v>0</v>
      </c>
      <c r="S360" s="361">
        <f t="shared" si="63"/>
        <v>0</v>
      </c>
    </row>
    <row r="361" spans="1:19">
      <c r="A361" s="3006"/>
      <c r="B361" s="717"/>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t="s">
        <v>3123</v>
      </c>
      <c r="Q361" s="24">
        <f t="shared" si="71"/>
        <v>1</v>
      </c>
      <c r="R361" s="715">
        <f t="shared" si="72"/>
        <v>0</v>
      </c>
      <c r="S361" s="361">
        <f t="shared" si="63"/>
        <v>0</v>
      </c>
    </row>
    <row r="362" spans="1:19">
      <c r="A362" s="3006"/>
      <c r="B362" s="717"/>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t="s">
        <v>3123</v>
      </c>
      <c r="Q362" s="24">
        <f t="shared" si="71"/>
        <v>1</v>
      </c>
      <c r="R362" s="715">
        <f t="shared" si="72"/>
        <v>0</v>
      </c>
      <c r="S362" s="361">
        <f t="shared" si="63"/>
        <v>0</v>
      </c>
    </row>
    <row r="363" spans="1:19">
      <c r="A363" s="3006"/>
      <c r="B363" s="717"/>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t="s">
        <v>3123</v>
      </c>
      <c r="Q363" s="24">
        <f t="shared" si="71"/>
        <v>1</v>
      </c>
      <c r="R363" s="715">
        <f t="shared" si="72"/>
        <v>0</v>
      </c>
      <c r="S363" s="361">
        <f t="shared" si="63"/>
        <v>0</v>
      </c>
    </row>
    <row r="364" spans="1:19">
      <c r="A364" s="3006"/>
      <c r="B364" s="717"/>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t="s">
        <v>3123</v>
      </c>
      <c r="Q364" s="24">
        <f t="shared" si="71"/>
        <v>1</v>
      </c>
      <c r="R364" s="715">
        <f t="shared" si="72"/>
        <v>0</v>
      </c>
      <c r="S364" s="361">
        <f t="shared" si="63"/>
        <v>0</v>
      </c>
    </row>
    <row r="365" spans="1:19">
      <c r="A365" s="3006"/>
      <c r="B365" s="717"/>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t="s">
        <v>3123</v>
      </c>
      <c r="Q365" s="24">
        <f t="shared" si="71"/>
        <v>1</v>
      </c>
      <c r="R365" s="715">
        <f t="shared" si="72"/>
        <v>0</v>
      </c>
      <c r="S365" s="361">
        <f t="shared" si="63"/>
        <v>0</v>
      </c>
    </row>
    <row r="366" spans="1:19">
      <c r="A366" s="3006"/>
      <c r="B366" s="717"/>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t="s">
        <v>3178</v>
      </c>
      <c r="Q366" s="24">
        <f t="shared" si="71"/>
        <v>0.85</v>
      </c>
      <c r="R366" s="715">
        <f t="shared" si="72"/>
        <v>0</v>
      </c>
      <c r="S366" s="361">
        <f t="shared" si="63"/>
        <v>0</v>
      </c>
    </row>
    <row r="367" spans="1:19">
      <c r="A367" s="3006"/>
      <c r="B367" s="717"/>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t="s">
        <v>3178</v>
      </c>
      <c r="Q367" s="24">
        <f t="shared" si="71"/>
        <v>0.85</v>
      </c>
      <c r="R367" s="715">
        <f t="shared" si="72"/>
        <v>0</v>
      </c>
      <c r="S367" s="361">
        <f t="shared" si="63"/>
        <v>0</v>
      </c>
    </row>
    <row r="368" spans="1:19">
      <c r="A368" s="3006"/>
      <c r="B368" s="717"/>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t="s">
        <v>3178</v>
      </c>
      <c r="Q368" s="24">
        <f t="shared" si="71"/>
        <v>0.85</v>
      </c>
      <c r="R368" s="715">
        <f t="shared" si="72"/>
        <v>0</v>
      </c>
      <c r="S368" s="361">
        <f t="shared" si="63"/>
        <v>0</v>
      </c>
    </row>
    <row r="369" spans="1:19">
      <c r="A369" s="3006"/>
      <c r="B369" s="717"/>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t="s">
        <v>3178</v>
      </c>
      <c r="Q369" s="24">
        <f t="shared" si="71"/>
        <v>0.85</v>
      </c>
      <c r="R369" s="715">
        <f t="shared" si="72"/>
        <v>0</v>
      </c>
      <c r="S369" s="361">
        <f t="shared" si="63"/>
        <v>0</v>
      </c>
    </row>
    <row r="370" spans="1:19">
      <c r="A370" s="3006"/>
      <c r="B370" s="717"/>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t="s">
        <v>3123</v>
      </c>
      <c r="Q370" s="24">
        <f t="shared" si="71"/>
        <v>1</v>
      </c>
      <c r="R370" s="715">
        <f t="shared" si="72"/>
        <v>0</v>
      </c>
      <c r="S370" s="361">
        <f t="shared" si="63"/>
        <v>0</v>
      </c>
    </row>
    <row r="371" spans="1:19">
      <c r="A371" s="3006"/>
      <c r="B371" s="717"/>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t="s">
        <v>3123</v>
      </c>
      <c r="Q371" s="24">
        <f t="shared" si="71"/>
        <v>1</v>
      </c>
      <c r="R371" s="715">
        <f t="shared" si="72"/>
        <v>0</v>
      </c>
      <c r="S371" s="361">
        <f t="shared" si="63"/>
        <v>0</v>
      </c>
    </row>
    <row r="372" spans="1:19">
      <c r="A372" s="3006"/>
      <c r="B372" s="717"/>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t="s">
        <v>3123</v>
      </c>
      <c r="Q372" s="24">
        <f t="shared" si="71"/>
        <v>1</v>
      </c>
      <c r="R372" s="715">
        <f t="shared" si="72"/>
        <v>0</v>
      </c>
      <c r="S372" s="361">
        <f t="shared" si="63"/>
        <v>0</v>
      </c>
    </row>
    <row r="373" spans="1:19">
      <c r="A373" s="3006"/>
      <c r="B373" s="717"/>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t="s">
        <v>3123</v>
      </c>
      <c r="Q373" s="24">
        <f t="shared" si="71"/>
        <v>1</v>
      </c>
      <c r="R373" s="715">
        <f t="shared" si="72"/>
        <v>0</v>
      </c>
      <c r="S373" s="361">
        <f t="shared" si="63"/>
        <v>0</v>
      </c>
    </row>
    <row r="374" spans="1:19">
      <c r="A374" s="3006"/>
      <c r="B374" s="717"/>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t="s">
        <v>3123</v>
      </c>
      <c r="Q374" s="24">
        <f t="shared" si="71"/>
        <v>1</v>
      </c>
      <c r="R374" s="715">
        <f t="shared" si="72"/>
        <v>0</v>
      </c>
      <c r="S374" s="361">
        <f t="shared" si="63"/>
        <v>0</v>
      </c>
    </row>
    <row r="375" spans="1:19">
      <c r="A375" s="3006"/>
      <c r="B375" s="717"/>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t="s">
        <v>3123</v>
      </c>
      <c r="Q375" s="24">
        <f t="shared" si="71"/>
        <v>1</v>
      </c>
      <c r="R375" s="715">
        <f t="shared" si="72"/>
        <v>0</v>
      </c>
      <c r="S375" s="361">
        <f t="shared" si="63"/>
        <v>0</v>
      </c>
    </row>
    <row r="376" spans="1:19">
      <c r="A376" s="3006"/>
      <c r="B376" s="717"/>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t="s">
        <v>3123</v>
      </c>
      <c r="Q376" s="24">
        <f t="shared" si="71"/>
        <v>1</v>
      </c>
      <c r="R376" s="715">
        <f t="shared" si="72"/>
        <v>0</v>
      </c>
      <c r="S376" s="361">
        <f t="shared" si="63"/>
        <v>0</v>
      </c>
    </row>
    <row r="377" spans="1:19">
      <c r="A377" s="3006"/>
      <c r="B377" s="717"/>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t="s">
        <v>3123</v>
      </c>
      <c r="Q377" s="24">
        <f t="shared" si="71"/>
        <v>1</v>
      </c>
      <c r="R377" s="715">
        <f t="shared" si="72"/>
        <v>0</v>
      </c>
      <c r="S377" s="361">
        <f t="shared" si="63"/>
        <v>0</v>
      </c>
    </row>
    <row r="378" spans="1:19">
      <c r="A378" s="3006"/>
      <c r="B378" s="717"/>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t="s">
        <v>3178</v>
      </c>
      <c r="Q378" s="24">
        <f t="shared" si="71"/>
        <v>0.85</v>
      </c>
      <c r="R378" s="715">
        <f t="shared" si="72"/>
        <v>0</v>
      </c>
      <c r="S378" s="361">
        <f t="shared" si="63"/>
        <v>0</v>
      </c>
    </row>
    <row r="379" spans="1:19">
      <c r="A379" s="3006"/>
      <c r="B379" s="717"/>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t="s">
        <v>3178</v>
      </c>
      <c r="Q379" s="24">
        <f t="shared" si="71"/>
        <v>0.85</v>
      </c>
      <c r="R379" s="715">
        <f t="shared" si="72"/>
        <v>0</v>
      </c>
      <c r="S379" s="361">
        <f t="shared" si="63"/>
        <v>0</v>
      </c>
    </row>
    <row r="380" spans="1:19">
      <c r="A380" s="3006"/>
      <c r="B380" s="717"/>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t="s">
        <v>3178</v>
      </c>
      <c r="Q380" s="24">
        <f t="shared" si="71"/>
        <v>0.85</v>
      </c>
      <c r="R380" s="715">
        <f t="shared" si="72"/>
        <v>0</v>
      </c>
      <c r="S380" s="361">
        <f t="shared" si="63"/>
        <v>0</v>
      </c>
    </row>
    <row r="381" spans="1:19">
      <c r="A381" s="3006"/>
      <c r="B381" s="717"/>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t="s">
        <v>3178</v>
      </c>
      <c r="Q381" s="24">
        <f t="shared" si="71"/>
        <v>0.85</v>
      </c>
      <c r="R381" s="715">
        <f t="shared" si="72"/>
        <v>0</v>
      </c>
      <c r="S381" s="361">
        <f t="shared" si="63"/>
        <v>0</v>
      </c>
    </row>
    <row r="382" spans="1:19">
      <c r="A382" s="3006"/>
      <c r="B382" s="717"/>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t="s">
        <v>3178</v>
      </c>
      <c r="Q382" s="24">
        <f t="shared" si="71"/>
        <v>0.85</v>
      </c>
      <c r="R382" s="715">
        <f t="shared" si="72"/>
        <v>0</v>
      </c>
      <c r="S382" s="361">
        <f t="shared" si="63"/>
        <v>0</v>
      </c>
    </row>
    <row r="383" spans="1:19">
      <c r="A383" s="3006"/>
      <c r="B383" s="717"/>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t="s">
        <v>3178</v>
      </c>
      <c r="Q383" s="24">
        <f t="shared" si="71"/>
        <v>0.85</v>
      </c>
      <c r="R383" s="715">
        <f t="shared" si="72"/>
        <v>0</v>
      </c>
      <c r="S383" s="361">
        <f t="shared" si="63"/>
        <v>0</v>
      </c>
    </row>
    <row r="384" spans="1:19">
      <c r="A384" s="3006"/>
      <c r="B384" s="717"/>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06"/>
      <c r="B385" s="717"/>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06"/>
      <c r="B386" s="717"/>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06"/>
      <c r="B387" s="717"/>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06"/>
      <c r="B388" s="717"/>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06"/>
      <c r="B389" s="717"/>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06"/>
      <c r="B390" s="717"/>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06"/>
      <c r="B391" s="717"/>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06"/>
      <c r="B392" s="717"/>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06"/>
      <c r="B393" s="717"/>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06"/>
      <c r="B394" s="717"/>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06"/>
      <c r="B395" s="717"/>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06"/>
      <c r="B396" s="717"/>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06"/>
      <c r="B397" s="717"/>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06"/>
      <c r="B398" s="717"/>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06"/>
      <c r="B399" s="717"/>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06"/>
      <c r="B400" s="717"/>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06"/>
      <c r="B401" s="717"/>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06"/>
      <c r="B402" s="717"/>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06"/>
      <c r="B403" s="717"/>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06"/>
      <c r="B404" s="717"/>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06"/>
      <c r="B405" s="717"/>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06"/>
      <c r="B406" s="717"/>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06"/>
      <c r="B407" s="717"/>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06"/>
      <c r="B408" s="717"/>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06"/>
      <c r="B409" s="717"/>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06"/>
      <c r="B410" s="717"/>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06"/>
      <c r="B411" s="717"/>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06"/>
      <c r="B412" s="717"/>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06"/>
      <c r="B413" s="717"/>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06"/>
      <c r="B414" s="717"/>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06"/>
      <c r="B415" s="717"/>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06"/>
      <c r="B416" s="717"/>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06"/>
      <c r="B417" s="717"/>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06"/>
      <c r="B418" s="717"/>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06"/>
      <c r="B419" s="717"/>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06"/>
      <c r="B420" s="717"/>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06"/>
      <c r="B421" s="717"/>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06"/>
      <c r="B422" s="717"/>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06"/>
      <c r="B423" s="717"/>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06"/>
      <c r="B424" s="717"/>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06"/>
      <c r="B425" s="717"/>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06"/>
      <c r="B426" s="717"/>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06"/>
      <c r="B427" s="717"/>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06"/>
      <c r="B428" s="717"/>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06"/>
      <c r="B429" s="717"/>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06"/>
      <c r="B430" s="717"/>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06"/>
      <c r="B431" s="717"/>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06"/>
      <c r="B432" s="717"/>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06"/>
      <c r="B433" s="717"/>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06"/>
      <c r="B434" s="717"/>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06"/>
      <c r="B435" s="717"/>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06"/>
      <c r="B436" s="717"/>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06"/>
      <c r="B437" s="717"/>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06"/>
      <c r="B438" s="717"/>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06"/>
      <c r="B439" s="717"/>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06"/>
      <c r="B440" s="717"/>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06"/>
      <c r="B441" s="717"/>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06"/>
      <c r="B442" s="717"/>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06"/>
      <c r="B443" s="717"/>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06"/>
      <c r="B444" s="717"/>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06"/>
      <c r="B445" s="717"/>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06"/>
      <c r="B446" s="717"/>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06"/>
      <c r="B447" s="717"/>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06"/>
      <c r="B448" s="717"/>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06"/>
      <c r="B449" s="717"/>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06"/>
      <c r="B450" s="717"/>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06"/>
      <c r="B451" s="717"/>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06"/>
      <c r="B452" s="717"/>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06"/>
      <c r="B453" s="717"/>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06"/>
      <c r="B454" s="717"/>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06"/>
      <c r="B455" s="717"/>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06"/>
      <c r="B456" s="717"/>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06"/>
      <c r="B457" s="717"/>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06"/>
      <c r="B458" s="717"/>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06"/>
      <c r="B459" s="717"/>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06"/>
      <c r="B460" s="717"/>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06"/>
      <c r="B461" s="717"/>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06"/>
      <c r="B462" s="717"/>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06"/>
      <c r="B463" s="717"/>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06"/>
      <c r="B464" s="717"/>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06"/>
      <c r="B465" s="717"/>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06"/>
      <c r="B466" s="717"/>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06"/>
      <c r="B467" s="717"/>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06"/>
      <c r="B468" s="717"/>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06"/>
      <c r="B469" s="717"/>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06"/>
      <c r="B470" s="717"/>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963"/>
      <c r="B4" s="3035" t="s">
        <v>1629</v>
      </c>
      <c r="C4" s="3035"/>
      <c r="D4" s="3035"/>
      <c r="E4" s="1963"/>
    </row>
    <row r="5" spans="1:5" ht="16.5" thickTop="1">
      <c r="A5" s="1961"/>
      <c r="B5" s="3033" t="s">
        <v>1621</v>
      </c>
      <c r="C5" s="1964" t="s">
        <v>1622</v>
      </c>
      <c r="D5" s="1042">
        <f ca="1">结果表!H101</f>
        <v>190</v>
      </c>
      <c r="E5" s="1961"/>
    </row>
    <row r="6" spans="1:5" ht="15.75">
      <c r="A6" s="1961"/>
      <c r="B6" s="3033"/>
      <c r="C6" s="1964" t="s">
        <v>1623</v>
      </c>
      <c r="D6" s="1042" t="str">
        <f ca="1">NUMBERSTRING(INT(D5*10000),2)&amp;"元整"</f>
        <v>壹佰玖拾万元整</v>
      </c>
      <c r="E6" s="1961"/>
    </row>
    <row r="7" spans="1:5" ht="15.75">
      <c r="A7" s="1961"/>
      <c r="B7" s="3038"/>
      <c r="C7" s="1965" t="s">
        <v>1624</v>
      </c>
      <c r="D7" s="1043">
        <f ca="1">结果表!H102</f>
        <v>33322</v>
      </c>
      <c r="E7" s="1961"/>
    </row>
    <row r="8" spans="1:5" ht="15.75">
      <c r="A8" s="1961"/>
      <c r="B8" s="3039" t="str">
        <f>结果表!E103</f>
        <v>2.估价师知悉的法定优先受偿款</v>
      </c>
      <c r="C8" s="1966" t="s">
        <v>1625</v>
      </c>
      <c r="D8" s="1043">
        <f>结果表!H103</f>
        <v>0</v>
      </c>
      <c r="E8" s="1961"/>
    </row>
    <row r="9" spans="1:5" ht="15.75">
      <c r="A9" s="1961"/>
      <c r="B9" s="304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2" t="str">
        <f>结果表!E107</f>
        <v>3.房地产抵押价值</v>
      </c>
      <c r="C13" s="1969" t="s">
        <v>1622</v>
      </c>
      <c r="D13" s="1045">
        <f ca="1">结果表!H107</f>
        <v>190</v>
      </c>
      <c r="E13" s="1961"/>
    </row>
    <row r="14" spans="1:5" ht="15.75">
      <c r="A14" s="1961"/>
      <c r="B14" s="3033"/>
      <c r="C14" s="1964" t="s">
        <v>1623</v>
      </c>
      <c r="D14" s="1042" t="str">
        <f ca="1">NUMBERSTRING(INT(D13*10000),2)&amp;"元整"</f>
        <v>壹佰玖拾万元整</v>
      </c>
      <c r="E14" s="1961"/>
    </row>
    <row r="15" spans="1:5" ht="15">
      <c r="A15" s="1961"/>
      <c r="B15" s="3038"/>
      <c r="C15" s="1965" t="s">
        <v>1633</v>
      </c>
      <c r="D15" s="1054">
        <f ca="1">结果表!H108</f>
        <v>178</v>
      </c>
      <c r="E15" s="1961"/>
    </row>
    <row r="16" spans="1:5" ht="15">
      <c r="A16" s="1961"/>
      <c r="B16" s="3039" t="str">
        <f>结果表!E109</f>
        <v>——</v>
      </c>
      <c r="C16" s="1969" t="s">
        <v>1634</v>
      </c>
      <c r="D16" s="1970" t="str">
        <f>结果表!H109</f>
        <v>——</v>
      </c>
      <c r="E16" s="1961"/>
    </row>
    <row r="17" spans="1:5" ht="15.75">
      <c r="A17" s="1961"/>
      <c r="B17" s="3040"/>
      <c r="C17" s="1964" t="s">
        <v>1635</v>
      </c>
      <c r="D17" s="1042" t="e">
        <f>NUMBERSTRING(INT(D16*10000),2)&amp;"元整"</f>
        <v>#VALUE!</v>
      </c>
      <c r="E17" s="1961"/>
    </row>
    <row r="18" spans="1:5" ht="15">
      <c r="A18" s="1961"/>
      <c r="B18" s="3041"/>
      <c r="C18" s="1965" t="s">
        <v>1624</v>
      </c>
      <c r="D18" s="1054" t="str">
        <f>结果表!H110</f>
        <v>——</v>
      </c>
      <c r="E18" s="1961"/>
    </row>
    <row r="19" spans="1:5" ht="15.75">
      <c r="A19" s="1961"/>
      <c r="B19" s="3032" t="str">
        <f>结果表!E111</f>
        <v>——</v>
      </c>
      <c r="C19" s="1969" t="s">
        <v>1622</v>
      </c>
      <c r="D19" s="1043" t="str">
        <f>结果表!H111</f>
        <v>——</v>
      </c>
      <c r="E19" s="1961"/>
    </row>
    <row r="20" spans="1:5" ht="15.75">
      <c r="A20" s="1961"/>
      <c r="B20" s="3033"/>
      <c r="C20" s="1964" t="s">
        <v>1635</v>
      </c>
      <c r="D20" s="1042" t="e">
        <f>NUMBERSTRING(INT(D19*10000),2)&amp;"元整"</f>
        <v>#VALUE!</v>
      </c>
      <c r="E20" s="1961"/>
    </row>
    <row r="21" spans="1:5" ht="15.75" thickBot="1">
      <c r="A21" s="1961"/>
      <c r="B21" s="303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36806</v>
      </c>
      <c r="C2" s="2" t="s">
        <v>133</v>
      </c>
      <c r="D2" s="243"/>
      <c r="E2" s="243"/>
      <c r="F2" s="243"/>
      <c r="G2" s="243"/>
    </row>
    <row r="3" spans="1:7" s="244" customFormat="1" ht="18" customHeight="1" thickBot="1">
      <c r="A3" s="247" t="s">
        <v>85</v>
      </c>
      <c r="B3" s="248">
        <f ca="1">ROUND(B2*10000/'数据-汇总表'!E3,0)</f>
        <v>34565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128</v>
      </c>
      <c r="D10" s="1034">
        <f>'数据-汇总表'!E6</f>
        <v>10648.409999999993</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213</v>
      </c>
      <c r="D19" s="1038">
        <f>'数据-汇总表'!E3</f>
        <v>10648.409999999993</v>
      </c>
      <c r="E19" s="255">
        <f>'数据-取费表'!B31</f>
        <v>200</v>
      </c>
      <c r="F19" s="275"/>
      <c r="G19" s="1" t="s">
        <v>1074</v>
      </c>
    </row>
    <row r="20" spans="1:7" s="258" customFormat="1" ht="13.5" customHeight="1">
      <c r="A20" s="950" t="s">
        <v>1057</v>
      </c>
      <c r="B20" s="254" t="s">
        <v>104</v>
      </c>
      <c r="C20" s="276">
        <f>ROUND((C5+C19)*F20,0)</f>
        <v>416</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2586</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5310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5310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3551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3194</v>
      </c>
      <c r="D34" s="261"/>
      <c r="E34" s="264"/>
      <c r="F34" s="301">
        <f>IF('数据-取费表'!B24=0,1,'数据-取费表'!N16)</f>
        <v>1</v>
      </c>
      <c r="G34" s="263" t="s">
        <v>116</v>
      </c>
    </row>
    <row r="35" spans="1:7" ht="13.5" customHeight="1">
      <c r="A35" s="953" t="s">
        <v>796</v>
      </c>
      <c r="B35" s="259" t="s">
        <v>60</v>
      </c>
      <c r="C35" s="264">
        <f>ROUND(C34*F35,0)</f>
        <v>96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213</v>
      </c>
      <c r="D37" s="261">
        <f>'数据-汇总表'!E3</f>
        <v>10648.409999999993</v>
      </c>
      <c r="E37" s="293">
        <f>'数据-取费表'!B35</f>
        <v>200</v>
      </c>
      <c r="F37" s="303"/>
      <c r="G37" s="305" t="s">
        <v>119</v>
      </c>
    </row>
    <row r="38" spans="1:7" ht="13.5" customHeight="1">
      <c r="A38" s="953" t="s">
        <v>799</v>
      </c>
      <c r="B38" s="259" t="s">
        <v>63</v>
      </c>
      <c r="C38" s="264">
        <f>ROUND(C34*F38,0)</f>
        <v>48</v>
      </c>
      <c r="D38" s="264"/>
      <c r="E38" s="264"/>
      <c r="F38" s="303">
        <f>'数据-取费表'!B36</f>
        <v>1.4999999999999999E-2</v>
      </c>
      <c r="G38" s="263" t="s">
        <v>117</v>
      </c>
    </row>
    <row r="39" spans="1:7" s="258" customFormat="1" ht="13.5" customHeight="1">
      <c r="A39" s="950" t="s">
        <v>783</v>
      </c>
      <c r="B39" s="254" t="s">
        <v>104</v>
      </c>
      <c r="C39" s="276">
        <f>ROUND(C33*F20,0)</f>
        <v>71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216</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212</v>
      </c>
      <c r="D42" s="282"/>
      <c r="E42" s="282"/>
      <c r="F42" s="283"/>
      <c r="G42" s="3217" t="s">
        <v>121</v>
      </c>
    </row>
    <row r="43" spans="1:7" ht="13.5" customHeight="1">
      <c r="A43" s="953" t="s">
        <v>792</v>
      </c>
      <c r="B43" s="259" t="s">
        <v>1064</v>
      </c>
      <c r="C43" s="282">
        <f ca="1">ROUND(IF('数据-取费表'!B22&lt;=1,C39*F22*'数据-取费表'!B21/2,C39*(POWER((1+F22),'数据-取费表'!B21/2)-1)),0)</f>
        <v>4</v>
      </c>
      <c r="D43" s="282"/>
      <c r="E43" s="282"/>
      <c r="F43" s="283"/>
      <c r="G43" s="3218"/>
    </row>
    <row r="44" spans="1:7" ht="13.5" customHeight="1">
      <c r="A44" s="953" t="s">
        <v>793</v>
      </c>
      <c r="B44" s="259" t="s">
        <v>1066</v>
      </c>
      <c r="C44" s="282">
        <f ca="1">ROUND(IF('数据-取费表'!B22&lt;=1,C40*F22*'数据-取费表'!B21/2,C40*(POWER((1+F22),'数据-取费表'!B21/2)-1)),4)</f>
        <v>1.1999999999999999E-3</v>
      </c>
      <c r="D44" s="282"/>
      <c r="E44" s="282"/>
      <c r="F44" s="283"/>
      <c r="G44" s="3219"/>
    </row>
    <row r="45" spans="1:7" s="258" customFormat="1" ht="13.5" customHeight="1">
      <c r="A45" s="950" t="s">
        <v>786</v>
      </c>
      <c r="B45" s="288" t="s">
        <v>112</v>
      </c>
      <c r="C45" s="289">
        <f>C46</f>
        <v>906</v>
      </c>
      <c r="D45" s="279">
        <f>C47</f>
        <v>5.0000000000000001E-3</v>
      </c>
      <c r="E45" s="280" t="s">
        <v>129</v>
      </c>
      <c r="F45" s="290"/>
      <c r="G45" s="291" t="s">
        <v>1072</v>
      </c>
    </row>
    <row r="46" spans="1:7" s="258" customFormat="1" ht="13.5" customHeight="1">
      <c r="A46" s="953" t="s">
        <v>794</v>
      </c>
      <c r="B46" s="292" t="s">
        <v>1065</v>
      </c>
      <c r="C46" s="293">
        <f>ROUND((C33+C39)*F27,0)</f>
        <v>906</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5154</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36806</v>
      </c>
      <c r="D52" s="310"/>
      <c r="E52" s="310"/>
      <c r="F52" s="310"/>
      <c r="G52" s="312"/>
    </row>
    <row r="55" spans="1:7" ht="15">
      <c r="B55" s="314" t="s">
        <v>66</v>
      </c>
      <c r="C55" s="315"/>
    </row>
    <row r="56" spans="1:7">
      <c r="B56" s="317" t="s">
        <v>67</v>
      </c>
      <c r="C56" s="318">
        <f ca="1">ROUND(C51/C52,3)</f>
        <v>0.14000000000000001</v>
      </c>
    </row>
    <row r="57" spans="1:7">
      <c r="B57" s="317" t="s">
        <v>68</v>
      </c>
      <c r="C57" s="319">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6" t="s">
        <v>156</v>
      </c>
      <c r="B1" s="3356"/>
      <c r="C1" s="3356"/>
      <c r="D1" s="3356"/>
      <c r="E1" s="3356"/>
      <c r="F1" s="335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7" t="s">
        <v>169</v>
      </c>
      <c r="B2" s="3357"/>
      <c r="C2" s="3357"/>
      <c r="D2" s="3357"/>
      <c r="E2" s="3357"/>
      <c r="F2" s="335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6" t="s">
        <v>871</v>
      </c>
      <c r="B1" s="335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workbookViewId="0">
      <selection activeCell="C3" sqref="C3"/>
    </sheetView>
  </sheetViews>
  <sheetFormatPr defaultRowHeight="13.5"/>
  <cols>
    <col min="1" max="2" width="9" style="1637"/>
    <col min="3" max="3" width="14.375" style="1637" customWidth="1"/>
    <col min="4" max="4" width="9" style="1637"/>
    <col min="5" max="5" width="12" style="1637" bestFit="1" customWidth="1"/>
    <col min="6" max="6" width="9" style="1637"/>
    <col min="7" max="7" width="11.5" style="1637" customWidth="1"/>
    <col min="8" max="16384" width="9" style="1637"/>
  </cols>
  <sheetData>
    <row r="1" spans="1:11" ht="22.5">
      <c r="A1" s="3360" t="s">
        <v>3179</v>
      </c>
      <c r="B1" s="3360"/>
      <c r="C1" s="3360"/>
      <c r="D1" s="3360"/>
      <c r="E1" s="3360"/>
      <c r="F1" s="3360"/>
      <c r="G1" s="3360"/>
      <c r="H1" s="3360"/>
      <c r="I1" s="3360"/>
      <c r="J1" s="3360"/>
      <c r="K1" s="3360"/>
    </row>
    <row r="2" spans="1:11" s="2999" customFormat="1" ht="14.25">
      <c r="A2" s="2996" t="s">
        <v>3066</v>
      </c>
      <c r="B2" s="2997" t="s">
        <v>3161</v>
      </c>
      <c r="C2" s="2997" t="s">
        <v>3162</v>
      </c>
      <c r="D2" s="2997" t="s">
        <v>3163</v>
      </c>
      <c r="E2" s="2997" t="s">
        <v>3164</v>
      </c>
      <c r="F2" s="2997" t="s">
        <v>3165</v>
      </c>
      <c r="G2" s="2997" t="s">
        <v>3166</v>
      </c>
      <c r="H2" s="2998" t="s">
        <v>3167</v>
      </c>
      <c r="I2" s="2998" t="s">
        <v>3168</v>
      </c>
      <c r="J2" s="2998" t="s">
        <v>3169</v>
      </c>
      <c r="K2" s="2998" t="s">
        <v>3170</v>
      </c>
    </row>
    <row r="3" spans="1:11">
      <c r="A3" s="3000">
        <v>1</v>
      </c>
      <c r="B3" s="3361" t="s">
        <v>3180</v>
      </c>
      <c r="C3" s="3022" t="s">
        <v>3256</v>
      </c>
      <c r="D3" s="3001" t="s">
        <v>3171</v>
      </c>
      <c r="E3" s="3001">
        <v>57.02</v>
      </c>
      <c r="F3" s="3000">
        <v>21000</v>
      </c>
      <c r="G3" s="3002">
        <f>E3*F3/10000</f>
        <v>119.742</v>
      </c>
      <c r="H3" s="3003"/>
      <c r="I3" s="3004">
        <v>1</v>
      </c>
      <c r="J3" s="3003"/>
      <c r="K3" s="3003"/>
    </row>
    <row r="4" spans="1:11">
      <c r="A4" s="3000">
        <v>2</v>
      </c>
      <c r="B4" s="3362"/>
      <c r="C4" s="3001" t="s">
        <v>3181</v>
      </c>
      <c r="D4" s="3001" t="s">
        <v>3171</v>
      </c>
      <c r="E4" s="3001">
        <v>143.07</v>
      </c>
      <c r="F4" s="3000">
        <v>21000</v>
      </c>
      <c r="G4" s="3002">
        <f t="shared" ref="G4:G68" si="0">E4*F4/10000</f>
        <v>300.447</v>
      </c>
      <c r="H4" s="3003"/>
      <c r="I4" s="3004">
        <v>1</v>
      </c>
      <c r="J4" s="3003"/>
      <c r="K4" s="3003"/>
    </row>
    <row r="5" spans="1:11">
      <c r="A5" s="3000">
        <v>3</v>
      </c>
      <c r="B5" s="3362"/>
      <c r="C5" s="3001" t="s">
        <v>3182</v>
      </c>
      <c r="D5" s="3001" t="s">
        <v>3171</v>
      </c>
      <c r="E5" s="3001">
        <v>168.4</v>
      </c>
      <c r="F5" s="3000">
        <v>21000</v>
      </c>
      <c r="G5" s="3002">
        <f t="shared" si="0"/>
        <v>353.64</v>
      </c>
      <c r="H5" s="3003"/>
      <c r="I5" s="3004">
        <v>1</v>
      </c>
      <c r="J5" s="3003"/>
      <c r="K5" s="3003"/>
    </row>
    <row r="6" spans="1:11">
      <c r="A6" s="3000">
        <v>4</v>
      </c>
      <c r="B6" s="3362"/>
      <c r="C6" s="3001" t="s">
        <v>3183</v>
      </c>
      <c r="D6" s="3001" t="s">
        <v>3171</v>
      </c>
      <c r="E6" s="3001">
        <v>168.33</v>
      </c>
      <c r="F6" s="3000">
        <v>21000</v>
      </c>
      <c r="G6" s="3002">
        <f t="shared" si="0"/>
        <v>353.49300000000005</v>
      </c>
      <c r="H6" s="3003"/>
      <c r="I6" s="3004">
        <v>1</v>
      </c>
      <c r="J6" s="3003"/>
      <c r="K6" s="3003"/>
    </row>
    <row r="7" spans="1:11">
      <c r="A7" s="3000">
        <v>5</v>
      </c>
      <c r="B7" s="3362"/>
      <c r="C7" s="3001" t="s">
        <v>3184</v>
      </c>
      <c r="D7" s="3001" t="s">
        <v>3171</v>
      </c>
      <c r="E7" s="3001">
        <v>209.46</v>
      </c>
      <c r="F7" s="3000">
        <v>21000</v>
      </c>
      <c r="G7" s="3002">
        <f t="shared" si="0"/>
        <v>439.86599999999999</v>
      </c>
      <c r="H7" s="3003"/>
      <c r="I7" s="3004">
        <v>1</v>
      </c>
      <c r="J7" s="3003"/>
      <c r="K7" s="3003"/>
    </row>
    <row r="8" spans="1:11">
      <c r="A8" s="3000">
        <v>6</v>
      </c>
      <c r="B8" s="3362"/>
      <c r="C8" s="3001" t="s">
        <v>3185</v>
      </c>
      <c r="D8" s="3001" t="s">
        <v>3171</v>
      </c>
      <c r="E8" s="3001">
        <v>107.74</v>
      </c>
      <c r="F8" s="3000">
        <v>21000</v>
      </c>
      <c r="G8" s="3002">
        <f t="shared" si="0"/>
        <v>226.25399999999999</v>
      </c>
      <c r="H8" s="3003"/>
      <c r="I8" s="3004">
        <v>1</v>
      </c>
      <c r="J8" s="3003"/>
      <c r="K8" s="3003"/>
    </row>
    <row r="9" spans="1:11">
      <c r="A9" s="3000">
        <v>7</v>
      </c>
      <c r="B9" s="3362"/>
      <c r="C9" s="3001" t="s">
        <v>3186</v>
      </c>
      <c r="D9" s="3001" t="s">
        <v>3171</v>
      </c>
      <c r="E9" s="3001">
        <v>68.72</v>
      </c>
      <c r="F9" s="3000">
        <v>21000</v>
      </c>
      <c r="G9" s="3002">
        <f t="shared" si="0"/>
        <v>144.31200000000001</v>
      </c>
      <c r="H9" s="3003"/>
      <c r="I9" s="3004">
        <v>1</v>
      </c>
      <c r="J9" s="3003"/>
      <c r="K9" s="3003"/>
    </row>
    <row r="10" spans="1:11">
      <c r="A10" s="3000">
        <v>8</v>
      </c>
      <c r="B10" s="3362"/>
      <c r="C10" s="3001" t="s">
        <v>3187</v>
      </c>
      <c r="D10" s="3001" t="s">
        <v>3171</v>
      </c>
      <c r="E10" s="3001">
        <v>130.91999999999999</v>
      </c>
      <c r="F10" s="3000">
        <v>21000</v>
      </c>
      <c r="G10" s="3002">
        <f t="shared" si="0"/>
        <v>274.93199999999996</v>
      </c>
      <c r="H10" s="3003"/>
      <c r="I10" s="3004">
        <v>1</v>
      </c>
      <c r="J10" s="3003"/>
      <c r="K10" s="3003"/>
    </row>
    <row r="11" spans="1:11">
      <c r="A11" s="3000">
        <v>9</v>
      </c>
      <c r="B11" s="3362"/>
      <c r="C11" s="3001" t="s">
        <v>3188</v>
      </c>
      <c r="D11" s="3001" t="s">
        <v>3171</v>
      </c>
      <c r="E11" s="3001">
        <v>90.4</v>
      </c>
      <c r="F11" s="3000">
        <v>21000</v>
      </c>
      <c r="G11" s="3002">
        <f t="shared" si="0"/>
        <v>189.84000000000003</v>
      </c>
      <c r="H11" s="3003"/>
      <c r="I11" s="3004">
        <v>1</v>
      </c>
      <c r="J11" s="3003"/>
      <c r="K11" s="3003"/>
    </row>
    <row r="12" spans="1:11">
      <c r="A12" s="3000">
        <v>10</v>
      </c>
      <c r="B12" s="3362"/>
      <c r="C12" s="3001" t="s">
        <v>3189</v>
      </c>
      <c r="D12" s="3001" t="s">
        <v>3171</v>
      </c>
      <c r="E12" s="3001">
        <v>90.4</v>
      </c>
      <c r="F12" s="3000">
        <v>21000</v>
      </c>
      <c r="G12" s="3002">
        <f t="shared" si="0"/>
        <v>189.84000000000003</v>
      </c>
      <c r="H12" s="3003"/>
      <c r="I12" s="3004">
        <v>1</v>
      </c>
      <c r="J12" s="3003"/>
      <c r="K12" s="3003"/>
    </row>
    <row r="13" spans="1:11">
      <c r="A13" s="3000">
        <v>11</v>
      </c>
      <c r="B13" s="3362"/>
      <c r="C13" s="3001" t="s">
        <v>3190</v>
      </c>
      <c r="D13" s="3001" t="s">
        <v>3171</v>
      </c>
      <c r="E13" s="3001">
        <v>90.4</v>
      </c>
      <c r="F13" s="3000">
        <v>21000</v>
      </c>
      <c r="G13" s="3002">
        <f t="shared" si="0"/>
        <v>189.84000000000003</v>
      </c>
      <c r="H13" s="3003"/>
      <c r="I13" s="3004">
        <v>1</v>
      </c>
      <c r="J13" s="3003"/>
      <c r="K13" s="3003"/>
    </row>
    <row r="14" spans="1:11">
      <c r="A14" s="3000">
        <v>12</v>
      </c>
      <c r="B14" s="3362"/>
      <c r="C14" s="3001" t="s">
        <v>3191</v>
      </c>
      <c r="D14" s="3001" t="s">
        <v>3171</v>
      </c>
      <c r="E14" s="3001">
        <v>150.36000000000001</v>
      </c>
      <c r="F14" s="3000">
        <v>21000</v>
      </c>
      <c r="G14" s="3002">
        <f t="shared" si="0"/>
        <v>315.75600000000003</v>
      </c>
      <c r="H14" s="3003"/>
      <c r="I14" s="3004">
        <v>1</v>
      </c>
      <c r="J14" s="3003"/>
      <c r="K14" s="3003"/>
    </row>
    <row r="15" spans="1:11">
      <c r="A15" s="3000">
        <v>13</v>
      </c>
      <c r="B15" s="3362"/>
      <c r="C15" s="3001" t="s">
        <v>3192</v>
      </c>
      <c r="D15" s="3001" t="s">
        <v>3171</v>
      </c>
      <c r="E15" s="3001">
        <v>273.7</v>
      </c>
      <c r="F15" s="3000">
        <v>21000</v>
      </c>
      <c r="G15" s="3002">
        <f t="shared" si="0"/>
        <v>574.77</v>
      </c>
      <c r="H15" s="3003"/>
      <c r="I15" s="3004">
        <v>1</v>
      </c>
      <c r="J15" s="3003"/>
      <c r="K15" s="3003"/>
    </row>
    <row r="16" spans="1:11">
      <c r="A16" s="3000">
        <v>14</v>
      </c>
      <c r="B16" s="3362"/>
      <c r="C16" s="3001" t="s">
        <v>3193</v>
      </c>
      <c r="D16" s="3001" t="s">
        <v>3171</v>
      </c>
      <c r="E16" s="3001">
        <v>227.96</v>
      </c>
      <c r="F16" s="3000">
        <v>21000</v>
      </c>
      <c r="G16" s="3002">
        <f t="shared" si="0"/>
        <v>478.71600000000001</v>
      </c>
      <c r="H16" s="3003"/>
      <c r="I16" s="3004">
        <v>1</v>
      </c>
      <c r="J16" s="3003"/>
      <c r="K16" s="3003"/>
    </row>
    <row r="17" spans="1:11">
      <c r="A17" s="3000">
        <v>15</v>
      </c>
      <c r="B17" s="3362"/>
      <c r="C17" s="3001" t="s">
        <v>3194</v>
      </c>
      <c r="D17" s="3001" t="s">
        <v>3171</v>
      </c>
      <c r="E17" s="3001">
        <v>125.85</v>
      </c>
      <c r="F17" s="3000">
        <v>21000</v>
      </c>
      <c r="G17" s="3002">
        <f t="shared" si="0"/>
        <v>264.28500000000003</v>
      </c>
      <c r="H17" s="3003"/>
      <c r="I17" s="3004">
        <v>1</v>
      </c>
      <c r="J17" s="3003"/>
      <c r="K17" s="3003"/>
    </row>
    <row r="18" spans="1:11">
      <c r="A18" s="3000">
        <v>16</v>
      </c>
      <c r="B18" s="3362"/>
      <c r="C18" s="3001" t="s">
        <v>3195</v>
      </c>
      <c r="D18" s="3001" t="s">
        <v>3171</v>
      </c>
      <c r="E18" s="3001">
        <v>88.49</v>
      </c>
      <c r="F18" s="3000">
        <v>21000</v>
      </c>
      <c r="G18" s="3002">
        <f t="shared" si="0"/>
        <v>185.82900000000001</v>
      </c>
      <c r="H18" s="3003"/>
      <c r="I18" s="3004">
        <v>1</v>
      </c>
      <c r="J18" s="3003"/>
      <c r="K18" s="3003"/>
    </row>
    <row r="19" spans="1:11">
      <c r="A19" s="3000">
        <v>17</v>
      </c>
      <c r="B19" s="3362"/>
      <c r="C19" s="3001" t="s">
        <v>3196</v>
      </c>
      <c r="D19" s="3001" t="s">
        <v>3171</v>
      </c>
      <c r="E19" s="3001">
        <v>88.49</v>
      </c>
      <c r="F19" s="3000">
        <v>21000</v>
      </c>
      <c r="G19" s="3002">
        <f t="shared" si="0"/>
        <v>185.82900000000001</v>
      </c>
      <c r="H19" s="3003"/>
      <c r="I19" s="3004">
        <v>1</v>
      </c>
      <c r="J19" s="3003"/>
      <c r="K19" s="3003"/>
    </row>
    <row r="20" spans="1:11">
      <c r="A20" s="3000">
        <v>18</v>
      </c>
      <c r="B20" s="3362"/>
      <c r="C20" s="3001" t="s">
        <v>3197</v>
      </c>
      <c r="D20" s="3001" t="s">
        <v>3171</v>
      </c>
      <c r="E20" s="3001">
        <v>88.49</v>
      </c>
      <c r="F20" s="3000">
        <v>21000</v>
      </c>
      <c r="G20" s="3002">
        <f t="shared" si="0"/>
        <v>185.82900000000001</v>
      </c>
      <c r="H20" s="3003"/>
      <c r="I20" s="3004">
        <v>1</v>
      </c>
      <c r="J20" s="3003"/>
      <c r="K20" s="3003"/>
    </row>
    <row r="21" spans="1:11">
      <c r="A21" s="3000">
        <v>19</v>
      </c>
      <c r="B21" s="3362"/>
      <c r="C21" s="3001" t="s">
        <v>3198</v>
      </c>
      <c r="D21" s="3001" t="s">
        <v>3171</v>
      </c>
      <c r="E21" s="3001">
        <v>126.83</v>
      </c>
      <c r="F21" s="3000">
        <v>21000</v>
      </c>
      <c r="G21" s="3002">
        <f t="shared" si="0"/>
        <v>266.34300000000002</v>
      </c>
      <c r="H21" s="3003"/>
      <c r="I21" s="3004">
        <v>1</v>
      </c>
      <c r="J21" s="3003"/>
      <c r="K21" s="3003"/>
    </row>
    <row r="22" spans="1:11">
      <c r="A22" s="3000">
        <v>20</v>
      </c>
      <c r="B22" s="3362"/>
      <c r="C22" s="3001" t="s">
        <v>3199</v>
      </c>
      <c r="D22" s="3001" t="s">
        <v>3171</v>
      </c>
      <c r="E22" s="3001">
        <v>178.19</v>
      </c>
      <c r="F22" s="3000">
        <v>21000</v>
      </c>
      <c r="G22" s="3002">
        <f t="shared" si="0"/>
        <v>374.19900000000001</v>
      </c>
      <c r="H22" s="3003"/>
      <c r="I22" s="3004">
        <v>1</v>
      </c>
      <c r="J22" s="3003"/>
      <c r="K22" s="3003"/>
    </row>
    <row r="23" spans="1:11">
      <c r="A23" s="3000">
        <v>21</v>
      </c>
      <c r="B23" s="3362"/>
      <c r="C23" s="3001" t="s">
        <v>3200</v>
      </c>
      <c r="D23" s="3001" t="s">
        <v>3171</v>
      </c>
      <c r="E23" s="3001">
        <v>46.41</v>
      </c>
      <c r="F23" s="3000">
        <v>21000</v>
      </c>
      <c r="G23" s="3002">
        <f t="shared" si="0"/>
        <v>97.460999999999984</v>
      </c>
      <c r="H23" s="3003"/>
      <c r="I23" s="3004">
        <v>1</v>
      </c>
      <c r="J23" s="3003"/>
      <c r="K23" s="3003"/>
    </row>
    <row r="24" spans="1:11">
      <c r="A24" s="3000">
        <v>22</v>
      </c>
      <c r="B24" s="3362"/>
      <c r="C24" s="3001" t="s">
        <v>3201</v>
      </c>
      <c r="D24" s="3001" t="s">
        <v>3171</v>
      </c>
      <c r="E24" s="3001">
        <v>126.83</v>
      </c>
      <c r="F24" s="3000">
        <v>21000</v>
      </c>
      <c r="G24" s="3002">
        <f t="shared" si="0"/>
        <v>266.34300000000002</v>
      </c>
      <c r="H24" s="3003"/>
      <c r="I24" s="3004">
        <v>1</v>
      </c>
      <c r="J24" s="3003"/>
      <c r="K24" s="3003"/>
    </row>
    <row r="25" spans="1:11">
      <c r="A25" s="3000">
        <v>23</v>
      </c>
      <c r="B25" s="3362"/>
      <c r="C25" s="3001" t="s">
        <v>3202</v>
      </c>
      <c r="D25" s="3001" t="s">
        <v>3171</v>
      </c>
      <c r="E25" s="3001">
        <v>179.76</v>
      </c>
      <c r="F25" s="3000">
        <v>21000</v>
      </c>
      <c r="G25" s="3002">
        <f t="shared" si="0"/>
        <v>377.49599999999998</v>
      </c>
      <c r="H25" s="3003"/>
      <c r="I25" s="3004">
        <v>1</v>
      </c>
      <c r="J25" s="3003"/>
      <c r="K25" s="3003"/>
    </row>
    <row r="26" spans="1:11">
      <c r="A26" s="3000">
        <v>24</v>
      </c>
      <c r="B26" s="3362"/>
      <c r="C26" s="3001" t="s">
        <v>3203</v>
      </c>
      <c r="D26" s="3001" t="s">
        <v>3171</v>
      </c>
      <c r="E26" s="3001">
        <v>16.760000000000002</v>
      </c>
      <c r="F26" s="3000">
        <v>21000</v>
      </c>
      <c r="G26" s="3002">
        <f t="shared" si="0"/>
        <v>35.196000000000005</v>
      </c>
      <c r="H26" s="3003"/>
      <c r="I26" s="3004">
        <v>1</v>
      </c>
      <c r="J26" s="3003"/>
      <c r="K26" s="3003"/>
    </row>
    <row r="27" spans="1:11">
      <c r="A27" s="3000">
        <v>25</v>
      </c>
      <c r="B27" s="3362"/>
      <c r="C27" s="3001" t="s">
        <v>3204</v>
      </c>
      <c r="D27" s="3001" t="s">
        <v>3171</v>
      </c>
      <c r="E27" s="3001">
        <v>36.19</v>
      </c>
      <c r="F27" s="3000">
        <v>21000</v>
      </c>
      <c r="G27" s="3002">
        <f t="shared" si="0"/>
        <v>75.998999999999995</v>
      </c>
      <c r="H27" s="3003"/>
      <c r="I27" s="3004">
        <v>1</v>
      </c>
      <c r="J27" s="3003"/>
      <c r="K27" s="3003"/>
    </row>
    <row r="28" spans="1:11">
      <c r="A28" s="3000">
        <v>26</v>
      </c>
      <c r="B28" s="3362"/>
      <c r="C28" s="3001" t="s">
        <v>3205</v>
      </c>
      <c r="D28" s="3001" t="s">
        <v>3171</v>
      </c>
      <c r="E28" s="3001">
        <v>60.54</v>
      </c>
      <c r="F28" s="3000">
        <v>21000</v>
      </c>
      <c r="G28" s="3002">
        <f t="shared" si="0"/>
        <v>127.134</v>
      </c>
      <c r="H28" s="3003"/>
      <c r="I28" s="3004">
        <v>1</v>
      </c>
      <c r="J28" s="3003"/>
      <c r="K28" s="3003"/>
    </row>
    <row r="29" spans="1:11">
      <c r="A29" s="3000">
        <v>27</v>
      </c>
      <c r="B29" s="3362"/>
      <c r="C29" s="3001" t="s">
        <v>3206</v>
      </c>
      <c r="D29" s="3001" t="s">
        <v>3171</v>
      </c>
      <c r="E29" s="3001">
        <v>143.74</v>
      </c>
      <c r="F29" s="3000">
        <v>21000</v>
      </c>
      <c r="G29" s="3002">
        <f t="shared" si="0"/>
        <v>301.85399999999998</v>
      </c>
      <c r="H29" s="3003"/>
      <c r="I29" s="3004">
        <v>1</v>
      </c>
      <c r="J29" s="3003"/>
      <c r="K29" s="3003"/>
    </row>
    <row r="30" spans="1:11">
      <c r="A30" s="3000">
        <v>28</v>
      </c>
      <c r="B30" s="3362"/>
      <c r="C30" s="3001" t="s">
        <v>3207</v>
      </c>
      <c r="D30" s="3001" t="s">
        <v>3171</v>
      </c>
      <c r="E30" s="3001">
        <v>75.150000000000006</v>
      </c>
      <c r="F30" s="3000">
        <v>21000</v>
      </c>
      <c r="G30" s="3002">
        <f t="shared" si="0"/>
        <v>157.81500000000003</v>
      </c>
      <c r="H30" s="3003"/>
      <c r="I30" s="3004">
        <v>1</v>
      </c>
      <c r="J30" s="3003"/>
      <c r="K30" s="3003"/>
    </row>
    <row r="31" spans="1:11">
      <c r="A31" s="3000">
        <v>29</v>
      </c>
      <c r="B31" s="3362"/>
      <c r="C31" s="3001" t="s">
        <v>3208</v>
      </c>
      <c r="D31" s="3001" t="s">
        <v>3171</v>
      </c>
      <c r="E31" s="3001">
        <v>98.47</v>
      </c>
      <c r="F31" s="3000">
        <v>21000</v>
      </c>
      <c r="G31" s="3002">
        <f t="shared" si="0"/>
        <v>206.78700000000001</v>
      </c>
      <c r="H31" s="3003"/>
      <c r="I31" s="3004">
        <v>1</v>
      </c>
      <c r="J31" s="3003"/>
      <c r="K31" s="3003"/>
    </row>
    <row r="32" spans="1:11">
      <c r="A32" s="3000">
        <v>30</v>
      </c>
      <c r="B32" s="3362"/>
      <c r="C32" s="3001" t="s">
        <v>3209</v>
      </c>
      <c r="D32" s="3001" t="s">
        <v>3171</v>
      </c>
      <c r="E32" s="3001">
        <v>94.33</v>
      </c>
      <c r="F32" s="3000">
        <v>21000</v>
      </c>
      <c r="G32" s="3002">
        <f t="shared" si="0"/>
        <v>198.09299999999999</v>
      </c>
      <c r="H32" s="3003"/>
      <c r="I32" s="3004">
        <v>1</v>
      </c>
      <c r="J32" s="3003"/>
      <c r="K32" s="3003"/>
    </row>
    <row r="33" spans="1:11">
      <c r="A33" s="3000">
        <v>31</v>
      </c>
      <c r="B33" s="3362"/>
      <c r="C33" s="3001" t="s">
        <v>3210</v>
      </c>
      <c r="D33" s="3001" t="s">
        <v>3171</v>
      </c>
      <c r="E33" s="3001">
        <v>83.51</v>
      </c>
      <c r="F33" s="3000">
        <v>21000</v>
      </c>
      <c r="G33" s="3002">
        <f t="shared" si="0"/>
        <v>175.37100000000001</v>
      </c>
      <c r="H33" s="3003"/>
      <c r="I33" s="3004">
        <v>1</v>
      </c>
      <c r="J33" s="3003"/>
      <c r="K33" s="3003"/>
    </row>
    <row r="34" spans="1:11">
      <c r="A34" s="3000">
        <v>32</v>
      </c>
      <c r="B34" s="3362"/>
      <c r="C34" s="3001" t="s">
        <v>3211</v>
      </c>
      <c r="D34" s="3001" t="s">
        <v>3171</v>
      </c>
      <c r="E34" s="3001">
        <v>83.51</v>
      </c>
      <c r="F34" s="3000">
        <v>21000</v>
      </c>
      <c r="G34" s="3002">
        <f t="shared" si="0"/>
        <v>175.37100000000001</v>
      </c>
      <c r="H34" s="3003"/>
      <c r="I34" s="3004">
        <v>1</v>
      </c>
      <c r="J34" s="3003"/>
      <c r="K34" s="3003"/>
    </row>
    <row r="35" spans="1:11">
      <c r="A35" s="3000">
        <v>33</v>
      </c>
      <c r="B35" s="3362"/>
      <c r="C35" s="3001" t="s">
        <v>3212</v>
      </c>
      <c r="D35" s="3001" t="s">
        <v>3171</v>
      </c>
      <c r="E35" s="3001">
        <v>64.62</v>
      </c>
      <c r="F35" s="3000">
        <v>21000</v>
      </c>
      <c r="G35" s="3002">
        <f t="shared" si="0"/>
        <v>135.702</v>
      </c>
      <c r="H35" s="3003"/>
      <c r="I35" s="3004">
        <v>1</v>
      </c>
      <c r="J35" s="3003"/>
      <c r="K35" s="3003"/>
    </row>
    <row r="36" spans="1:11">
      <c r="A36" s="3000">
        <v>34</v>
      </c>
      <c r="B36" s="3362"/>
      <c r="C36" s="3001" t="s">
        <v>3213</v>
      </c>
      <c r="D36" s="3001" t="s">
        <v>3171</v>
      </c>
      <c r="E36" s="3001">
        <v>125.71</v>
      </c>
      <c r="F36" s="3000">
        <v>21000</v>
      </c>
      <c r="G36" s="3002">
        <f t="shared" si="0"/>
        <v>263.99099999999999</v>
      </c>
      <c r="H36" s="3003"/>
      <c r="I36" s="3004">
        <v>1</v>
      </c>
      <c r="J36" s="3003"/>
      <c r="K36" s="3003"/>
    </row>
    <row r="37" spans="1:11">
      <c r="A37" s="3000">
        <v>35</v>
      </c>
      <c r="B37" s="3362"/>
      <c r="C37" s="3001" t="s">
        <v>3214</v>
      </c>
      <c r="D37" s="3001" t="s">
        <v>3171</v>
      </c>
      <c r="E37" s="3001">
        <v>74.72</v>
      </c>
      <c r="F37" s="3000">
        <v>21000</v>
      </c>
      <c r="G37" s="3002">
        <f t="shared" si="0"/>
        <v>156.91200000000001</v>
      </c>
      <c r="H37" s="3003"/>
      <c r="I37" s="3004">
        <v>1</v>
      </c>
      <c r="J37" s="3003"/>
      <c r="K37" s="3003"/>
    </row>
    <row r="38" spans="1:11">
      <c r="A38" s="3000">
        <v>36</v>
      </c>
      <c r="B38" s="3362"/>
      <c r="C38" s="3001" t="s">
        <v>3215</v>
      </c>
      <c r="D38" s="3001" t="s">
        <v>3171</v>
      </c>
      <c r="E38" s="3001">
        <v>100.08</v>
      </c>
      <c r="F38" s="3000">
        <v>21000</v>
      </c>
      <c r="G38" s="3002">
        <f t="shared" si="0"/>
        <v>210.16800000000001</v>
      </c>
      <c r="H38" s="3003"/>
      <c r="I38" s="3004">
        <v>1</v>
      </c>
      <c r="J38" s="3003"/>
      <c r="K38" s="3003"/>
    </row>
    <row r="39" spans="1:11">
      <c r="A39" s="3000">
        <v>37</v>
      </c>
      <c r="B39" s="3362"/>
      <c r="C39" s="3001" t="s">
        <v>3216</v>
      </c>
      <c r="D39" s="3001" t="s">
        <v>3171</v>
      </c>
      <c r="E39" s="3001">
        <v>97.36</v>
      </c>
      <c r="F39" s="3000">
        <v>21000</v>
      </c>
      <c r="G39" s="3002">
        <f t="shared" si="0"/>
        <v>204.45599999999999</v>
      </c>
      <c r="H39" s="3003"/>
      <c r="I39" s="3004">
        <v>1</v>
      </c>
      <c r="J39" s="3003"/>
      <c r="K39" s="3003"/>
    </row>
    <row r="40" spans="1:11">
      <c r="A40" s="3000">
        <v>38</v>
      </c>
      <c r="B40" s="3362"/>
      <c r="C40" s="3001" t="s">
        <v>3217</v>
      </c>
      <c r="D40" s="3001" t="s">
        <v>3171</v>
      </c>
      <c r="E40" s="3001">
        <v>91.32</v>
      </c>
      <c r="F40" s="3000">
        <v>21000</v>
      </c>
      <c r="G40" s="3002">
        <f t="shared" si="0"/>
        <v>191.77199999999996</v>
      </c>
      <c r="H40" s="3003"/>
      <c r="I40" s="3004">
        <v>1</v>
      </c>
      <c r="J40" s="3003"/>
      <c r="K40" s="3003"/>
    </row>
    <row r="41" spans="1:11">
      <c r="A41" s="3000">
        <v>39</v>
      </c>
      <c r="B41" s="3362"/>
      <c r="C41" s="3001" t="s">
        <v>3218</v>
      </c>
      <c r="D41" s="3001" t="s">
        <v>3171</v>
      </c>
      <c r="E41" s="3001">
        <v>91.32</v>
      </c>
      <c r="F41" s="3000">
        <v>21000</v>
      </c>
      <c r="G41" s="3002">
        <f t="shared" si="0"/>
        <v>191.77199999999996</v>
      </c>
      <c r="H41" s="3003"/>
      <c r="I41" s="3004">
        <v>1</v>
      </c>
      <c r="J41" s="3003"/>
      <c r="K41" s="3003"/>
    </row>
    <row r="42" spans="1:11">
      <c r="A42" s="3363">
        <v>40</v>
      </c>
      <c r="B42" s="3362"/>
      <c r="C42" s="3022" t="s">
        <v>3247</v>
      </c>
      <c r="D42" s="3001" t="s">
        <v>3171</v>
      </c>
      <c r="E42" s="3001">
        <f>ROUND(4210.61/3,2)</f>
        <v>1403.54</v>
      </c>
      <c r="F42" s="3000">
        <v>21000</v>
      </c>
      <c r="G42" s="3002">
        <f t="shared" si="0"/>
        <v>2947.4340000000002</v>
      </c>
      <c r="H42" s="3003"/>
      <c r="I42" s="3004">
        <v>1</v>
      </c>
      <c r="J42" s="3003"/>
      <c r="K42" s="3003"/>
    </row>
    <row r="43" spans="1:11">
      <c r="A43" s="3364"/>
      <c r="B43" s="3362"/>
      <c r="C43" s="3022" t="s">
        <v>3248</v>
      </c>
      <c r="D43" s="3001" t="s">
        <v>3171</v>
      </c>
      <c r="E43" s="3001">
        <f>E42</f>
        <v>1403.54</v>
      </c>
      <c r="F43" s="3000"/>
      <c r="G43" s="3002"/>
      <c r="H43" s="3005"/>
      <c r="I43" s="3004"/>
      <c r="J43" s="3005"/>
      <c r="K43" s="3005"/>
    </row>
    <row r="44" spans="1:11">
      <c r="A44" s="3365"/>
      <c r="B44" s="3362"/>
      <c r="C44" s="3022" t="s">
        <v>3249</v>
      </c>
      <c r="D44" s="3001" t="s">
        <v>3171</v>
      </c>
      <c r="E44" s="3001">
        <f>E42</f>
        <v>1403.54</v>
      </c>
      <c r="F44" s="3000"/>
      <c r="G44" s="3002"/>
      <c r="H44" s="3005"/>
      <c r="I44" s="3004"/>
      <c r="J44" s="3005"/>
      <c r="K44" s="3005"/>
    </row>
    <row r="45" spans="1:11">
      <c r="A45" s="3363">
        <v>41</v>
      </c>
      <c r="B45" s="3362"/>
      <c r="C45" s="3022" t="s">
        <v>3250</v>
      </c>
      <c r="D45" s="3001" t="s">
        <v>3171</v>
      </c>
      <c r="E45" s="3001">
        <f>ROUND(231.58/3,2)</f>
        <v>77.19</v>
      </c>
      <c r="F45" s="3000">
        <v>21000</v>
      </c>
      <c r="G45" s="3002">
        <f t="shared" si="0"/>
        <v>162.09899999999999</v>
      </c>
      <c r="H45" s="3005"/>
      <c r="I45" s="3004">
        <v>1</v>
      </c>
      <c r="J45" s="3005"/>
      <c r="K45" s="3005"/>
    </row>
    <row r="46" spans="1:11">
      <c r="A46" s="3364"/>
      <c r="B46" s="3362"/>
      <c r="C46" s="3022" t="s">
        <v>3251</v>
      </c>
      <c r="D46" s="3001" t="s">
        <v>3171</v>
      </c>
      <c r="E46" s="3001">
        <f>E45</f>
        <v>77.19</v>
      </c>
      <c r="F46" s="3000"/>
      <c r="G46" s="3002"/>
      <c r="H46" s="3005"/>
      <c r="I46" s="3004"/>
      <c r="J46" s="3005"/>
      <c r="K46" s="3005"/>
    </row>
    <row r="47" spans="1:11">
      <c r="A47" s="3365"/>
      <c r="B47" s="3362"/>
      <c r="C47" s="3022" t="s">
        <v>3252</v>
      </c>
      <c r="D47" s="3001" t="s">
        <v>3171</v>
      </c>
      <c r="E47" s="3001">
        <f>E45</f>
        <v>77.19</v>
      </c>
      <c r="F47" s="3000"/>
      <c r="G47" s="3002"/>
      <c r="H47" s="3005"/>
      <c r="I47" s="3004"/>
      <c r="J47" s="3005"/>
      <c r="K47" s="3005"/>
    </row>
    <row r="48" spans="1:11" s="2999" customFormat="1" ht="14.25">
      <c r="A48" s="3363">
        <v>42</v>
      </c>
      <c r="B48" s="3362"/>
      <c r="C48" s="3022" t="s">
        <v>3253</v>
      </c>
      <c r="D48" s="3001" t="s">
        <v>3171</v>
      </c>
      <c r="E48" s="3001">
        <f>ROUND(25.45/3,2)</f>
        <v>8.48</v>
      </c>
      <c r="F48" s="3000">
        <v>21000</v>
      </c>
      <c r="G48" s="3002">
        <f t="shared" si="0"/>
        <v>17.808</v>
      </c>
      <c r="H48" s="2998"/>
      <c r="I48" s="3004">
        <v>1</v>
      </c>
      <c r="J48" s="2998"/>
      <c r="K48" s="2998"/>
    </row>
    <row r="49" spans="1:11" s="2999" customFormat="1" ht="14.25">
      <c r="A49" s="3364"/>
      <c r="B49" s="3362"/>
      <c r="C49" s="3022" t="s">
        <v>3254</v>
      </c>
      <c r="D49" s="3001" t="s">
        <v>3171</v>
      </c>
      <c r="E49" s="3001">
        <f>E48</f>
        <v>8.48</v>
      </c>
      <c r="F49" s="3000"/>
      <c r="G49" s="3002"/>
      <c r="H49" s="2998"/>
      <c r="I49" s="3004"/>
      <c r="J49" s="2998"/>
      <c r="K49" s="2998"/>
    </row>
    <row r="50" spans="1:11" s="2999" customFormat="1" ht="14.25">
      <c r="A50" s="3365"/>
      <c r="B50" s="3362"/>
      <c r="C50" s="3022" t="s">
        <v>3255</v>
      </c>
      <c r="D50" s="3001" t="s">
        <v>3171</v>
      </c>
      <c r="E50" s="3001">
        <f>E48</f>
        <v>8.48</v>
      </c>
      <c r="F50" s="3000"/>
      <c r="G50" s="3002"/>
      <c r="H50" s="2998"/>
      <c r="I50" s="3004"/>
      <c r="J50" s="2998"/>
      <c r="K50" s="2998"/>
    </row>
    <row r="51" spans="1:11">
      <c r="A51" s="3000">
        <v>43</v>
      </c>
      <c r="B51" s="3362"/>
      <c r="C51" s="3001" t="s">
        <v>3219</v>
      </c>
      <c r="D51" s="3001" t="s">
        <v>3171</v>
      </c>
      <c r="E51" s="3001">
        <v>99.53</v>
      </c>
      <c r="F51" s="3000">
        <v>21000</v>
      </c>
      <c r="G51" s="3002">
        <f t="shared" si="0"/>
        <v>209.01300000000001</v>
      </c>
      <c r="H51" s="3003"/>
      <c r="I51" s="3004">
        <v>1</v>
      </c>
      <c r="J51" s="3003"/>
      <c r="K51" s="3003"/>
    </row>
    <row r="52" spans="1:11">
      <c r="A52" s="3000">
        <v>44</v>
      </c>
      <c r="B52" s="3362"/>
      <c r="C52" s="3001" t="s">
        <v>3220</v>
      </c>
      <c r="D52" s="3001" t="s">
        <v>3171</v>
      </c>
      <c r="E52" s="3001">
        <v>97.56</v>
      </c>
      <c r="F52" s="3000">
        <v>21000</v>
      </c>
      <c r="G52" s="3002">
        <f t="shared" si="0"/>
        <v>204.876</v>
      </c>
      <c r="H52" s="3003"/>
      <c r="I52" s="3004">
        <v>1</v>
      </c>
      <c r="J52" s="3003"/>
      <c r="K52" s="3003"/>
    </row>
    <row r="53" spans="1:11">
      <c r="A53" s="3000">
        <v>45</v>
      </c>
      <c r="B53" s="3362"/>
      <c r="C53" s="3001" t="s">
        <v>3221</v>
      </c>
      <c r="D53" s="3001" t="s">
        <v>3171</v>
      </c>
      <c r="E53" s="3001">
        <v>98.38</v>
      </c>
      <c r="F53" s="3000">
        <v>21000</v>
      </c>
      <c r="G53" s="3002">
        <f t="shared" si="0"/>
        <v>206.59800000000001</v>
      </c>
      <c r="H53" s="3003"/>
      <c r="I53" s="3004">
        <v>1</v>
      </c>
      <c r="J53" s="3003"/>
      <c r="K53" s="3003"/>
    </row>
    <row r="54" spans="1:11">
      <c r="A54" s="3000">
        <v>46</v>
      </c>
      <c r="B54" s="3362"/>
      <c r="C54" s="3001" t="s">
        <v>3222</v>
      </c>
      <c r="D54" s="3001" t="s">
        <v>3171</v>
      </c>
      <c r="E54" s="3001">
        <v>98.38</v>
      </c>
      <c r="F54" s="3000">
        <v>21000</v>
      </c>
      <c r="G54" s="3002">
        <f t="shared" si="0"/>
        <v>206.59800000000001</v>
      </c>
      <c r="H54" s="3003"/>
      <c r="I54" s="3004">
        <v>1</v>
      </c>
      <c r="J54" s="3003"/>
      <c r="K54" s="3003"/>
    </row>
    <row r="55" spans="1:11">
      <c r="A55" s="3000">
        <v>47</v>
      </c>
      <c r="B55" s="3362"/>
      <c r="C55" s="3001" t="s">
        <v>3223</v>
      </c>
      <c r="D55" s="3001" t="s">
        <v>3171</v>
      </c>
      <c r="E55" s="3001">
        <v>98.38</v>
      </c>
      <c r="F55" s="3000">
        <v>21000</v>
      </c>
      <c r="G55" s="3002">
        <f t="shared" si="0"/>
        <v>206.59800000000001</v>
      </c>
      <c r="H55" s="3003"/>
      <c r="I55" s="3004">
        <v>1</v>
      </c>
      <c r="J55" s="3003"/>
      <c r="K55" s="3003"/>
    </row>
    <row r="56" spans="1:11">
      <c r="A56" s="3000">
        <v>48</v>
      </c>
      <c r="B56" s="3362"/>
      <c r="C56" s="3001" t="s">
        <v>3224</v>
      </c>
      <c r="D56" s="3001" t="s">
        <v>3171</v>
      </c>
      <c r="E56" s="3001">
        <v>98.38</v>
      </c>
      <c r="F56" s="3000">
        <v>21000</v>
      </c>
      <c r="G56" s="3002">
        <f t="shared" si="0"/>
        <v>206.59800000000001</v>
      </c>
      <c r="H56" s="3003"/>
      <c r="I56" s="3004">
        <v>1</v>
      </c>
      <c r="J56" s="3003"/>
      <c r="K56" s="3003"/>
    </row>
    <row r="57" spans="1:11">
      <c r="A57" s="3007">
        <v>49</v>
      </c>
      <c r="B57" s="3362"/>
      <c r="C57" s="3001" t="s">
        <v>3225</v>
      </c>
      <c r="D57" s="3001" t="s">
        <v>3171</v>
      </c>
      <c r="E57" s="3001">
        <v>98.38</v>
      </c>
      <c r="F57" s="3000">
        <v>21000</v>
      </c>
      <c r="G57" s="3002">
        <f t="shared" si="0"/>
        <v>206.59800000000001</v>
      </c>
      <c r="H57" s="3003"/>
      <c r="I57" s="3004">
        <v>1</v>
      </c>
      <c r="J57" s="3003"/>
      <c r="K57" s="3003"/>
    </row>
    <row r="58" spans="1:11">
      <c r="A58" s="3000">
        <v>50</v>
      </c>
      <c r="B58" s="3362"/>
      <c r="C58" s="3001" t="s">
        <v>3226</v>
      </c>
      <c r="D58" s="3001" t="s">
        <v>3171</v>
      </c>
      <c r="E58" s="3001">
        <v>98.38</v>
      </c>
      <c r="F58" s="3000">
        <v>21000</v>
      </c>
      <c r="G58" s="3002">
        <f t="shared" si="0"/>
        <v>206.59800000000001</v>
      </c>
      <c r="H58" s="3003"/>
      <c r="I58" s="3004">
        <v>1</v>
      </c>
      <c r="J58" s="3003"/>
      <c r="K58" s="3003"/>
    </row>
    <row r="59" spans="1:11">
      <c r="A59" s="3000">
        <v>51</v>
      </c>
      <c r="B59" s="3362"/>
      <c r="C59" s="3001" t="s">
        <v>3227</v>
      </c>
      <c r="D59" s="3001" t="s">
        <v>3171</v>
      </c>
      <c r="E59" s="3001">
        <v>122.14</v>
      </c>
      <c r="F59" s="3000">
        <v>21000</v>
      </c>
      <c r="G59" s="3002">
        <f t="shared" si="0"/>
        <v>256.49400000000003</v>
      </c>
      <c r="H59" s="3003"/>
      <c r="I59" s="3004">
        <v>1</v>
      </c>
      <c r="J59" s="3003"/>
      <c r="K59" s="3003"/>
    </row>
    <row r="60" spans="1:11">
      <c r="A60" s="3000">
        <v>52</v>
      </c>
      <c r="B60" s="3362"/>
      <c r="C60" s="3001" t="s">
        <v>3228</v>
      </c>
      <c r="D60" s="3001" t="s">
        <v>3171</v>
      </c>
      <c r="E60" s="3001">
        <v>120.86</v>
      </c>
      <c r="F60" s="3000">
        <v>21000</v>
      </c>
      <c r="G60" s="3002">
        <f t="shared" si="0"/>
        <v>253.80600000000001</v>
      </c>
      <c r="H60" s="3003"/>
      <c r="I60" s="3004">
        <v>1</v>
      </c>
      <c r="J60" s="3003"/>
      <c r="K60" s="3003"/>
    </row>
    <row r="61" spans="1:11">
      <c r="A61" s="3000">
        <v>53</v>
      </c>
      <c r="B61" s="3362"/>
      <c r="C61" s="3001" t="s">
        <v>3229</v>
      </c>
      <c r="D61" s="3001" t="s">
        <v>3171</v>
      </c>
      <c r="E61" s="3001">
        <v>90.21</v>
      </c>
      <c r="F61" s="3000">
        <v>21000</v>
      </c>
      <c r="G61" s="3002">
        <f t="shared" si="0"/>
        <v>189.44099999999997</v>
      </c>
      <c r="H61" s="3003"/>
      <c r="I61" s="3004">
        <v>1</v>
      </c>
      <c r="J61" s="3003"/>
      <c r="K61" s="3003"/>
    </row>
    <row r="62" spans="1:11">
      <c r="A62" s="3000">
        <v>54</v>
      </c>
      <c r="B62" s="3362"/>
      <c r="C62" s="3001" t="s">
        <v>3230</v>
      </c>
      <c r="D62" s="3001" t="s">
        <v>3171</v>
      </c>
      <c r="E62" s="3001">
        <v>91.16</v>
      </c>
      <c r="F62" s="3000">
        <v>21000</v>
      </c>
      <c r="G62" s="3002">
        <f t="shared" si="0"/>
        <v>191.43600000000001</v>
      </c>
      <c r="H62" s="3003"/>
      <c r="I62" s="3004">
        <v>1</v>
      </c>
      <c r="J62" s="3003"/>
      <c r="K62" s="3003"/>
    </row>
    <row r="63" spans="1:11">
      <c r="A63" s="3000">
        <v>55</v>
      </c>
      <c r="B63" s="3362"/>
      <c r="C63" s="3001" t="s">
        <v>3231</v>
      </c>
      <c r="D63" s="3001" t="s">
        <v>3171</v>
      </c>
      <c r="E63" s="3001">
        <v>136.74</v>
      </c>
      <c r="F63" s="3000">
        <v>21000</v>
      </c>
      <c r="G63" s="3002">
        <f t="shared" si="0"/>
        <v>287.154</v>
      </c>
      <c r="H63" s="3003"/>
      <c r="I63" s="3004">
        <v>1</v>
      </c>
      <c r="J63" s="3003"/>
      <c r="K63" s="3003"/>
    </row>
    <row r="64" spans="1:11">
      <c r="A64" s="3000">
        <v>56</v>
      </c>
      <c r="B64" s="3362"/>
      <c r="C64" s="3001" t="s">
        <v>3232</v>
      </c>
      <c r="D64" s="3001" t="s">
        <v>3171</v>
      </c>
      <c r="E64" s="3001">
        <v>91.16</v>
      </c>
      <c r="F64" s="3000">
        <v>21000</v>
      </c>
      <c r="G64" s="3002">
        <f t="shared" si="0"/>
        <v>191.43600000000001</v>
      </c>
      <c r="H64" s="3003"/>
      <c r="I64" s="3004">
        <v>1</v>
      </c>
      <c r="J64" s="3003"/>
      <c r="K64" s="3003"/>
    </row>
    <row r="65" spans="1:11">
      <c r="A65" s="3007">
        <v>57</v>
      </c>
      <c r="B65" s="3362"/>
      <c r="C65" s="3001" t="s">
        <v>3233</v>
      </c>
      <c r="D65" s="3001" t="s">
        <v>3171</v>
      </c>
      <c r="E65" s="3001">
        <v>91.16</v>
      </c>
      <c r="F65" s="3000">
        <v>21000</v>
      </c>
      <c r="G65" s="3002">
        <f t="shared" si="0"/>
        <v>191.43600000000001</v>
      </c>
      <c r="H65" s="3003"/>
      <c r="I65" s="3004">
        <v>1</v>
      </c>
      <c r="J65" s="3003"/>
      <c r="K65" s="3003"/>
    </row>
    <row r="66" spans="1:11">
      <c r="A66" s="3000">
        <v>58</v>
      </c>
      <c r="B66" s="3362"/>
      <c r="C66" s="3001" t="s">
        <v>3234</v>
      </c>
      <c r="D66" s="3001" t="s">
        <v>3171</v>
      </c>
      <c r="E66" s="3001">
        <v>91.16</v>
      </c>
      <c r="F66" s="3000">
        <v>21000</v>
      </c>
      <c r="G66" s="3002">
        <f t="shared" si="0"/>
        <v>191.43600000000001</v>
      </c>
      <c r="H66" s="3003"/>
      <c r="I66" s="3004">
        <v>1</v>
      </c>
      <c r="J66" s="3003"/>
      <c r="K66" s="3003"/>
    </row>
    <row r="67" spans="1:11">
      <c r="A67" s="3000">
        <v>59</v>
      </c>
      <c r="B67" s="3362"/>
      <c r="C67" s="3001" t="s">
        <v>3235</v>
      </c>
      <c r="D67" s="3001" t="s">
        <v>3171</v>
      </c>
      <c r="E67" s="3001">
        <v>91.16</v>
      </c>
      <c r="F67" s="3000">
        <v>21000</v>
      </c>
      <c r="G67" s="3002">
        <f t="shared" si="0"/>
        <v>191.43600000000001</v>
      </c>
      <c r="H67" s="3003"/>
      <c r="I67" s="3004">
        <v>1</v>
      </c>
      <c r="J67" s="3003"/>
      <c r="K67" s="3003"/>
    </row>
    <row r="68" spans="1:11">
      <c r="A68" s="3000">
        <v>60</v>
      </c>
      <c r="B68" s="3362"/>
      <c r="C68" s="3001" t="s">
        <v>3236</v>
      </c>
      <c r="D68" s="3001" t="s">
        <v>3171</v>
      </c>
      <c r="E68" s="3001">
        <v>104.11</v>
      </c>
      <c r="F68" s="3000">
        <v>21000</v>
      </c>
      <c r="G68" s="3002">
        <f t="shared" si="0"/>
        <v>218.631</v>
      </c>
      <c r="H68" s="3003"/>
      <c r="I68" s="3004">
        <v>1</v>
      </c>
      <c r="J68" s="3003"/>
      <c r="K68" s="3003"/>
    </row>
    <row r="69" spans="1:11" s="3011" customFormat="1" ht="14.25">
      <c r="A69" s="2996"/>
      <c r="B69" s="2996"/>
      <c r="C69" s="3009" t="s">
        <v>37</v>
      </c>
      <c r="D69" s="2996"/>
      <c r="E69" s="3010">
        <f>SUM(E3:E68)</f>
        <v>10648.409999999993</v>
      </c>
      <c r="F69" s="2996"/>
      <c r="G69" s="3010">
        <f>SUM(G3:G68)</f>
        <v>16106.979000000005</v>
      </c>
      <c r="H69" s="2996"/>
      <c r="I69" s="2996"/>
      <c r="J69" s="2996"/>
      <c r="K69" s="2996"/>
    </row>
  </sheetData>
  <mergeCells count="5">
    <mergeCell ref="A1:K1"/>
    <mergeCell ref="B3:B68"/>
    <mergeCell ref="A42:A44"/>
    <mergeCell ref="A45:A47"/>
    <mergeCell ref="A48:A50"/>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topLeftCell="A32" workbookViewId="0">
      <selection activeCell="B35" sqref="B35:I62"/>
    </sheetView>
  </sheetViews>
  <sheetFormatPr defaultRowHeight="13.5"/>
  <sheetData>
    <row r="2" spans="2:16" ht="14.25" thickBot="1"/>
    <row r="3" spans="2:16" ht="14.25" thickBot="1">
      <c r="K3" s="3386" t="s">
        <v>3134</v>
      </c>
      <c r="L3" s="3387"/>
      <c r="M3" s="3024" t="s">
        <v>3135</v>
      </c>
      <c r="N3" s="3024" t="s">
        <v>3136</v>
      </c>
      <c r="O3" s="3024" t="s">
        <v>3137</v>
      </c>
      <c r="P3" s="3024" t="s">
        <v>3138</v>
      </c>
    </row>
    <row r="4" spans="2:16" ht="15" customHeight="1" thickBot="1">
      <c r="K4" s="3388"/>
      <c r="L4" s="3389"/>
      <c r="M4" s="2962" t="s">
        <v>3273</v>
      </c>
      <c r="N4" s="2962" t="s">
        <v>3274</v>
      </c>
      <c r="O4" s="2962" t="s">
        <v>3276</v>
      </c>
      <c r="P4" s="2962" t="s">
        <v>3278</v>
      </c>
    </row>
    <row r="5" spans="2:16" ht="77.25" thickBot="1">
      <c r="B5" s="3380" t="s">
        <v>3134</v>
      </c>
      <c r="C5" s="3380"/>
      <c r="D5" s="2965" t="s">
        <v>3135</v>
      </c>
      <c r="E5" s="2965" t="s">
        <v>3136</v>
      </c>
      <c r="F5" s="2965" t="s">
        <v>3137</v>
      </c>
      <c r="G5" s="2965" t="s">
        <v>3138</v>
      </c>
      <c r="K5" s="3390"/>
      <c r="L5" s="3391"/>
      <c r="M5" s="2962" t="s">
        <v>3257</v>
      </c>
      <c r="N5" s="2962" t="s">
        <v>3275</v>
      </c>
      <c r="O5" s="2962" t="s">
        <v>3277</v>
      </c>
      <c r="P5" s="2962" t="s">
        <v>3279</v>
      </c>
    </row>
    <row r="6" spans="2:16" ht="14.25" thickBot="1">
      <c r="B6" s="3380" t="s">
        <v>3154</v>
      </c>
      <c r="C6" s="3380"/>
      <c r="D6" s="2966">
        <v>100</v>
      </c>
      <c r="E6" s="2966">
        <v>100</v>
      </c>
      <c r="F6" s="2966">
        <v>100</v>
      </c>
      <c r="G6" s="2966">
        <v>100</v>
      </c>
      <c r="K6" s="3392" t="s">
        <v>3139</v>
      </c>
      <c r="L6" s="3393"/>
      <c r="M6" s="3025">
        <v>43191</v>
      </c>
      <c r="N6" s="3025">
        <v>43191</v>
      </c>
      <c r="O6" s="3025">
        <v>43191</v>
      </c>
      <c r="P6" s="3025">
        <v>43191</v>
      </c>
    </row>
    <row r="7" spans="2:16" ht="14.25" thickBot="1">
      <c r="B7" s="3380" t="s">
        <v>3140</v>
      </c>
      <c r="C7" s="3380"/>
      <c r="D7" s="2966">
        <v>100</v>
      </c>
      <c r="E7" s="2966">
        <v>100</v>
      </c>
      <c r="F7" s="2966">
        <v>100</v>
      </c>
      <c r="G7" s="2966">
        <v>100</v>
      </c>
      <c r="K7" s="3392" t="s">
        <v>3140</v>
      </c>
      <c r="L7" s="3393"/>
      <c r="M7" s="2962" t="s">
        <v>3078</v>
      </c>
      <c r="N7" s="2962" t="s">
        <v>3078</v>
      </c>
      <c r="O7" s="2962" t="s">
        <v>3078</v>
      </c>
      <c r="P7" s="2962" t="s">
        <v>3078</v>
      </c>
    </row>
    <row r="8" spans="2:16" ht="14.25" thickBot="1">
      <c r="B8" s="3381" t="s">
        <v>3152</v>
      </c>
      <c r="C8" s="2967" t="s">
        <v>1375</v>
      </c>
      <c r="D8" s="2966">
        <v>100</v>
      </c>
      <c r="E8" s="2966">
        <v>100</v>
      </c>
      <c r="F8" s="2966">
        <v>100</v>
      </c>
      <c r="G8" s="2966">
        <v>100</v>
      </c>
      <c r="K8" s="3383" t="s">
        <v>3152</v>
      </c>
      <c r="L8" s="3023" t="s">
        <v>1375</v>
      </c>
      <c r="M8" s="2962" t="s">
        <v>1377</v>
      </c>
      <c r="N8" s="2962" t="s">
        <v>1377</v>
      </c>
      <c r="O8" s="2962" t="s">
        <v>1377</v>
      </c>
      <c r="P8" s="2962" t="s">
        <v>1377</v>
      </c>
    </row>
    <row r="9" spans="2:16" ht="26.25" thickBot="1">
      <c r="B9" s="3381"/>
      <c r="C9" s="2967" t="s">
        <v>3141</v>
      </c>
      <c r="D9" s="2966">
        <v>100</v>
      </c>
      <c r="E9" s="2966">
        <v>100</v>
      </c>
      <c r="F9" s="2966">
        <v>100</v>
      </c>
      <c r="G9" s="2966">
        <v>100</v>
      </c>
      <c r="K9" s="3384"/>
      <c r="L9" s="3023" t="s">
        <v>3141</v>
      </c>
      <c r="M9" s="3026" t="s">
        <v>3258</v>
      </c>
      <c r="N9" s="3026" t="s">
        <v>3258</v>
      </c>
      <c r="O9" s="3026" t="s">
        <v>3258</v>
      </c>
      <c r="P9" s="3026" t="s">
        <v>3258</v>
      </c>
    </row>
    <row r="10" spans="2:16" ht="14.25" thickBot="1">
      <c r="B10" s="3381"/>
      <c r="C10" s="2967" t="s">
        <v>3153</v>
      </c>
      <c r="D10" s="2966">
        <v>100</v>
      </c>
      <c r="E10" s="2966">
        <v>100</v>
      </c>
      <c r="F10" s="2966">
        <v>100</v>
      </c>
      <c r="G10" s="2966">
        <v>100</v>
      </c>
      <c r="K10" s="3385"/>
      <c r="L10" s="3023" t="s">
        <v>3259</v>
      </c>
      <c r="M10" s="3026">
        <v>3.5</v>
      </c>
      <c r="N10" s="3026">
        <v>3</v>
      </c>
      <c r="O10" s="3026">
        <v>3.2</v>
      </c>
      <c r="P10" s="3026">
        <v>3.5</v>
      </c>
    </row>
    <row r="11" spans="2:16" ht="102.75" thickBot="1">
      <c r="B11" s="3382" t="s">
        <v>3142</v>
      </c>
      <c r="C11" s="2967" t="str">
        <f>L11</f>
        <v>商业繁华度</v>
      </c>
      <c r="D11" s="2966">
        <v>100</v>
      </c>
      <c r="E11" s="2966">
        <v>103</v>
      </c>
      <c r="F11" s="2966">
        <v>103</v>
      </c>
      <c r="G11" s="2966">
        <v>103</v>
      </c>
      <c r="K11" s="3383" t="s">
        <v>3142</v>
      </c>
      <c r="L11" s="3023" t="s">
        <v>3260</v>
      </c>
      <c r="M11" s="2962" t="s">
        <v>3280</v>
      </c>
      <c r="N11" s="2962" t="s">
        <v>3281</v>
      </c>
      <c r="O11" s="2962" t="s">
        <v>3281</v>
      </c>
      <c r="P11" s="2962" t="s">
        <v>3281</v>
      </c>
    </row>
    <row r="12" spans="2:16" ht="179.25" thickBot="1">
      <c r="B12" s="3382"/>
      <c r="C12" s="3021" t="str">
        <f t="shared" ref="C12:C30" si="0">L12</f>
        <v>交通便捷度</v>
      </c>
      <c r="D12" s="2966">
        <v>100</v>
      </c>
      <c r="E12" s="2966">
        <v>100</v>
      </c>
      <c r="F12" s="2966">
        <v>100</v>
      </c>
      <c r="G12" s="2966">
        <v>100</v>
      </c>
      <c r="K12" s="3384"/>
      <c r="L12" s="3023" t="s">
        <v>3261</v>
      </c>
      <c r="M12" s="2962" t="s">
        <v>3283</v>
      </c>
      <c r="N12" s="2962" t="s">
        <v>3282</v>
      </c>
      <c r="O12" s="2962" t="s">
        <v>3284</v>
      </c>
      <c r="P12" s="2962" t="s">
        <v>3285</v>
      </c>
    </row>
    <row r="13" spans="2:16" ht="230.25" thickBot="1">
      <c r="B13" s="3382"/>
      <c r="C13" s="3021" t="str">
        <f t="shared" si="0"/>
        <v>公共配套设施</v>
      </c>
      <c r="D13" s="2966">
        <v>100</v>
      </c>
      <c r="E13" s="2966">
        <v>100</v>
      </c>
      <c r="F13" s="2966">
        <v>100</v>
      </c>
      <c r="G13" s="2966">
        <v>100</v>
      </c>
      <c r="K13" s="3384"/>
      <c r="L13" s="3023" t="s">
        <v>3143</v>
      </c>
      <c r="M13" s="2962" t="s">
        <v>3286</v>
      </c>
      <c r="N13" s="2962" t="s">
        <v>3287</v>
      </c>
      <c r="O13" s="2962" t="s">
        <v>3286</v>
      </c>
      <c r="P13" s="2962" t="s">
        <v>3287</v>
      </c>
    </row>
    <row r="14" spans="2:16" ht="26.25" thickBot="1">
      <c r="B14" s="3382"/>
      <c r="C14" s="3021" t="str">
        <f t="shared" si="0"/>
        <v>区域基础设施水平</v>
      </c>
      <c r="D14" s="2966">
        <v>100</v>
      </c>
      <c r="E14" s="2966">
        <v>100</v>
      </c>
      <c r="F14" s="2966">
        <v>100</v>
      </c>
      <c r="G14" s="2966">
        <v>100</v>
      </c>
      <c r="K14" s="3384"/>
      <c r="L14" s="3023" t="s">
        <v>3144</v>
      </c>
      <c r="M14" s="2962" t="s">
        <v>3082</v>
      </c>
      <c r="N14" s="2962" t="s">
        <v>3082</v>
      </c>
      <c r="O14" s="2962" t="s">
        <v>3082</v>
      </c>
      <c r="P14" s="2962" t="s">
        <v>3082</v>
      </c>
    </row>
    <row r="15" spans="2:16" ht="51.75" thickBot="1">
      <c r="B15" s="3382"/>
      <c r="C15" s="3021" t="str">
        <f t="shared" si="0"/>
        <v>自然及人文环境</v>
      </c>
      <c r="D15" s="2966">
        <v>100</v>
      </c>
      <c r="E15" s="2966">
        <v>100</v>
      </c>
      <c r="F15" s="2966">
        <v>100</v>
      </c>
      <c r="G15" s="2966">
        <v>100</v>
      </c>
      <c r="K15" s="3384"/>
      <c r="L15" s="3023" t="s">
        <v>3262</v>
      </c>
      <c r="M15" s="2962" t="s">
        <v>3288</v>
      </c>
      <c r="N15" s="2962" t="s">
        <v>3288</v>
      </c>
      <c r="O15" s="2962" t="s">
        <v>3288</v>
      </c>
      <c r="P15" s="2962" t="s">
        <v>3288</v>
      </c>
    </row>
    <row r="16" spans="2:16" ht="14.25" thickBot="1">
      <c r="B16" s="3382"/>
      <c r="C16" s="3021" t="str">
        <f t="shared" si="0"/>
        <v>临街状况</v>
      </c>
      <c r="D16" s="2966">
        <v>100</v>
      </c>
      <c r="E16" s="2966">
        <v>100</v>
      </c>
      <c r="F16" s="2966">
        <v>100</v>
      </c>
      <c r="G16" s="2966">
        <v>100</v>
      </c>
      <c r="K16" s="3384"/>
      <c r="L16" s="3023" t="s">
        <v>3263</v>
      </c>
      <c r="M16" s="2962" t="s">
        <v>3085</v>
      </c>
      <c r="N16" s="2962" t="s">
        <v>3085</v>
      </c>
      <c r="O16" s="2962" t="s">
        <v>3085</v>
      </c>
      <c r="P16" s="2962" t="s">
        <v>3085</v>
      </c>
    </row>
    <row r="17" spans="2:16" ht="14.25" thickBot="1">
      <c r="B17" s="3382"/>
      <c r="C17" s="3021" t="str">
        <f t="shared" si="0"/>
        <v>可视性</v>
      </c>
      <c r="D17" s="2966">
        <v>100</v>
      </c>
      <c r="E17" s="2966">
        <v>100</v>
      </c>
      <c r="F17" s="2966">
        <v>100</v>
      </c>
      <c r="G17" s="2966">
        <v>100</v>
      </c>
      <c r="K17" s="3384"/>
      <c r="L17" s="3023" t="s">
        <v>3264</v>
      </c>
      <c r="M17" s="2962" t="s">
        <v>3081</v>
      </c>
      <c r="N17" s="2962" t="s">
        <v>3081</v>
      </c>
      <c r="O17" s="2962" t="s">
        <v>3081</v>
      </c>
      <c r="P17" s="2962" t="s">
        <v>3081</v>
      </c>
    </row>
    <row r="18" spans="2:16" ht="14.25" thickBot="1">
      <c r="B18" s="3382"/>
      <c r="C18" s="3021" t="str">
        <f t="shared" si="0"/>
        <v>人流量</v>
      </c>
      <c r="D18" s="2966">
        <v>100</v>
      </c>
      <c r="E18" s="2966">
        <v>100</v>
      </c>
      <c r="F18" s="2966">
        <v>100</v>
      </c>
      <c r="G18" s="2966">
        <v>100</v>
      </c>
      <c r="K18" s="3384"/>
      <c r="L18" s="3023" t="s">
        <v>3265</v>
      </c>
      <c r="M18" s="2962" t="s">
        <v>3289</v>
      </c>
      <c r="N18" s="2962" t="s">
        <v>3289</v>
      </c>
      <c r="O18" s="2962" t="s">
        <v>3289</v>
      </c>
      <c r="P18" s="2962" t="s">
        <v>3289</v>
      </c>
    </row>
    <row r="19" spans="2:16" ht="14.25" thickBot="1">
      <c r="B19" s="3382"/>
      <c r="C19" s="3021" t="str">
        <f t="shared" si="0"/>
        <v>楼层</v>
      </c>
      <c r="D19" s="2966">
        <v>100</v>
      </c>
      <c r="E19" s="2966">
        <v>100</v>
      </c>
      <c r="F19" s="2966">
        <v>100</v>
      </c>
      <c r="G19" s="2966">
        <v>100</v>
      </c>
      <c r="K19" s="3385"/>
      <c r="L19" s="3023" t="s">
        <v>3266</v>
      </c>
      <c r="M19" s="3026" t="s">
        <v>3267</v>
      </c>
      <c r="N19" s="3026" t="s">
        <v>3267</v>
      </c>
      <c r="O19" s="3026" t="s">
        <v>3267</v>
      </c>
      <c r="P19" s="3026" t="s">
        <v>3267</v>
      </c>
    </row>
    <row r="20" spans="2:16" ht="14.25" thickBot="1">
      <c r="B20" s="3381" t="s">
        <v>3145</v>
      </c>
      <c r="C20" s="3021" t="str">
        <f t="shared" si="0"/>
        <v>商业类型</v>
      </c>
      <c r="D20" s="2966">
        <v>100</v>
      </c>
      <c r="E20" s="2966">
        <v>100</v>
      </c>
      <c r="F20" s="2966">
        <v>100</v>
      </c>
      <c r="G20" s="2966">
        <v>100</v>
      </c>
      <c r="K20" s="3383" t="s">
        <v>3145</v>
      </c>
      <c r="L20" s="3023" t="s">
        <v>3268</v>
      </c>
      <c r="M20" s="2962" t="s">
        <v>3290</v>
      </c>
      <c r="N20" s="2962" t="s">
        <v>3290</v>
      </c>
      <c r="O20" s="2962" t="s">
        <v>3290</v>
      </c>
      <c r="P20" s="2962" t="s">
        <v>3290</v>
      </c>
    </row>
    <row r="21" spans="2:16" ht="14.25" thickBot="1">
      <c r="B21" s="3381"/>
      <c r="C21" s="3021" t="str">
        <f t="shared" si="0"/>
        <v>建筑结构</v>
      </c>
      <c r="D21" s="2966">
        <v>100</v>
      </c>
      <c r="E21" s="2966">
        <v>100</v>
      </c>
      <c r="F21" s="2966">
        <v>100</v>
      </c>
      <c r="G21" s="2966">
        <v>100</v>
      </c>
      <c r="K21" s="3384"/>
      <c r="L21" s="3023" t="s">
        <v>3146</v>
      </c>
      <c r="M21" s="2962" t="s">
        <v>3072</v>
      </c>
      <c r="N21" s="2962" t="s">
        <v>3072</v>
      </c>
      <c r="O21" s="2962" t="s">
        <v>3072</v>
      </c>
      <c r="P21" s="2962" t="s">
        <v>3072</v>
      </c>
    </row>
    <row r="22" spans="2:16" ht="26.25" thickBot="1">
      <c r="B22" s="3381"/>
      <c r="C22" s="3021" t="str">
        <f t="shared" si="0"/>
        <v>公共部分装修</v>
      </c>
      <c r="D22" s="2966">
        <v>100</v>
      </c>
      <c r="E22" s="2966">
        <v>100</v>
      </c>
      <c r="F22" s="2966">
        <v>100</v>
      </c>
      <c r="G22" s="2966">
        <v>100</v>
      </c>
      <c r="K22" s="3384"/>
      <c r="L22" s="3023" t="s">
        <v>3147</v>
      </c>
      <c r="M22" s="2962" t="s">
        <v>3107</v>
      </c>
      <c r="N22" s="2962" t="s">
        <v>3107</v>
      </c>
      <c r="O22" s="2962" t="s">
        <v>3107</v>
      </c>
      <c r="P22" s="2962" t="s">
        <v>3107</v>
      </c>
    </row>
    <row r="23" spans="2:16" ht="14.25" thickBot="1">
      <c r="B23" s="3381"/>
      <c r="C23" s="3021" t="str">
        <f t="shared" si="0"/>
        <v>成新率</v>
      </c>
      <c r="D23" s="2966">
        <v>100</v>
      </c>
      <c r="E23" s="2966">
        <v>100</v>
      </c>
      <c r="F23" s="2966">
        <v>100</v>
      </c>
      <c r="G23" s="2966">
        <v>100</v>
      </c>
      <c r="K23" s="3384"/>
      <c r="L23" s="3023" t="s">
        <v>3148</v>
      </c>
      <c r="M23" s="3027">
        <v>1</v>
      </c>
      <c r="N23" s="3027">
        <v>0.95</v>
      </c>
      <c r="O23" s="3027">
        <v>0.95</v>
      </c>
      <c r="P23" s="3027">
        <v>0.95</v>
      </c>
    </row>
    <row r="24" spans="2:16" ht="26.25" thickBot="1">
      <c r="B24" s="3381"/>
      <c r="C24" s="3021" t="str">
        <f t="shared" si="0"/>
        <v>市政基础设施</v>
      </c>
      <c r="D24" s="2966">
        <v>100</v>
      </c>
      <c r="E24" s="2966">
        <v>100</v>
      </c>
      <c r="F24" s="2966">
        <v>100</v>
      </c>
      <c r="G24" s="2966">
        <v>100</v>
      </c>
      <c r="K24" s="3384"/>
      <c r="L24" s="3023" t="s">
        <v>3149</v>
      </c>
      <c r="M24" s="2962" t="s">
        <v>3082</v>
      </c>
      <c r="N24" s="2962" t="s">
        <v>3082</v>
      </c>
      <c r="O24" s="2962" t="s">
        <v>3082</v>
      </c>
      <c r="P24" s="2962" t="s">
        <v>3082</v>
      </c>
    </row>
    <row r="25" spans="2:16" ht="14.25" thickBot="1">
      <c r="B25" s="3381"/>
      <c r="C25" s="3021" t="str">
        <f t="shared" si="0"/>
        <v>业态</v>
      </c>
      <c r="D25" s="2966">
        <v>100</v>
      </c>
      <c r="E25" s="2966">
        <v>100</v>
      </c>
      <c r="F25" s="2966">
        <v>100</v>
      </c>
      <c r="G25" s="2966">
        <v>100</v>
      </c>
      <c r="K25" s="3384"/>
      <c r="L25" s="3023" t="s">
        <v>3269</v>
      </c>
      <c r="M25" s="2962" t="s">
        <v>3291</v>
      </c>
      <c r="N25" s="2962" t="s">
        <v>3291</v>
      </c>
      <c r="O25" s="2962" t="s">
        <v>3291</v>
      </c>
      <c r="P25" s="2962" t="s">
        <v>3291</v>
      </c>
    </row>
    <row r="26" spans="2:16" ht="14.25" thickBot="1">
      <c r="B26" s="3381"/>
      <c r="C26" s="3021" t="str">
        <f t="shared" si="0"/>
        <v>层高</v>
      </c>
      <c r="D26" s="2966">
        <v>100</v>
      </c>
      <c r="E26" s="2966">
        <v>100</v>
      </c>
      <c r="F26" s="2966">
        <v>100</v>
      </c>
      <c r="G26" s="2966">
        <v>100</v>
      </c>
      <c r="K26" s="3384"/>
      <c r="L26" s="3023" t="s">
        <v>3270</v>
      </c>
      <c r="M26" s="2962" t="s">
        <v>3120</v>
      </c>
      <c r="N26" s="2962" t="s">
        <v>3120</v>
      </c>
      <c r="O26" s="2962" t="s">
        <v>3120</v>
      </c>
      <c r="P26" s="2962" t="s">
        <v>3120</v>
      </c>
    </row>
    <row r="27" spans="2:16" ht="39" thickBot="1">
      <c r="B27" s="3381"/>
      <c r="C27" s="3021" t="str">
        <f t="shared" si="0"/>
        <v>单套建筑面积（平方米）</v>
      </c>
      <c r="D27" s="2966">
        <v>100</v>
      </c>
      <c r="E27" s="2966">
        <v>100</v>
      </c>
      <c r="F27" s="2966">
        <v>100</v>
      </c>
      <c r="G27" s="2966">
        <v>100</v>
      </c>
      <c r="K27" s="3384"/>
      <c r="L27" s="3023" t="s">
        <v>3271</v>
      </c>
      <c r="M27" s="3026">
        <v>57.02</v>
      </c>
      <c r="N27" s="3026">
        <v>51.14</v>
      </c>
      <c r="O27" s="3026">
        <v>53</v>
      </c>
      <c r="P27" s="3026">
        <v>62</v>
      </c>
    </row>
    <row r="28" spans="2:16" ht="14.25" thickBot="1">
      <c r="B28" s="3381"/>
      <c r="C28" s="3021" t="str">
        <f t="shared" si="0"/>
        <v>进深比</v>
      </c>
      <c r="D28" s="2966">
        <v>100</v>
      </c>
      <c r="E28" s="2966">
        <v>100</v>
      </c>
      <c r="F28" s="2966">
        <v>100</v>
      </c>
      <c r="G28" s="2966">
        <v>100</v>
      </c>
      <c r="H28" s="2964"/>
      <c r="K28" s="3384"/>
      <c r="L28" s="3023" t="s">
        <v>3272</v>
      </c>
      <c r="M28" s="2962" t="s">
        <v>3081</v>
      </c>
      <c r="N28" s="2962" t="s">
        <v>3081</v>
      </c>
      <c r="O28" s="2962" t="s">
        <v>3081</v>
      </c>
      <c r="P28" s="2962" t="s">
        <v>3081</v>
      </c>
    </row>
    <row r="29" spans="2:16" ht="14.25" thickBot="1">
      <c r="B29" s="3381"/>
      <c r="C29" s="3021" t="str">
        <f t="shared" si="0"/>
        <v>内部装修</v>
      </c>
      <c r="D29" s="2966">
        <v>100</v>
      </c>
      <c r="E29" s="2966">
        <v>100</v>
      </c>
      <c r="F29" s="2966">
        <v>100</v>
      </c>
      <c r="G29" s="2966">
        <v>100</v>
      </c>
      <c r="K29" s="3384"/>
      <c r="L29" s="3023" t="s">
        <v>3150</v>
      </c>
      <c r="M29" s="2962" t="s">
        <v>3109</v>
      </c>
      <c r="N29" s="2962" t="s">
        <v>3109</v>
      </c>
      <c r="O29" s="2962" t="s">
        <v>3109</v>
      </c>
      <c r="P29" s="2962" t="s">
        <v>3109</v>
      </c>
    </row>
    <row r="30" spans="2:16" ht="26.25" thickBot="1">
      <c r="B30" s="3381"/>
      <c r="C30" s="3021" t="str">
        <f t="shared" si="0"/>
        <v>内部装修维护状况</v>
      </c>
      <c r="D30" s="2966">
        <v>100</v>
      </c>
      <c r="E30" s="2966">
        <v>100</v>
      </c>
      <c r="F30" s="2966">
        <v>100</v>
      </c>
      <c r="G30" s="2966">
        <v>100</v>
      </c>
      <c r="K30" s="3385"/>
      <c r="L30" s="3023" t="s">
        <v>3151</v>
      </c>
      <c r="M30" s="2962" t="s">
        <v>3081</v>
      </c>
      <c r="N30" s="2962" t="s">
        <v>3081</v>
      </c>
      <c r="O30" s="2962" t="s">
        <v>3081</v>
      </c>
      <c r="P30" s="2962" t="s">
        <v>3081</v>
      </c>
    </row>
    <row r="34" spans="2:9" ht="14.25" thickBot="1"/>
    <row r="35" spans="2:9" ht="14.25" thickBot="1">
      <c r="B35" s="3368" t="s">
        <v>3134</v>
      </c>
      <c r="C35" s="3369"/>
      <c r="D35" s="3373" t="s">
        <v>3136</v>
      </c>
      <c r="E35" s="3374"/>
      <c r="F35" s="3373" t="s">
        <v>3137</v>
      </c>
      <c r="G35" s="3374"/>
      <c r="H35" s="3373" t="s">
        <v>3138</v>
      </c>
      <c r="I35" s="3374"/>
    </row>
    <row r="36" spans="2:9" ht="14.25" thickBot="1">
      <c r="B36" s="3375" t="s">
        <v>3154</v>
      </c>
      <c r="C36" s="3376"/>
      <c r="D36" s="2968" t="s">
        <v>3155</v>
      </c>
      <c r="E36" s="2964">
        <f>E6</f>
        <v>100</v>
      </c>
      <c r="F36" s="2968" t="s">
        <v>3155</v>
      </c>
      <c r="G36" s="2964">
        <f>F6</f>
        <v>100</v>
      </c>
      <c r="H36" s="2968" t="s">
        <v>3155</v>
      </c>
      <c r="I36" s="2964">
        <f>G6</f>
        <v>100</v>
      </c>
    </row>
    <row r="37" spans="2:9" ht="14.25" thickBot="1">
      <c r="B37" s="3375" t="s">
        <v>3140</v>
      </c>
      <c r="C37" s="3376"/>
      <c r="D37" s="2968" t="s">
        <v>3155</v>
      </c>
      <c r="E37" s="2964">
        <f>E7</f>
        <v>100</v>
      </c>
      <c r="F37" s="2968" t="s">
        <v>3155</v>
      </c>
      <c r="G37" s="2964">
        <f>F7</f>
        <v>100</v>
      </c>
      <c r="H37" s="2968" t="s">
        <v>3155</v>
      </c>
      <c r="I37" s="2964">
        <f>G7</f>
        <v>100</v>
      </c>
    </row>
    <row r="38" spans="2:9" ht="14.25" thickBot="1">
      <c r="B38" s="3377" t="s">
        <v>3152</v>
      </c>
      <c r="C38" s="2963" t="str">
        <f>C8</f>
        <v>用途</v>
      </c>
      <c r="D38" s="2968" t="s">
        <v>3155</v>
      </c>
      <c r="E38" s="2964">
        <f>E8</f>
        <v>100</v>
      </c>
      <c r="F38" s="2968" t="s">
        <v>3155</v>
      </c>
      <c r="G38" s="2964">
        <f>F8</f>
        <v>100</v>
      </c>
      <c r="H38" s="2968" t="s">
        <v>3155</v>
      </c>
      <c r="I38" s="2964">
        <f>G8</f>
        <v>100</v>
      </c>
    </row>
    <row r="39" spans="2:9" ht="14.25" thickBot="1">
      <c r="B39" s="3378"/>
      <c r="C39" s="2963" t="str">
        <f t="shared" ref="C39:C40" si="1">C9</f>
        <v>土地使用年限（年）</v>
      </c>
      <c r="D39" s="2968" t="s">
        <v>3155</v>
      </c>
      <c r="E39" s="2964">
        <f>E9</f>
        <v>100</v>
      </c>
      <c r="F39" s="2968" t="s">
        <v>3155</v>
      </c>
      <c r="G39" s="2964">
        <f>F9</f>
        <v>100</v>
      </c>
      <c r="H39" s="2968" t="s">
        <v>3155</v>
      </c>
      <c r="I39" s="2964">
        <f>G9</f>
        <v>100</v>
      </c>
    </row>
    <row r="40" spans="2:9" ht="14.25" thickBot="1">
      <c r="B40" s="3379"/>
      <c r="C40" s="2963" t="str">
        <f t="shared" si="1"/>
        <v>容积率</v>
      </c>
      <c r="D40" s="2968" t="s">
        <v>3155</v>
      </c>
      <c r="E40" s="2964">
        <f>E10</f>
        <v>100</v>
      </c>
      <c r="F40" s="2968" t="s">
        <v>3155</v>
      </c>
      <c r="G40" s="2964">
        <f>F10</f>
        <v>100</v>
      </c>
      <c r="H40" s="2968" t="s">
        <v>3155</v>
      </c>
      <c r="I40" s="2964">
        <f t="shared" ref="I40:I60" si="2">G10</f>
        <v>100</v>
      </c>
    </row>
    <row r="41" spans="2:9" ht="14.25" thickBot="1">
      <c r="B41" s="3370" t="s">
        <v>3142</v>
      </c>
      <c r="C41" s="2963" t="str">
        <f t="shared" ref="C41:C60" si="3">L11</f>
        <v>商业繁华度</v>
      </c>
      <c r="D41" s="2968" t="s">
        <v>3155</v>
      </c>
      <c r="E41" s="2964">
        <v>103</v>
      </c>
      <c r="F41" s="2968" t="s">
        <v>3155</v>
      </c>
      <c r="G41" s="2964">
        <v>103</v>
      </c>
      <c r="H41" s="2968" t="s">
        <v>3155</v>
      </c>
      <c r="I41" s="2964">
        <f t="shared" si="2"/>
        <v>103</v>
      </c>
    </row>
    <row r="42" spans="2:9" ht="14.25" thickBot="1">
      <c r="B42" s="3371"/>
      <c r="C42" s="3020" t="str">
        <f t="shared" si="3"/>
        <v>交通便捷度</v>
      </c>
      <c r="D42" s="2968" t="s">
        <v>3155</v>
      </c>
      <c r="E42" s="2964">
        <f t="shared" ref="E42:E60" si="4">E12</f>
        <v>100</v>
      </c>
      <c r="F42" s="2968" t="s">
        <v>3155</v>
      </c>
      <c r="G42" s="2964">
        <f t="shared" ref="G42:G60" si="5">F12</f>
        <v>100</v>
      </c>
      <c r="H42" s="2968" t="s">
        <v>3155</v>
      </c>
      <c r="I42" s="2964">
        <f t="shared" si="2"/>
        <v>100</v>
      </c>
    </row>
    <row r="43" spans="2:9" ht="14.25" thickBot="1">
      <c r="B43" s="3371"/>
      <c r="C43" s="3020" t="str">
        <f t="shared" si="3"/>
        <v>公共配套设施</v>
      </c>
      <c r="D43" s="2968" t="s">
        <v>3155</v>
      </c>
      <c r="E43" s="2964">
        <f t="shared" si="4"/>
        <v>100</v>
      </c>
      <c r="F43" s="2968" t="s">
        <v>3155</v>
      </c>
      <c r="G43" s="2964">
        <f t="shared" si="5"/>
        <v>100</v>
      </c>
      <c r="H43" s="2968" t="s">
        <v>3155</v>
      </c>
      <c r="I43" s="2964">
        <f t="shared" si="2"/>
        <v>100</v>
      </c>
    </row>
    <row r="44" spans="2:9" ht="14.25" thickBot="1">
      <c r="B44" s="3371"/>
      <c r="C44" s="3020" t="str">
        <f t="shared" si="3"/>
        <v>区域基础设施水平</v>
      </c>
      <c r="D44" s="2968" t="s">
        <v>3155</v>
      </c>
      <c r="E44" s="2964">
        <f t="shared" si="4"/>
        <v>100</v>
      </c>
      <c r="F44" s="2968" t="s">
        <v>3155</v>
      </c>
      <c r="G44" s="2964">
        <f t="shared" si="5"/>
        <v>100</v>
      </c>
      <c r="H44" s="2968" t="s">
        <v>3155</v>
      </c>
      <c r="I44" s="2964">
        <f t="shared" si="2"/>
        <v>100</v>
      </c>
    </row>
    <row r="45" spans="2:9" ht="14.25" thickBot="1">
      <c r="B45" s="3371"/>
      <c r="C45" s="3020" t="str">
        <f t="shared" si="3"/>
        <v>自然及人文环境</v>
      </c>
      <c r="D45" s="2968" t="s">
        <v>3155</v>
      </c>
      <c r="E45" s="2964">
        <f t="shared" si="4"/>
        <v>100</v>
      </c>
      <c r="F45" s="2968" t="s">
        <v>3155</v>
      </c>
      <c r="G45" s="2964">
        <f t="shared" si="5"/>
        <v>100</v>
      </c>
      <c r="H45" s="2968" t="s">
        <v>3155</v>
      </c>
      <c r="I45" s="2964">
        <f t="shared" si="2"/>
        <v>100</v>
      </c>
    </row>
    <row r="46" spans="2:9" ht="14.25" thickBot="1">
      <c r="B46" s="3371"/>
      <c r="C46" s="3020" t="str">
        <f t="shared" si="3"/>
        <v>临街状况</v>
      </c>
      <c r="D46" s="2968" t="s">
        <v>3155</v>
      </c>
      <c r="E46" s="2964">
        <f t="shared" si="4"/>
        <v>100</v>
      </c>
      <c r="F46" s="2968" t="s">
        <v>3155</v>
      </c>
      <c r="G46" s="2964">
        <f t="shared" si="5"/>
        <v>100</v>
      </c>
      <c r="H46" s="2968" t="s">
        <v>3155</v>
      </c>
      <c r="I46" s="2964">
        <f t="shared" si="2"/>
        <v>100</v>
      </c>
    </row>
    <row r="47" spans="2:9" ht="14.25" thickBot="1">
      <c r="B47" s="3371"/>
      <c r="C47" s="3020" t="str">
        <f t="shared" si="3"/>
        <v>可视性</v>
      </c>
      <c r="D47" s="2968" t="s">
        <v>3155</v>
      </c>
      <c r="E47" s="2964">
        <f t="shared" si="4"/>
        <v>100</v>
      </c>
      <c r="F47" s="2968" t="s">
        <v>3155</v>
      </c>
      <c r="G47" s="2964">
        <f t="shared" si="5"/>
        <v>100</v>
      </c>
      <c r="H47" s="2968" t="s">
        <v>3155</v>
      </c>
      <c r="I47" s="2964">
        <f t="shared" si="2"/>
        <v>100</v>
      </c>
    </row>
    <row r="48" spans="2:9" ht="14.25" thickBot="1">
      <c r="B48" s="3371"/>
      <c r="C48" s="3020" t="str">
        <f t="shared" si="3"/>
        <v>人流量</v>
      </c>
      <c r="D48" s="2968" t="s">
        <v>3155</v>
      </c>
      <c r="E48" s="2964">
        <f t="shared" si="4"/>
        <v>100</v>
      </c>
      <c r="F48" s="2968" t="s">
        <v>3155</v>
      </c>
      <c r="G48" s="2964">
        <f t="shared" si="5"/>
        <v>100</v>
      </c>
      <c r="H48" s="2968" t="s">
        <v>3155</v>
      </c>
      <c r="I48" s="2964">
        <f t="shared" si="2"/>
        <v>100</v>
      </c>
    </row>
    <row r="49" spans="2:9" ht="14.25" thickBot="1">
      <c r="B49" s="3372"/>
      <c r="C49" s="3020" t="str">
        <f t="shared" si="3"/>
        <v>楼层</v>
      </c>
      <c r="D49" s="2968" t="s">
        <v>3155</v>
      </c>
      <c r="E49" s="2964">
        <f t="shared" si="4"/>
        <v>100</v>
      </c>
      <c r="F49" s="2968" t="s">
        <v>3155</v>
      </c>
      <c r="G49" s="2964">
        <f t="shared" si="5"/>
        <v>100</v>
      </c>
      <c r="H49" s="2968" t="s">
        <v>3155</v>
      </c>
      <c r="I49" s="2964">
        <f t="shared" si="2"/>
        <v>100</v>
      </c>
    </row>
    <row r="50" spans="2:9" ht="14.25" thickBot="1">
      <c r="B50" s="3370" t="s">
        <v>3145</v>
      </c>
      <c r="C50" s="3020" t="str">
        <f t="shared" si="3"/>
        <v>商业类型</v>
      </c>
      <c r="D50" s="2968" t="s">
        <v>3155</v>
      </c>
      <c r="E50" s="2964">
        <f t="shared" si="4"/>
        <v>100</v>
      </c>
      <c r="F50" s="2968" t="s">
        <v>3155</v>
      </c>
      <c r="G50" s="2964">
        <f t="shared" si="5"/>
        <v>100</v>
      </c>
      <c r="H50" s="2968" t="s">
        <v>3155</v>
      </c>
      <c r="I50" s="2964">
        <f t="shared" si="2"/>
        <v>100</v>
      </c>
    </row>
    <row r="51" spans="2:9" ht="14.25" thickBot="1">
      <c r="B51" s="3371"/>
      <c r="C51" s="3020" t="str">
        <f t="shared" si="3"/>
        <v>建筑结构</v>
      </c>
      <c r="D51" s="2968" t="s">
        <v>3155</v>
      </c>
      <c r="E51" s="2964">
        <f t="shared" si="4"/>
        <v>100</v>
      </c>
      <c r="F51" s="2968" t="s">
        <v>3155</v>
      </c>
      <c r="G51" s="2964">
        <f t="shared" si="5"/>
        <v>100</v>
      </c>
      <c r="H51" s="2968" t="s">
        <v>3155</v>
      </c>
      <c r="I51" s="2964">
        <f t="shared" si="2"/>
        <v>100</v>
      </c>
    </row>
    <row r="52" spans="2:9" ht="14.25" thickBot="1">
      <c r="B52" s="3371"/>
      <c r="C52" s="3020" t="str">
        <f t="shared" si="3"/>
        <v>公共部分装修</v>
      </c>
      <c r="D52" s="2968" t="s">
        <v>3155</v>
      </c>
      <c r="E52" s="2964">
        <f t="shared" si="4"/>
        <v>100</v>
      </c>
      <c r="F52" s="2968" t="s">
        <v>3155</v>
      </c>
      <c r="G52" s="2964">
        <f t="shared" si="5"/>
        <v>100</v>
      </c>
      <c r="H52" s="2968" t="s">
        <v>3155</v>
      </c>
      <c r="I52" s="2964">
        <f t="shared" si="2"/>
        <v>100</v>
      </c>
    </row>
    <row r="53" spans="2:9" ht="14.25" thickBot="1">
      <c r="B53" s="3371"/>
      <c r="C53" s="3020" t="str">
        <f t="shared" si="3"/>
        <v>成新率</v>
      </c>
      <c r="D53" s="2968" t="s">
        <v>3155</v>
      </c>
      <c r="E53" s="2964">
        <f t="shared" si="4"/>
        <v>100</v>
      </c>
      <c r="F53" s="2968" t="s">
        <v>3155</v>
      </c>
      <c r="G53" s="2964">
        <f t="shared" si="5"/>
        <v>100</v>
      </c>
      <c r="H53" s="2968" t="s">
        <v>3155</v>
      </c>
      <c r="I53" s="2964">
        <f t="shared" si="2"/>
        <v>100</v>
      </c>
    </row>
    <row r="54" spans="2:9" ht="14.25" thickBot="1">
      <c r="B54" s="3371"/>
      <c r="C54" s="3020" t="str">
        <f t="shared" si="3"/>
        <v>市政基础设施</v>
      </c>
      <c r="D54" s="2968" t="s">
        <v>3155</v>
      </c>
      <c r="E54" s="2964">
        <f t="shared" si="4"/>
        <v>100</v>
      </c>
      <c r="F54" s="2968" t="s">
        <v>3155</v>
      </c>
      <c r="G54" s="2964">
        <f t="shared" si="5"/>
        <v>100</v>
      </c>
      <c r="H54" s="2968" t="s">
        <v>3155</v>
      </c>
      <c r="I54" s="2964">
        <f t="shared" si="2"/>
        <v>100</v>
      </c>
    </row>
    <row r="55" spans="2:9" ht="14.25" thickBot="1">
      <c r="B55" s="3371"/>
      <c r="C55" s="3020" t="str">
        <f t="shared" si="3"/>
        <v>业态</v>
      </c>
      <c r="D55" s="2968" t="s">
        <v>3155</v>
      </c>
      <c r="E55" s="2964">
        <f t="shared" si="4"/>
        <v>100</v>
      </c>
      <c r="F55" s="2968" t="s">
        <v>3155</v>
      </c>
      <c r="G55" s="2964">
        <f t="shared" si="5"/>
        <v>100</v>
      </c>
      <c r="H55" s="2968" t="s">
        <v>3155</v>
      </c>
      <c r="I55" s="2964">
        <f t="shared" si="2"/>
        <v>100</v>
      </c>
    </row>
    <row r="56" spans="2:9" ht="14.25" thickBot="1">
      <c r="B56" s="3371"/>
      <c r="C56" s="3020" t="str">
        <f t="shared" si="3"/>
        <v>层高</v>
      </c>
      <c r="D56" s="2968" t="s">
        <v>3155</v>
      </c>
      <c r="E56" s="2964">
        <f t="shared" si="4"/>
        <v>100</v>
      </c>
      <c r="F56" s="2968" t="s">
        <v>3155</v>
      </c>
      <c r="G56" s="2964">
        <f t="shared" si="5"/>
        <v>100</v>
      </c>
      <c r="H56" s="2968" t="s">
        <v>3155</v>
      </c>
      <c r="I56" s="2964">
        <f t="shared" si="2"/>
        <v>100</v>
      </c>
    </row>
    <row r="57" spans="2:9" ht="14.25" thickBot="1">
      <c r="B57" s="3371"/>
      <c r="C57" s="3020" t="str">
        <f t="shared" si="3"/>
        <v>单套建筑面积（平方米）</v>
      </c>
      <c r="D57" s="2968" t="s">
        <v>3155</v>
      </c>
      <c r="E57" s="2964">
        <f t="shared" si="4"/>
        <v>100</v>
      </c>
      <c r="F57" s="2968" t="s">
        <v>3155</v>
      </c>
      <c r="G57" s="2964">
        <f t="shared" si="5"/>
        <v>100</v>
      </c>
      <c r="H57" s="2968" t="s">
        <v>3155</v>
      </c>
      <c r="I57" s="2964">
        <f t="shared" si="2"/>
        <v>100</v>
      </c>
    </row>
    <row r="58" spans="2:9" ht="14.25" thickBot="1">
      <c r="B58" s="3371"/>
      <c r="C58" s="3020" t="str">
        <f t="shared" si="3"/>
        <v>进深比</v>
      </c>
      <c r="D58" s="2968" t="s">
        <v>3155</v>
      </c>
      <c r="E58" s="2964">
        <f t="shared" si="4"/>
        <v>100</v>
      </c>
      <c r="F58" s="2968" t="s">
        <v>3155</v>
      </c>
      <c r="G58" s="2964">
        <f t="shared" si="5"/>
        <v>100</v>
      </c>
      <c r="H58" s="2968" t="s">
        <v>3155</v>
      </c>
      <c r="I58" s="2964">
        <f t="shared" si="2"/>
        <v>100</v>
      </c>
    </row>
    <row r="59" spans="2:9" ht="14.25" thickBot="1">
      <c r="B59" s="3371"/>
      <c r="C59" s="3020" t="str">
        <f t="shared" si="3"/>
        <v>内部装修</v>
      </c>
      <c r="D59" s="2968" t="s">
        <v>3155</v>
      </c>
      <c r="E59" s="2964">
        <f t="shared" si="4"/>
        <v>100</v>
      </c>
      <c r="F59" s="2968" t="s">
        <v>3155</v>
      </c>
      <c r="G59" s="2964">
        <f t="shared" si="5"/>
        <v>100</v>
      </c>
      <c r="H59" s="2968" t="s">
        <v>3155</v>
      </c>
      <c r="I59" s="2964">
        <f t="shared" si="2"/>
        <v>100</v>
      </c>
    </row>
    <row r="60" spans="2:9" ht="14.25" thickBot="1">
      <c r="B60" s="3371"/>
      <c r="C60" s="3020" t="str">
        <f t="shared" si="3"/>
        <v>内部装修维护状况</v>
      </c>
      <c r="D60" s="2968" t="s">
        <v>3155</v>
      </c>
      <c r="E60" s="2964">
        <f t="shared" si="4"/>
        <v>100</v>
      </c>
      <c r="F60" s="2968" t="s">
        <v>3155</v>
      </c>
      <c r="G60" s="2964">
        <f t="shared" si="5"/>
        <v>100</v>
      </c>
      <c r="H60" s="2968" t="s">
        <v>3155</v>
      </c>
      <c r="I60" s="2964">
        <f t="shared" si="2"/>
        <v>100</v>
      </c>
    </row>
    <row r="61" spans="2:9" ht="14.25" thickBot="1">
      <c r="B61" s="3366" t="s">
        <v>3156</v>
      </c>
      <c r="C61" s="3367"/>
      <c r="D61" s="3368">
        <f>'比较法-商业'!E47</f>
        <v>38124</v>
      </c>
      <c r="E61" s="3369"/>
      <c r="F61" s="3368">
        <f>'比较法-商业'!G47</f>
        <v>35323</v>
      </c>
      <c r="G61" s="3369"/>
      <c r="H61" s="3368">
        <f>'比较法-商业'!I47</f>
        <v>37625</v>
      </c>
      <c r="I61" s="3369"/>
    </row>
    <row r="62" spans="2:9" ht="14.25" thickBot="1">
      <c r="B62" s="3366" t="s">
        <v>3157</v>
      </c>
      <c r="C62" s="3367"/>
      <c r="D62" s="3368">
        <f>'比较法-商业'!E48</f>
        <v>37014</v>
      </c>
      <c r="E62" s="3369"/>
      <c r="F62" s="3368">
        <f>'比较法-商业'!G48</f>
        <v>34294</v>
      </c>
      <c r="G62" s="3369"/>
      <c r="H62" s="3368">
        <f>'比较法-商业'!I48</f>
        <v>36529</v>
      </c>
      <c r="I62" s="3369"/>
    </row>
  </sheetData>
  <mergeCells count="29">
    <mergeCell ref="K20:K30"/>
    <mergeCell ref="K3:L5"/>
    <mergeCell ref="K6:L6"/>
    <mergeCell ref="K7:L7"/>
    <mergeCell ref="K8:K10"/>
    <mergeCell ref="K11:K19"/>
    <mergeCell ref="B5:C5"/>
    <mergeCell ref="B6:C6"/>
    <mergeCell ref="B7:C7"/>
    <mergeCell ref="B8:B10"/>
    <mergeCell ref="B20:B30"/>
    <mergeCell ref="B11:B19"/>
    <mergeCell ref="D35:E35"/>
    <mergeCell ref="F35:G35"/>
    <mergeCell ref="H35:I35"/>
    <mergeCell ref="B36:C36"/>
    <mergeCell ref="B38:B40"/>
    <mergeCell ref="B37:C37"/>
    <mergeCell ref="B35:C35"/>
    <mergeCell ref="B41:B49"/>
    <mergeCell ref="B50:B60"/>
    <mergeCell ref="B61:C61"/>
    <mergeCell ref="D61:E61"/>
    <mergeCell ref="H61:I61"/>
    <mergeCell ref="B62:C62"/>
    <mergeCell ref="D62:E62"/>
    <mergeCell ref="F62:G62"/>
    <mergeCell ref="H62:I62"/>
    <mergeCell ref="F61:G61"/>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topLeftCell="B12" workbookViewId="0">
      <selection activeCell="B24" sqref="B24"/>
    </sheetView>
  </sheetViews>
  <sheetFormatPr defaultRowHeight="13.5"/>
  <cols>
    <col min="1" max="1" width="5.125" style="1637" customWidth="1"/>
    <col min="2" max="2" width="69.75" style="1637" customWidth="1"/>
    <col min="3" max="3" width="39.875" style="1637" customWidth="1"/>
    <col min="4" max="4" width="14.625" style="1637" customWidth="1"/>
    <col min="5" max="5" width="17.125" style="1637" customWidth="1"/>
    <col min="6" max="16384" width="9" style="1637"/>
  </cols>
  <sheetData>
    <row r="1" spans="1:5">
      <c r="A1" s="1637" t="s">
        <v>3292</v>
      </c>
      <c r="B1" s="1637" t="s">
        <v>3293</v>
      </c>
      <c r="C1" s="1637" t="s">
        <v>3294</v>
      </c>
      <c r="D1" s="1637" t="s">
        <v>3295</v>
      </c>
      <c r="E1" s="1637" t="s">
        <v>3296</v>
      </c>
    </row>
    <row r="2" spans="1:5">
      <c r="A2" s="1637">
        <v>1</v>
      </c>
      <c r="B2" s="1637" t="s">
        <v>3297</v>
      </c>
      <c r="C2" s="1637" t="s">
        <v>3298</v>
      </c>
      <c r="D2" s="1637">
        <v>16.760000000000002</v>
      </c>
      <c r="E2" s="1637">
        <v>1.6</v>
      </c>
    </row>
    <row r="3" spans="1:5">
      <c r="A3" s="1637">
        <v>2</v>
      </c>
      <c r="B3" s="1637" t="s">
        <v>3299</v>
      </c>
      <c r="C3" s="1637" t="s">
        <v>3300</v>
      </c>
      <c r="D3" s="1637">
        <v>36.200000000000003</v>
      </c>
      <c r="E3" s="1637">
        <v>3.47</v>
      </c>
    </row>
    <row r="4" spans="1:5">
      <c r="A4" s="1637">
        <v>3</v>
      </c>
      <c r="B4" s="1637" t="s">
        <v>3301</v>
      </c>
      <c r="C4" s="1637" t="s">
        <v>3302</v>
      </c>
      <c r="D4" s="1637">
        <v>60.56</v>
      </c>
      <c r="E4" s="1637">
        <v>5.8</v>
      </c>
    </row>
    <row r="5" spans="1:5">
      <c r="A5" s="1637">
        <v>4</v>
      </c>
      <c r="B5" s="1637" t="s">
        <v>3303</v>
      </c>
      <c r="C5" s="1637" t="s">
        <v>3304</v>
      </c>
      <c r="D5" s="1637">
        <v>143.78</v>
      </c>
      <c r="E5" s="1637">
        <v>13.76</v>
      </c>
    </row>
    <row r="6" spans="1:5">
      <c r="A6" s="1637">
        <v>5</v>
      </c>
      <c r="B6" s="1637" t="s">
        <v>3305</v>
      </c>
      <c r="C6" s="1637" t="s">
        <v>3306</v>
      </c>
      <c r="D6" s="1637">
        <v>75.17</v>
      </c>
      <c r="E6" s="1637">
        <v>7.2</v>
      </c>
    </row>
    <row r="7" spans="1:5">
      <c r="A7" s="1637">
        <v>6</v>
      </c>
      <c r="B7" s="1637" t="s">
        <v>3307</v>
      </c>
      <c r="C7" s="1637" t="s">
        <v>3308</v>
      </c>
      <c r="D7" s="1637">
        <v>98.49</v>
      </c>
      <c r="E7" s="1637">
        <v>9.43</v>
      </c>
    </row>
    <row r="8" spans="1:5">
      <c r="A8" s="1637">
        <v>7</v>
      </c>
      <c r="B8" s="1637" t="s">
        <v>3309</v>
      </c>
      <c r="C8" s="1637" t="s">
        <v>3310</v>
      </c>
      <c r="D8" s="1637">
        <v>94.35</v>
      </c>
      <c r="E8" s="1637">
        <v>9.0299999999999994</v>
      </c>
    </row>
    <row r="9" spans="1:5">
      <c r="A9" s="1637">
        <v>8</v>
      </c>
      <c r="B9" s="1637" t="s">
        <v>3311</v>
      </c>
      <c r="C9" s="1637" t="s">
        <v>3312</v>
      </c>
      <c r="D9" s="1637">
        <v>83.53</v>
      </c>
      <c r="E9" s="1637">
        <v>8</v>
      </c>
    </row>
    <row r="10" spans="1:5">
      <c r="A10" s="1637">
        <v>9</v>
      </c>
      <c r="B10" s="1637" t="s">
        <v>3313</v>
      </c>
      <c r="C10" s="1637" t="s">
        <v>3314</v>
      </c>
      <c r="D10" s="1637">
        <v>83.53</v>
      </c>
      <c r="E10" s="1637">
        <v>8</v>
      </c>
    </row>
    <row r="11" spans="1:5">
      <c r="A11" s="1637">
        <v>10</v>
      </c>
      <c r="B11" s="1637" t="s">
        <v>3315</v>
      </c>
      <c r="C11" s="1637" t="s">
        <v>3316</v>
      </c>
      <c r="D11" s="1637">
        <v>64.25</v>
      </c>
      <c r="E11" s="1637">
        <v>6.15</v>
      </c>
    </row>
    <row r="12" spans="1:5">
      <c r="A12" s="1637">
        <v>11</v>
      </c>
      <c r="B12" s="1637" t="s">
        <v>3317</v>
      </c>
      <c r="C12" s="1637" t="s">
        <v>3318</v>
      </c>
      <c r="D12" s="1637">
        <v>125</v>
      </c>
      <c r="E12" s="1637">
        <v>11.97</v>
      </c>
    </row>
    <row r="13" spans="1:5">
      <c r="A13" s="1637">
        <v>12</v>
      </c>
      <c r="B13" s="1637" t="s">
        <v>3319</v>
      </c>
      <c r="C13" s="1637" t="s">
        <v>3320</v>
      </c>
      <c r="D13" s="1637">
        <v>74.3</v>
      </c>
      <c r="E13" s="1637">
        <v>7.11</v>
      </c>
    </row>
    <row r="14" spans="1:5">
      <c r="A14" s="1637">
        <v>13</v>
      </c>
      <c r="B14" s="1637" t="s">
        <v>3321</v>
      </c>
      <c r="C14" s="1637" t="s">
        <v>3322</v>
      </c>
      <c r="D14" s="1637">
        <v>99.52</v>
      </c>
      <c r="E14" s="1637">
        <v>9.5299999999999994</v>
      </c>
    </row>
    <row r="15" spans="1:5">
      <c r="A15" s="1637">
        <v>14</v>
      </c>
      <c r="B15" s="1637" t="s">
        <v>3323</v>
      </c>
      <c r="C15" s="1637" t="s">
        <v>3324</v>
      </c>
      <c r="D15" s="1637">
        <v>96.81</v>
      </c>
      <c r="E15" s="1637">
        <v>9.27</v>
      </c>
    </row>
    <row r="16" spans="1:5">
      <c r="A16" s="1637">
        <v>15</v>
      </c>
      <c r="B16" s="1637" t="s">
        <v>3325</v>
      </c>
      <c r="C16" s="1637" t="s">
        <v>3326</v>
      </c>
      <c r="D16" s="1637">
        <v>92.64</v>
      </c>
      <c r="E16" s="1637">
        <v>8.8699999999999992</v>
      </c>
    </row>
    <row r="17" spans="1:6">
      <c r="A17" s="1637">
        <v>16</v>
      </c>
      <c r="B17" s="1637" t="s">
        <v>3327</v>
      </c>
      <c r="C17" s="1637" t="s">
        <v>3328</v>
      </c>
      <c r="D17" s="1637">
        <v>92.64</v>
      </c>
      <c r="E17" s="1637">
        <v>8.8699999999999992</v>
      </c>
    </row>
    <row r="18" spans="1:6">
      <c r="A18" s="1637">
        <v>17</v>
      </c>
      <c r="B18" s="1637" t="s">
        <v>3329</v>
      </c>
      <c r="C18" s="1637" t="s">
        <v>3330</v>
      </c>
      <c r="D18" s="1637">
        <v>4189.13</v>
      </c>
      <c r="E18" s="1637">
        <v>212.2</v>
      </c>
      <c r="F18" s="1637">
        <f>ROUND(D18/3,2)</f>
        <v>1396.38</v>
      </c>
    </row>
    <row r="19" spans="1:6">
      <c r="A19" s="1637">
        <v>18</v>
      </c>
      <c r="B19" s="1637" t="s">
        <v>3331</v>
      </c>
      <c r="C19" s="1637" t="s">
        <v>3332</v>
      </c>
      <c r="D19" s="1637">
        <v>231.64</v>
      </c>
      <c r="E19" s="1637">
        <v>11.73</v>
      </c>
    </row>
    <row r="20" spans="1:6">
      <c r="A20" s="1637">
        <v>19</v>
      </c>
      <c r="B20" s="1637" t="s">
        <v>3333</v>
      </c>
      <c r="C20" s="1637" t="s">
        <v>3334</v>
      </c>
      <c r="D20" s="1637">
        <v>25.45</v>
      </c>
      <c r="E20" s="1637">
        <v>1.29</v>
      </c>
    </row>
    <row r="21" spans="1:6">
      <c r="A21" s="1637">
        <v>20</v>
      </c>
      <c r="B21" s="1637" t="s">
        <v>3335</v>
      </c>
      <c r="C21" s="1637" t="s">
        <v>3336</v>
      </c>
      <c r="D21" s="1637">
        <v>99.41</v>
      </c>
      <c r="E21" s="1637">
        <v>52.59</v>
      </c>
    </row>
    <row r="22" spans="1:6">
      <c r="A22" s="1637">
        <v>21</v>
      </c>
      <c r="B22" s="1637" t="s">
        <v>3337</v>
      </c>
      <c r="C22" s="1637" t="s">
        <v>3338</v>
      </c>
      <c r="D22" s="1637">
        <v>97.45</v>
      </c>
      <c r="E22" s="1637">
        <v>51.55</v>
      </c>
    </row>
    <row r="23" spans="1:6">
      <c r="A23" s="1637">
        <v>22</v>
      </c>
      <c r="B23" s="1637" t="s">
        <v>3339</v>
      </c>
      <c r="C23" s="1637" t="s">
        <v>3340</v>
      </c>
      <c r="D23" s="1637">
        <v>103.18</v>
      </c>
      <c r="E23" s="1637">
        <v>54.58</v>
      </c>
    </row>
    <row r="24" spans="1:6">
      <c r="A24" s="1637">
        <v>23</v>
      </c>
      <c r="B24" s="1637" t="s">
        <v>3341</v>
      </c>
      <c r="C24" s="1637" t="s">
        <v>3342</v>
      </c>
      <c r="D24" s="1637">
        <v>98.27</v>
      </c>
      <c r="E24" s="1637">
        <v>51.99</v>
      </c>
    </row>
    <row r="25" spans="1:6">
      <c r="A25" s="1637">
        <v>24</v>
      </c>
      <c r="B25" s="1637" t="s">
        <v>3343</v>
      </c>
      <c r="C25" s="1637" t="s">
        <v>3344</v>
      </c>
      <c r="D25" s="1637">
        <v>98.27</v>
      </c>
      <c r="E25" s="1637">
        <v>51.99</v>
      </c>
    </row>
    <row r="26" spans="1:6">
      <c r="A26" s="1637">
        <v>25</v>
      </c>
      <c r="B26" s="1637" t="s">
        <v>3345</v>
      </c>
      <c r="C26" s="1637" t="s">
        <v>3346</v>
      </c>
      <c r="D26" s="1637">
        <v>98.27</v>
      </c>
      <c r="E26" s="1637">
        <v>51.99</v>
      </c>
    </row>
    <row r="27" spans="1:6">
      <c r="A27" s="1637">
        <v>26</v>
      </c>
      <c r="B27" s="1637" t="s">
        <v>3347</v>
      </c>
      <c r="C27" s="1637" t="s">
        <v>3348</v>
      </c>
      <c r="D27" s="1637">
        <v>98.27</v>
      </c>
      <c r="E27" s="1637">
        <v>51.99</v>
      </c>
    </row>
    <row r="28" spans="1:6">
      <c r="A28" s="1637">
        <v>27</v>
      </c>
      <c r="B28" s="1637" t="s">
        <v>3349</v>
      </c>
      <c r="C28" s="1637" t="s">
        <v>3350</v>
      </c>
      <c r="D28" s="1637">
        <v>98.27</v>
      </c>
      <c r="E28" s="1637">
        <v>51.99</v>
      </c>
    </row>
    <row r="29" spans="1:6">
      <c r="A29" s="1637">
        <v>28</v>
      </c>
      <c r="B29" s="1637" t="s">
        <v>3351</v>
      </c>
      <c r="C29" s="1637" t="s">
        <v>3352</v>
      </c>
      <c r="D29" s="1637">
        <v>115.95</v>
      </c>
      <c r="E29" s="1637">
        <v>61.34</v>
      </c>
    </row>
    <row r="30" spans="1:6">
      <c r="A30" s="1637">
        <v>29</v>
      </c>
      <c r="B30" s="1637" t="s">
        <v>3353</v>
      </c>
      <c r="C30" s="1637" t="s">
        <v>3354</v>
      </c>
      <c r="D30" s="1637">
        <v>121.08</v>
      </c>
      <c r="E30" s="1637">
        <v>64.05</v>
      </c>
    </row>
    <row r="31" spans="1:6">
      <c r="A31" s="1637">
        <v>30</v>
      </c>
      <c r="B31" s="1637" t="s">
        <v>3355</v>
      </c>
      <c r="C31" s="1637" t="s">
        <v>3356</v>
      </c>
      <c r="D31" s="1637">
        <v>90.37</v>
      </c>
      <c r="E31" s="1637">
        <v>47.81</v>
      </c>
    </row>
    <row r="32" spans="1:6">
      <c r="A32" s="1637">
        <v>31</v>
      </c>
      <c r="B32" s="1637" t="s">
        <v>3357</v>
      </c>
      <c r="C32" s="1637" t="s">
        <v>3358</v>
      </c>
      <c r="D32" s="1637">
        <v>95.89</v>
      </c>
      <c r="E32" s="1637">
        <v>50.73</v>
      </c>
    </row>
    <row r="33" spans="1:5">
      <c r="A33" s="1637">
        <v>32</v>
      </c>
      <c r="B33" s="1637" t="s">
        <v>3359</v>
      </c>
      <c r="C33" s="1637" t="s">
        <v>3360</v>
      </c>
      <c r="D33" s="1637">
        <v>132.43</v>
      </c>
      <c r="E33" s="1637">
        <v>70.06</v>
      </c>
    </row>
    <row r="34" spans="1:5">
      <c r="A34" s="1637">
        <v>33</v>
      </c>
      <c r="B34" s="1637" t="s">
        <v>3361</v>
      </c>
      <c r="C34" s="1637" t="s">
        <v>3362</v>
      </c>
      <c r="D34" s="1637">
        <v>91.32</v>
      </c>
      <c r="E34" s="1637">
        <v>48.31</v>
      </c>
    </row>
    <row r="35" spans="1:5">
      <c r="A35" s="1637">
        <v>34</v>
      </c>
      <c r="B35" s="1637" t="s">
        <v>3363</v>
      </c>
      <c r="C35" s="1637" t="s">
        <v>3364</v>
      </c>
      <c r="D35" s="1637">
        <v>91.32</v>
      </c>
      <c r="E35" s="1637">
        <v>48.31</v>
      </c>
    </row>
    <row r="36" spans="1:5">
      <c r="A36" s="1637">
        <v>35</v>
      </c>
      <c r="B36" s="1637" t="s">
        <v>3365</v>
      </c>
      <c r="C36" s="1637" t="s">
        <v>3366</v>
      </c>
      <c r="D36" s="1637">
        <v>91.32</v>
      </c>
      <c r="E36" s="1637">
        <v>48.31</v>
      </c>
    </row>
    <row r="37" spans="1:5">
      <c r="A37" s="1637">
        <v>36</v>
      </c>
      <c r="B37" s="1637" t="s">
        <v>3367</v>
      </c>
      <c r="C37" s="1637" t="s">
        <v>3368</v>
      </c>
      <c r="D37" s="1637">
        <v>91.32</v>
      </c>
      <c r="E37" s="1637">
        <v>48.31</v>
      </c>
    </row>
    <row r="38" spans="1:5">
      <c r="A38" s="1637">
        <v>37</v>
      </c>
      <c r="B38" s="1637" t="s">
        <v>3369</v>
      </c>
      <c r="C38" s="1637" t="s">
        <v>3370</v>
      </c>
      <c r="D38" s="1637">
        <v>102.01</v>
      </c>
      <c r="E38" s="1637">
        <v>53.97</v>
      </c>
    </row>
    <row r="39" spans="1:5">
      <c r="A39" s="1637">
        <v>38</v>
      </c>
      <c r="B39" s="1637" t="s">
        <v>3371</v>
      </c>
      <c r="C39" s="1637" t="s">
        <v>3372</v>
      </c>
      <c r="D39" s="1637">
        <v>130.19</v>
      </c>
      <c r="E39" s="1637">
        <v>12.46</v>
      </c>
    </row>
    <row r="40" spans="1:5">
      <c r="A40" s="1637">
        <v>39</v>
      </c>
      <c r="B40" s="1637" t="s">
        <v>3373</v>
      </c>
      <c r="C40" s="1637" t="s">
        <v>3374</v>
      </c>
      <c r="D40" s="1637">
        <v>89.89</v>
      </c>
      <c r="E40" s="1637">
        <v>8.6</v>
      </c>
    </row>
    <row r="41" spans="1:5">
      <c r="A41" s="1637">
        <v>40</v>
      </c>
      <c r="B41" s="1637" t="s">
        <v>3375</v>
      </c>
      <c r="C41" s="1637" t="s">
        <v>3376</v>
      </c>
      <c r="D41" s="1637">
        <v>89.89</v>
      </c>
      <c r="E41" s="1637">
        <v>8.6</v>
      </c>
    </row>
    <row r="42" spans="1:5">
      <c r="A42" s="1637">
        <v>41</v>
      </c>
      <c r="B42" s="1637" t="s">
        <v>3377</v>
      </c>
      <c r="C42" s="1637" t="s">
        <v>3378</v>
      </c>
      <c r="D42" s="1637">
        <v>89.89</v>
      </c>
      <c r="E42" s="1637">
        <v>8.6</v>
      </c>
    </row>
    <row r="43" spans="1:5">
      <c r="A43" s="1637">
        <v>42</v>
      </c>
      <c r="B43" s="1637" t="s">
        <v>3379</v>
      </c>
      <c r="C43" s="1637" t="s">
        <v>3380</v>
      </c>
      <c r="D43" s="1637">
        <v>149.51</v>
      </c>
      <c r="E43" s="1637">
        <v>14.31</v>
      </c>
    </row>
    <row r="44" spans="1:5">
      <c r="A44" s="1637">
        <v>43</v>
      </c>
      <c r="B44" s="1637" t="s">
        <v>3381</v>
      </c>
      <c r="C44" s="1637" t="s">
        <v>3382</v>
      </c>
      <c r="D44" s="1637">
        <v>272.16000000000003</v>
      </c>
      <c r="E44" s="1637">
        <v>26.05</v>
      </c>
    </row>
    <row r="45" spans="1:5">
      <c r="A45" s="1637">
        <v>44</v>
      </c>
      <c r="B45" s="1637" t="s">
        <v>3383</v>
      </c>
      <c r="C45" s="1637" t="s">
        <v>3384</v>
      </c>
      <c r="D45" s="1637">
        <v>222.08</v>
      </c>
      <c r="E45" s="1637">
        <v>21.26</v>
      </c>
    </row>
    <row r="46" spans="1:5">
      <c r="A46" s="1637">
        <v>45</v>
      </c>
      <c r="B46" s="1637" t="s">
        <v>3385</v>
      </c>
      <c r="C46" s="1637" t="s">
        <v>3386</v>
      </c>
      <c r="D46" s="1637">
        <v>125.88</v>
      </c>
      <c r="E46" s="1637">
        <v>12.05</v>
      </c>
    </row>
    <row r="47" spans="1:5">
      <c r="A47" s="1637">
        <v>46</v>
      </c>
      <c r="B47" s="1637" t="s">
        <v>3387</v>
      </c>
      <c r="C47" s="1637" t="s">
        <v>3388</v>
      </c>
      <c r="D47" s="1637">
        <v>88.51</v>
      </c>
      <c r="E47" s="1637">
        <v>8.4700000000000006</v>
      </c>
    </row>
    <row r="48" spans="1:5">
      <c r="A48" s="1637">
        <v>47</v>
      </c>
      <c r="B48" s="1637" t="s">
        <v>3389</v>
      </c>
      <c r="C48" s="1637" t="s">
        <v>3390</v>
      </c>
      <c r="D48" s="1637">
        <v>88.51</v>
      </c>
      <c r="E48" s="1637">
        <v>8.4700000000000006</v>
      </c>
    </row>
    <row r="49" spans="1:5">
      <c r="A49" s="1637">
        <v>48</v>
      </c>
      <c r="B49" s="1637" t="s">
        <v>3391</v>
      </c>
      <c r="C49" s="1637" t="s">
        <v>3392</v>
      </c>
      <c r="D49" s="1637">
        <v>88.51</v>
      </c>
      <c r="E49" s="1637">
        <v>8.4700000000000006</v>
      </c>
    </row>
    <row r="50" spans="1:5">
      <c r="A50" s="1637">
        <v>49</v>
      </c>
      <c r="B50" s="1637" t="s">
        <v>3393</v>
      </c>
      <c r="C50" s="1637" t="s">
        <v>3394</v>
      </c>
      <c r="D50" s="1637">
        <v>126.86</v>
      </c>
      <c r="E50" s="1637">
        <v>12.14</v>
      </c>
    </row>
    <row r="51" spans="1:5">
      <c r="A51" s="1637">
        <v>50</v>
      </c>
      <c r="B51" s="1637" t="s">
        <v>3395</v>
      </c>
      <c r="C51" s="1637" t="s">
        <v>3396</v>
      </c>
      <c r="D51" s="1637">
        <v>178.23</v>
      </c>
      <c r="E51" s="1637">
        <v>17.059999999999999</v>
      </c>
    </row>
    <row r="52" spans="1:5">
      <c r="A52" s="1637">
        <v>51</v>
      </c>
      <c r="B52" s="1637" t="s">
        <v>3397</v>
      </c>
      <c r="C52" s="1637" t="s">
        <v>3398</v>
      </c>
      <c r="D52" s="1637">
        <v>46.42</v>
      </c>
      <c r="E52" s="1637">
        <v>4.4400000000000004</v>
      </c>
    </row>
    <row r="53" spans="1:5">
      <c r="A53" s="1637">
        <v>52</v>
      </c>
      <c r="B53" s="1637" t="s">
        <v>3399</v>
      </c>
      <c r="C53" s="1637" t="s">
        <v>3400</v>
      </c>
      <c r="D53" s="1637">
        <v>126.86</v>
      </c>
      <c r="E53" s="1637">
        <v>12.14</v>
      </c>
    </row>
    <row r="54" spans="1:5">
      <c r="A54" s="1637">
        <v>53</v>
      </c>
      <c r="B54" s="1637" t="s">
        <v>3401</v>
      </c>
      <c r="C54" s="1637" t="s">
        <v>3402</v>
      </c>
      <c r="D54" s="1637">
        <v>179.81</v>
      </c>
      <c r="E54" s="1637">
        <v>17.21</v>
      </c>
    </row>
    <row r="55" spans="1:5">
      <c r="A55" s="1637">
        <v>54</v>
      </c>
      <c r="B55" s="1637" t="s">
        <v>3403</v>
      </c>
      <c r="C55" s="1637" t="s">
        <v>3404</v>
      </c>
      <c r="D55" s="1637">
        <v>57.03</v>
      </c>
      <c r="E55" s="1637">
        <v>5.46</v>
      </c>
    </row>
    <row r="56" spans="1:5">
      <c r="A56" s="1637">
        <v>55</v>
      </c>
      <c r="B56" s="1637" t="s">
        <v>3405</v>
      </c>
      <c r="C56" s="1637" t="s">
        <v>3406</v>
      </c>
      <c r="D56" s="1637">
        <v>143.11000000000001</v>
      </c>
      <c r="E56" s="1637">
        <v>13.7</v>
      </c>
    </row>
    <row r="57" spans="1:5">
      <c r="A57" s="1637">
        <v>56</v>
      </c>
      <c r="B57" s="1637" t="s">
        <v>3407</v>
      </c>
      <c r="C57" s="1637" t="s">
        <v>3408</v>
      </c>
      <c r="D57" s="1637">
        <v>168.45</v>
      </c>
      <c r="E57" s="1637">
        <v>16.13</v>
      </c>
    </row>
    <row r="58" spans="1:5">
      <c r="A58" s="1637">
        <v>57</v>
      </c>
      <c r="B58" s="1637" t="s">
        <v>3409</v>
      </c>
      <c r="C58" s="1637" t="s">
        <v>3410</v>
      </c>
      <c r="D58" s="1637">
        <v>168.38</v>
      </c>
      <c r="E58" s="1637">
        <v>16.12</v>
      </c>
    </row>
    <row r="59" spans="1:5">
      <c r="A59" s="1637">
        <v>58</v>
      </c>
      <c r="B59" s="1637" t="s">
        <v>3411</v>
      </c>
      <c r="C59" s="1637" t="s">
        <v>3412</v>
      </c>
      <c r="D59" s="1637">
        <v>209.51</v>
      </c>
      <c r="E59" s="1637">
        <v>20.059999999999999</v>
      </c>
    </row>
    <row r="60" spans="1:5">
      <c r="A60" s="1637">
        <v>59</v>
      </c>
      <c r="B60" s="1637" t="s">
        <v>3413</v>
      </c>
      <c r="C60" s="1637" t="s">
        <v>3414</v>
      </c>
      <c r="D60" s="1637">
        <v>107.77</v>
      </c>
      <c r="E60" s="1637">
        <v>10.32</v>
      </c>
    </row>
    <row r="61" spans="1:5">
      <c r="A61" s="1637">
        <v>60</v>
      </c>
      <c r="B61" s="1637" t="s">
        <v>3415</v>
      </c>
      <c r="C61" s="1637" t="s">
        <v>3416</v>
      </c>
      <c r="D61" s="1637">
        <v>68.739999999999995</v>
      </c>
      <c r="E61" s="1637">
        <v>6.58</v>
      </c>
    </row>
    <row r="62" spans="1:5">
      <c r="C62" s="3029" t="s">
        <v>3418</v>
      </c>
      <c r="D62" s="1637">
        <f>SUM(D2:D61)</f>
        <v>10614.340000000004</v>
      </c>
      <c r="E62" s="1637">
        <f>SUM(E2:E61)</f>
        <v>1601.8499999999997</v>
      </c>
    </row>
    <row r="63" spans="1:5">
      <c r="C63" s="3029" t="s">
        <v>3419</v>
      </c>
      <c r="D63" s="1637">
        <f>典型户型修正!U22</f>
        <v>10648.41</v>
      </c>
    </row>
    <row r="64" spans="1:5">
      <c r="D64" s="1637">
        <f>D62-D63</f>
        <v>-34.069999999996071</v>
      </c>
    </row>
    <row r="102" spans="3:3">
      <c r="C102" s="1637" t="s">
        <v>3417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1640</v>
      </c>
      <c r="B2" s="3043" t="s">
        <v>1641</v>
      </c>
      <c r="C2" s="3043" t="s">
        <v>1642</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44"/>
      <c r="B3" s="3044"/>
      <c r="C3" s="3044"/>
      <c r="D3" s="1046" t="s">
        <v>1637</v>
      </c>
      <c r="E3" s="1046" t="s">
        <v>1643</v>
      </c>
      <c r="F3" s="1046" t="s">
        <v>1637</v>
      </c>
      <c r="G3" s="1046" t="s">
        <v>1638</v>
      </c>
      <c r="H3" s="1046" t="s">
        <v>1637</v>
      </c>
      <c r="I3" s="1046" t="s">
        <v>1638</v>
      </c>
    </row>
    <row r="4" spans="1:9" ht="15">
      <c r="A4" s="1975" t="str">
        <f>项目基本情况!S2</f>
        <v>湖北省武汉市房地产</v>
      </c>
      <c r="B4" s="1046">
        <f>项目基本情况!C17</f>
        <v>10648.409999999993</v>
      </c>
      <c r="C4" s="1046">
        <f>项目基本情况!C18</f>
        <v>3042.4</v>
      </c>
      <c r="D4" s="1046" t="e">
        <f ca="1">结果表!D118</f>
        <v>#REF!</v>
      </c>
      <c r="E4" s="1046" t="e">
        <f ca="1">结果表!E118</f>
        <v>#REF!</v>
      </c>
      <c r="F4" s="1046" t="e">
        <f ca="1">结果表!F118</f>
        <v>#REF!</v>
      </c>
      <c r="G4" s="1046" t="e">
        <f ca="1">结果表!G118</f>
        <v>#REF!</v>
      </c>
      <c r="H4" s="1046">
        <f ca="1">结果表!H118</f>
        <v>190</v>
      </c>
      <c r="I4" s="1046">
        <f ca="1">结果表!I118</f>
        <v>33322</v>
      </c>
    </row>
    <row r="5" spans="1:9" ht="30" customHeight="1">
      <c r="A5" s="3044" t="s">
        <v>1639</v>
      </c>
      <c r="B5" s="3044"/>
      <c r="C5" s="3044"/>
      <c r="D5" s="3045" t="e">
        <f ca="1">结果表!D119</f>
        <v>#REF!</v>
      </c>
      <c r="E5" s="3045"/>
      <c r="F5" s="3045" t="e">
        <f ca="1">结果表!F119</f>
        <v>#REF!</v>
      </c>
      <c r="G5" s="3045"/>
      <c r="H5" s="3045" t="str">
        <f ca="1">结果表!H119</f>
        <v>壹佰玖拾万元整</v>
      </c>
      <c r="I5" s="3045"/>
    </row>
    <row r="6" spans="1:9" ht="15.75">
      <c r="A6" s="3046" t="str">
        <f>结果表!A120</f>
        <v>估价师知悉的法定优先受偿款</v>
      </c>
      <c r="B6" s="3046"/>
      <c r="C6" s="3046"/>
      <c r="D6" s="3046">
        <f>结果表!D120</f>
        <v>0</v>
      </c>
      <c r="E6" s="3046"/>
      <c r="F6" s="3046"/>
      <c r="G6" s="3046"/>
      <c r="H6" s="3046"/>
      <c r="I6" s="3046"/>
    </row>
    <row r="7" spans="1:9" ht="15">
      <c r="A7" s="3044" t="s">
        <v>1639</v>
      </c>
      <c r="B7" s="3044"/>
      <c r="C7" s="3044"/>
      <c r="D7" s="3047" t="str">
        <f>结果表!D121</f>
        <v>零元整</v>
      </c>
      <c r="E7" s="3048"/>
      <c r="F7" s="3048"/>
      <c r="G7" s="3048"/>
      <c r="H7" s="3048"/>
      <c r="I7" s="3049"/>
    </row>
    <row r="8" spans="1:9" ht="15.75">
      <c r="A8" s="3046" t="str">
        <f>结果表!A122</f>
        <v>房地产抵押价值</v>
      </c>
      <c r="B8" s="3046"/>
      <c r="C8" s="3046"/>
      <c r="D8" s="3046">
        <f ca="1">结果表!D122</f>
        <v>190</v>
      </c>
      <c r="E8" s="3046"/>
      <c r="F8" s="3046"/>
      <c r="G8" s="3046"/>
      <c r="H8" s="3046"/>
      <c r="I8" s="3046"/>
    </row>
    <row r="9" spans="1:9" ht="15">
      <c r="A9" s="3044" t="s">
        <v>1639</v>
      </c>
      <c r="B9" s="3044"/>
      <c r="C9" s="3044"/>
      <c r="D9" s="3045" t="str">
        <f ca="1">结果表!D123</f>
        <v>壹佰玖拾万元整</v>
      </c>
      <c r="E9" s="3045"/>
      <c r="F9" s="3045"/>
      <c r="G9" s="3045"/>
      <c r="H9" s="3045"/>
      <c r="I9" s="3045"/>
    </row>
    <row r="10" spans="1:9" ht="15.75">
      <c r="A10" s="3046" t="str">
        <f>结果表!A124</f>
        <v/>
      </c>
      <c r="B10" s="3046"/>
      <c r="C10" s="3046"/>
      <c r="D10" s="3046" t="str">
        <f>结果表!D124</f>
        <v>——</v>
      </c>
      <c r="E10" s="3046"/>
      <c r="F10" s="3046"/>
      <c r="G10" s="3046"/>
      <c r="H10" s="3046"/>
      <c r="I10" s="3046"/>
    </row>
    <row r="11" spans="1:9" ht="15">
      <c r="A11" s="3044" t="s">
        <v>1639</v>
      </c>
      <c r="B11" s="3044"/>
      <c r="C11" s="3044"/>
      <c r="D11" s="3045" t="e">
        <f>结果表!D125</f>
        <v>#VALUE!</v>
      </c>
      <c r="E11" s="3045"/>
      <c r="F11" s="3045"/>
      <c r="G11" s="3045"/>
      <c r="H11" s="3045"/>
      <c r="I11" s="3045"/>
    </row>
    <row r="12" spans="1:9" ht="15.75">
      <c r="A12" s="3046" t="str">
        <f>结果表!A126</f>
        <v/>
      </c>
      <c r="B12" s="3046"/>
      <c r="C12" s="3046"/>
      <c r="D12" s="3046" t="str">
        <f>结果表!D126</f>
        <v>——</v>
      </c>
      <c r="E12" s="3046"/>
      <c r="F12" s="3046"/>
      <c r="G12" s="3046"/>
      <c r="H12" s="3046"/>
      <c r="I12" s="3046"/>
    </row>
    <row r="13" spans="1:9" ht="15.75" thickBot="1">
      <c r="A13" s="3050" t="s">
        <v>1639</v>
      </c>
      <c r="B13" s="3050"/>
      <c r="C13" s="3050"/>
      <c r="D13" s="3051" t="e">
        <f>结果表!D127</f>
        <v>#VALUE!</v>
      </c>
      <c r="E13" s="3051"/>
      <c r="F13" s="3051"/>
      <c r="G13" s="3051"/>
      <c r="H13" s="3051"/>
      <c r="I13" s="3051"/>
    </row>
    <row r="14" spans="1:9" ht="15" thickTop="1">
      <c r="A14" s="3052" t="s">
        <v>1644</v>
      </c>
      <c r="B14" s="3052"/>
      <c r="C14" s="3052"/>
      <c r="D14" s="3052"/>
      <c r="E14" s="3052"/>
      <c r="F14" s="3052"/>
      <c r="G14" s="3052"/>
      <c r="H14" s="3052"/>
      <c r="I14" s="3052"/>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3" t="s">
        <v>1661</v>
      </c>
      <c r="B1" s="3053"/>
      <c r="C1" s="3053"/>
      <c r="D1" s="3053"/>
    </row>
    <row r="2" spans="1:4" ht="18">
      <c r="A2" s="3054" t="s">
        <v>1645</v>
      </c>
      <c r="B2" s="3054"/>
      <c r="C2" s="3054"/>
      <c r="D2" s="3054"/>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54" t="s">
        <v>1651</v>
      </c>
      <c r="B6" s="3054"/>
      <c r="C6" s="3054"/>
      <c r="D6" s="305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55" t="s">
        <v>1654</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6" t="str">
        <f>IF(项目基本情况!B8="抵押","4.本次评估估价师所知悉的法定优先受偿款情况说明如下：","——")</f>
        <v>4.本次评估估价师所知悉的法定优先受偿款情况说明如下：</v>
      </c>
      <c r="B14" s="3057"/>
      <c r="C14" s="3057"/>
      <c r="D14" s="3057"/>
    </row>
    <row r="15" spans="1:4" ht="42" customHeight="1">
      <c r="A15" s="3056" t="str">
        <f>IF(项目基本情况!B8="抵押","（1）"&amp;CONCATENATE(项目基本情况!L20,项目基本情况!L21,项目基本情况!L22),"——")</f>
        <v>（1）根据估价对象《房屋所有权证》原件、《国有土地使用权》原件，截至价值时点，估价对象抵押权未见登记。</v>
      </c>
      <c r="B15" s="3056"/>
      <c r="C15" s="3056"/>
      <c r="D15" s="3056"/>
    </row>
    <row r="16" spans="1:4" ht="30" customHeight="1">
      <c r="A16" s="3059" t="s">
        <v>1655</v>
      </c>
      <c r="B16" s="3059"/>
      <c r="C16" s="3059"/>
      <c r="D16" s="3059"/>
    </row>
    <row r="17" spans="1:4" ht="144" customHeight="1">
      <c r="A17" s="3059" t="s">
        <v>1656</v>
      </c>
      <c r="B17" s="3059"/>
      <c r="C17" s="3059"/>
      <c r="D17" s="3059"/>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1657</v>
      </c>
      <c r="B22" s="3061"/>
      <c r="C22" s="3061"/>
      <c r="D22" s="306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8">
        <v>42551</v>
      </c>
      <c r="D31" s="30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7" t="s">
        <v>1668</v>
      </c>
      <c r="B15" s="3062" t="s">
        <v>136</v>
      </c>
      <c r="C15" s="3063"/>
    </row>
    <row r="16" spans="1:7" ht="13.5">
      <c r="A16" s="3068"/>
      <c r="B16" s="3062" t="s">
        <v>69</v>
      </c>
      <c r="C16" s="3063"/>
    </row>
    <row r="17" spans="1:3" ht="13.5">
      <c r="A17" s="3068"/>
      <c r="B17" s="3065" t="s">
        <v>1669</v>
      </c>
      <c r="C17" s="2002" t="s">
        <v>1668</v>
      </c>
    </row>
    <row r="18" spans="1:3" ht="13.5">
      <c r="A18" s="3068"/>
      <c r="B18" s="3065"/>
      <c r="C18" s="2002" t="s">
        <v>1670</v>
      </c>
    </row>
    <row r="19" spans="1:3" ht="13.5">
      <c r="A19" s="3068"/>
      <c r="B19" s="3065"/>
      <c r="C19" s="2002" t="s">
        <v>1671</v>
      </c>
    </row>
    <row r="20" spans="1:3" ht="13.5">
      <c r="A20" s="3069"/>
      <c r="B20" s="3064" t="s">
        <v>1672</v>
      </c>
      <c r="C20" s="3063"/>
    </row>
    <row r="21" spans="1:3" ht="13.5">
      <c r="A21" s="2003" t="s">
        <v>1673</v>
      </c>
      <c r="B21" s="2004"/>
      <c r="C21" s="2005"/>
    </row>
    <row r="22" spans="1:3" ht="13.5">
      <c r="A22" s="3066" t="s">
        <v>1674</v>
      </c>
      <c r="B22" s="3064" t="s">
        <v>1675</v>
      </c>
      <c r="C22" s="3063"/>
    </row>
    <row r="23" spans="1:3" ht="13.5">
      <c r="A23" s="3066"/>
      <c r="B23" s="3064" t="s">
        <v>1676</v>
      </c>
      <c r="C23" s="3063"/>
    </row>
    <row r="24" spans="1:3" ht="13.5">
      <c r="A24" s="3066"/>
      <c r="B24" s="3064" t="s">
        <v>1677</v>
      </c>
      <c r="C24" s="3063"/>
    </row>
    <row r="25" spans="1:3" ht="13.5">
      <c r="A25" s="3066"/>
      <c r="B25" s="3065" t="s">
        <v>1678</v>
      </c>
      <c r="C25" s="2002" t="s">
        <v>1679</v>
      </c>
    </row>
    <row r="26" spans="1:3" ht="13.5">
      <c r="A26" s="3066"/>
      <c r="B26" s="3065"/>
      <c r="C26" s="2002" t="s">
        <v>1680</v>
      </c>
    </row>
    <row r="27" spans="1:3" ht="13.5">
      <c r="A27" s="3066"/>
      <c r="B27" s="3065"/>
      <c r="C27" s="2002" t="s">
        <v>1681</v>
      </c>
    </row>
    <row r="28" spans="1:3" ht="13.5">
      <c r="A28" s="3066"/>
      <c r="B28" s="3065"/>
      <c r="C28" s="2002" t="s">
        <v>1682</v>
      </c>
    </row>
    <row r="29" spans="1:3" ht="13.5">
      <c r="A29" s="3066"/>
      <c r="B29" s="3065"/>
      <c r="C29" s="2002" t="s">
        <v>1683</v>
      </c>
    </row>
    <row r="30" spans="1:3" ht="13.5">
      <c r="A30" s="3066"/>
      <c r="B30" s="3065"/>
      <c r="C30" s="2002" t="s">
        <v>1684</v>
      </c>
    </row>
    <row r="31" spans="1:3" ht="13.5">
      <c r="A31" s="3066"/>
      <c r="B31" s="3065"/>
      <c r="C31" s="2002" t="s">
        <v>1685</v>
      </c>
    </row>
    <row r="32" spans="1:3" ht="13.5">
      <c r="A32" s="3066"/>
      <c r="B32" s="3065"/>
      <c r="C32" s="2002" t="s">
        <v>1686</v>
      </c>
    </row>
    <row r="33" spans="1:3" ht="13.5">
      <c r="A33" s="3066"/>
      <c r="B33" s="306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43467</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t="str">
        <f ca="1">IF(C7&lt;B2,"已过期",1120050019)</f>
        <v>已过期</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t="str">
        <f ca="1">IF(C22&lt;B2,"已过期",1120020033)</f>
        <v>已过期</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70" t="s">
        <v>846</v>
      </c>
      <c r="B25" s="3070"/>
      <c r="C25" s="3070"/>
      <c r="D25" s="3070"/>
      <c r="E25" s="3070"/>
      <c r="F25" s="3070"/>
      <c r="G25" s="3070"/>
    </row>
    <row r="26" spans="1:7" s="1027" customFormat="1" ht="24" customHeight="1">
      <c r="A26" s="3071" t="s">
        <v>847</v>
      </c>
      <c r="B26" s="3071"/>
      <c r="C26" s="3072"/>
      <c r="D26" s="3073" t="s">
        <v>848</v>
      </c>
      <c r="E26" s="3071"/>
      <c r="F26" s="3071"/>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2019-01-02T08:09:32Z</dcterms:modified>
</cp:coreProperties>
</file>