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B57"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s="1"/>
  <c r="F9" i="1"/>
  <c r="F10" i="1"/>
  <c r="F11" i="1"/>
  <c r="F12" i="1"/>
  <c r="F13" i="1"/>
  <c r="D6" i="1"/>
  <c r="D9" i="1"/>
  <c r="D10" i="1"/>
  <c r="G10" i="1" s="1"/>
  <c r="D11" i="1"/>
  <c r="G11" i="1" s="1"/>
  <c r="D12" i="1"/>
  <c r="G12" i="1" s="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C20"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D10" i="6" s="1"/>
  <c r="BA5" i="3"/>
  <c r="E11" i="6"/>
  <c r="E60" i="39" s="1"/>
  <c r="BL17" i="3"/>
  <c r="AZ17" i="3"/>
  <c r="BL13" i="3"/>
  <c r="J56" i="9"/>
  <c r="J57" i="9" s="1"/>
  <c r="J59" i="9" s="1"/>
  <c r="J61" i="9" s="1"/>
  <c r="A24" i="51"/>
  <c r="B18" i="72"/>
  <c r="U29" i="34"/>
  <c r="C106" i="43"/>
  <c r="E14" i="6"/>
  <c r="E63" i="39" s="1"/>
  <c r="E5" i="6"/>
  <c r="D9" i="11" s="1"/>
  <c r="C9" i="11" s="1"/>
  <c r="J105" i="43"/>
  <c r="I115" i="43"/>
  <c r="J115" i="43" s="1"/>
  <c r="K115" i="43" s="1"/>
  <c r="L115" i="43" s="1"/>
  <c r="M115" i="43" s="1"/>
  <c r="G102" i="43"/>
  <c r="H22" i="43"/>
  <c r="L101" i="43"/>
  <c r="L109" i="43" s="1"/>
  <c r="H101" i="43"/>
  <c r="D101" i="43"/>
  <c r="D109" i="43"/>
  <c r="M101" i="43"/>
  <c r="M109" i="43"/>
  <c r="I101" i="43"/>
  <c r="I109" i="43"/>
  <c r="E101" i="43"/>
  <c r="G22" i="43"/>
  <c r="D22" i="43" s="1"/>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C48" i="69"/>
  <c r="F32" i="15"/>
  <c r="F60" i="15"/>
  <c r="M18" i="15"/>
  <c r="F28" i="15"/>
  <c r="C28" i="15" s="1"/>
  <c r="T11" i="1"/>
  <c r="D19" i="12"/>
  <c r="C19" i="12" s="1"/>
  <c r="AQ9" i="1"/>
  <c r="AR11" i="1"/>
  <c r="E59" i="40"/>
  <c r="T9" i="1"/>
  <c r="T13" i="1"/>
  <c r="D9" i="68"/>
  <c r="C9" i="68" s="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C30" i="11"/>
  <c r="E6" i="70"/>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s="1"/>
  <c r="C118" i="9" s="1"/>
  <c r="C14" i="74" s="1"/>
  <c r="B2" i="74"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5" i="6"/>
  <c r="C18" i="4"/>
  <c r="D8" i="6"/>
  <c r="D23" i="6"/>
  <c r="D14" i="6"/>
  <c r="R7" i="1"/>
  <c r="D9" i="6"/>
  <c r="L19" i="9"/>
  <c r="D29" i="6"/>
  <c r="F34" i="11"/>
  <c r="C37" i="11" s="1"/>
  <c r="F11" i="12"/>
  <c r="C23" i="12" s="1"/>
  <c r="F34" i="68"/>
  <c r="R8" i="1"/>
  <c r="C4" i="52"/>
  <c r="B45" i="72" s="1"/>
  <c r="E2" i="70"/>
  <c r="AE7" i="1"/>
  <c r="AE8" i="1"/>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34" i="9"/>
  <c r="F16" i="67"/>
  <c r="F42" i="67"/>
  <c r="B8" i="76"/>
  <c r="M6" i="15"/>
  <c r="L48" i="67"/>
  <c r="M24" i="15"/>
  <c r="E2" i="69"/>
  <c r="F38" i="15"/>
  <c r="B7" i="76"/>
  <c r="D2" i="35"/>
  <c r="M26" i="15"/>
  <c r="B9" i="76"/>
  <c r="F26" i="67"/>
  <c r="E11" i="76"/>
  <c r="M21" i="67"/>
  <c r="B11" i="76"/>
  <c r="F40" i="67"/>
  <c r="D5" i="73"/>
  <c r="E7" i="76"/>
  <c r="M8" i="15"/>
  <c r="F7" i="67"/>
  <c r="F6" i="15"/>
  <c r="E12" i="76"/>
  <c r="F3" i="73"/>
  <c r="E13" i="76"/>
  <c r="F13" i="15"/>
  <c r="F26" i="15"/>
  <c r="F36" i="67"/>
  <c r="M28" i="15"/>
  <c r="M29" i="15"/>
  <c r="D35" i="9"/>
  <c r="F7" i="73"/>
  <c r="M24" i="67"/>
  <c r="F6" i="73"/>
  <c r="M9" i="67"/>
  <c r="M9" i="15"/>
  <c r="M29" i="67"/>
  <c r="D4" i="73"/>
  <c r="D2" i="21"/>
  <c r="J15" i="15"/>
  <c r="B12" i="76"/>
  <c r="M8" i="67"/>
  <c r="B10" i="76"/>
  <c r="B13" i="76"/>
  <c r="F16" i="15"/>
  <c r="F42" i="15"/>
  <c r="F13" i="67"/>
  <c r="F4" i="73"/>
  <c r="E8" i="76"/>
  <c r="M6" i="67"/>
  <c r="E2" i="68"/>
  <c r="L47" i="67"/>
  <c r="AO8" i="1"/>
  <c r="F43" i="15"/>
  <c r="F20" i="31"/>
  <c r="F37" i="15"/>
  <c r="D2" i="34"/>
  <c r="AO7" i="1"/>
  <c r="F36" i="15"/>
  <c r="D6" i="73"/>
  <c r="F37" i="67"/>
  <c r="F41" i="67"/>
  <c r="M26" i="67"/>
  <c r="M22" i="67"/>
  <c r="F5" i="73"/>
  <c r="F43" i="67"/>
  <c r="E9" i="76"/>
  <c r="E10" i="76"/>
  <c r="AO9" i="1"/>
  <c r="M23" i="67"/>
  <c r="M27" i="67"/>
  <c r="F9" i="15"/>
  <c r="AO13" i="1"/>
  <c r="F8" i="15"/>
  <c r="F7" i="15"/>
  <c r="AO12" i="1"/>
  <c r="M28" i="67"/>
  <c r="C76" i="67"/>
  <c r="L48" i="15"/>
  <c r="F6" i="67"/>
  <c r="F8" i="67"/>
  <c r="F9" i="67"/>
  <c r="AO10" i="1"/>
  <c r="L47" i="15"/>
  <c r="C76" i="15"/>
  <c r="F40" i="15"/>
  <c r="D3" i="73"/>
  <c r="D7" i="73"/>
  <c r="F38" i="67"/>
  <c r="AO11" i="1"/>
  <c r="F35" i="67"/>
  <c r="D2" i="37"/>
  <c r="D2" i="36"/>
  <c r="M27" i="15"/>
  <c r="D2" i="33"/>
  <c r="M22" i="15"/>
  <c r="M23" i="15"/>
  <c r="J15" i="67"/>
  <c r="G6" i="1" l="1"/>
  <c r="C36" i="69"/>
  <c r="D9" i="69"/>
  <c r="C9" i="69" s="1"/>
  <c r="P61" i="15"/>
  <c r="C28" i="11"/>
  <c r="C27" i="11" s="1"/>
  <c r="F27" i="11"/>
  <c r="C47" i="11" s="1"/>
  <c r="D45" i="11" s="1"/>
  <c r="C92" i="9"/>
  <c r="C94" i="9"/>
  <c r="C48" i="68"/>
  <c r="C30" i="68"/>
  <c r="C31" i="12"/>
  <c r="C24" i="12"/>
  <c r="C28" i="67"/>
  <c r="C30" i="69"/>
  <c r="C29" i="11"/>
  <c r="D27" i="11" s="1"/>
  <c r="C21" i="69"/>
  <c r="D22" i="67"/>
  <c r="AR7" i="1"/>
  <c r="F28" i="12"/>
  <c r="A10" i="51"/>
  <c r="B9" i="72"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E28" i="6"/>
  <c r="G30" i="6"/>
  <c r="G31" i="6" s="1"/>
  <c r="A7" i="51"/>
  <c r="B7" i="72" s="1"/>
  <c r="D3" i="34"/>
  <c r="D3" i="33"/>
  <c r="E6" i="6"/>
  <c r="L18" i="9"/>
  <c r="D3" i="37"/>
  <c r="C36" i="11"/>
  <c r="E61" i="40"/>
  <c r="D28" i="6"/>
  <c r="D30" i="6" s="1"/>
  <c r="D11" i="6"/>
  <c r="D5" i="6"/>
  <c r="D20" i="6"/>
  <c r="D24" i="6"/>
  <c r="D21" i="6"/>
  <c r="D22" i="6"/>
  <c r="D26" i="6"/>
  <c r="D19"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F27" i="6"/>
  <c r="F31" i="6" s="1"/>
  <c r="E56" i="39"/>
  <c r="E51" i="40"/>
  <c r="E56" i="40"/>
  <c r="E13" i="6"/>
  <c r="E12" i="6"/>
  <c r="E15" i="6"/>
  <c r="D15" i="6" s="1"/>
  <c r="E16" i="6"/>
  <c r="P6" i="1"/>
  <c r="O11" i="1"/>
  <c r="P11" i="1" s="1"/>
  <c r="O8" i="1"/>
  <c r="C115" i="43"/>
  <c r="D113" i="43"/>
  <c r="O9" i="1"/>
  <c r="P9" i="1" s="1"/>
  <c r="P7" i="1"/>
  <c r="F27" i="68"/>
  <c r="F45" i="68" s="1"/>
  <c r="D19" i="53"/>
  <c r="D12" i="52"/>
  <c r="I14" i="74"/>
  <c r="B8" i="74" s="1"/>
  <c r="D127" i="9"/>
  <c r="D13" i="52" s="1"/>
  <c r="AA5" i="71"/>
  <c r="AB5" i="71"/>
  <c r="X5" i="71"/>
  <c r="Y5" i="71"/>
  <c r="Z5" i="71"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15"/>
  <c r="C14" i="67"/>
  <c r="C17" i="67"/>
  <c r="C14" i="15"/>
  <c r="G1" i="73"/>
  <c r="C16" i="67"/>
  <c r="C29" i="12" l="1"/>
  <c r="D28" i="12" s="1"/>
  <c r="C14" i="12"/>
  <c r="E30" i="6"/>
  <c r="K14" i="1"/>
  <c r="K23" i="6"/>
  <c r="M23" i="6" s="1"/>
  <c r="I23" i="6" s="1"/>
  <c r="C29" i="68"/>
  <c r="D27" i="68" s="1"/>
  <c r="J10" i="39"/>
  <c r="W10" i="39" s="1"/>
  <c r="E60" i="40"/>
  <c r="D27" i="6"/>
  <c r="D31" i="6" s="1"/>
  <c r="I6" i="6" s="1"/>
  <c r="E27" i="6"/>
  <c r="K22" i="6" s="1"/>
  <c r="M22" i="6" s="1"/>
  <c r="I22" i="6" s="1"/>
  <c r="D10" i="68"/>
  <c r="D20" i="12"/>
  <c r="C20" i="12" s="1"/>
  <c r="D10" i="11"/>
  <c r="C10" i="11" s="1"/>
  <c r="D6" i="6"/>
  <c r="D10" i="69"/>
  <c r="C47" i="68"/>
  <c r="D45" i="68" s="1"/>
  <c r="H10" i="40"/>
  <c r="U10" i="40" s="1"/>
  <c r="E64" i="39"/>
  <c r="E57" i="40"/>
  <c r="E61" i="39"/>
  <c r="AC6" i="3"/>
  <c r="E6" i="3" s="1"/>
  <c r="E58" i="40"/>
  <c r="E62" i="39"/>
  <c r="D12" i="6"/>
  <c r="D13" i="6"/>
  <c r="C18" i="15"/>
  <c r="C15" i="15"/>
  <c r="P8" i="1"/>
  <c r="H10" i="39"/>
  <c r="U10" i="39" s="1"/>
  <c r="J10" i="40"/>
  <c r="W10" i="40" s="1"/>
  <c r="B38" i="72"/>
  <c r="D20" i="53"/>
  <c r="B40" i="72" s="1"/>
  <c r="J7" i="37"/>
  <c r="H7" i="36"/>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6" i="6" l="1"/>
  <c r="K19" i="6"/>
  <c r="S6" i="1" s="1"/>
  <c r="AB10" i="39"/>
  <c r="AB10" i="40"/>
  <c r="AC10" i="39"/>
  <c r="C19" i="15"/>
  <c r="C20" i="15" s="1"/>
  <c r="C26" i="15" s="1"/>
  <c r="C10" i="69"/>
  <c r="C8" i="69" s="1"/>
  <c r="C5" i="69" s="1"/>
  <c r="D19" i="69"/>
  <c r="C10" i="68"/>
  <c r="B29" i="1" s="1"/>
  <c r="C8" i="68" s="1"/>
  <c r="C5" i="68" s="1"/>
  <c r="D19" i="68"/>
  <c r="AC10" i="40"/>
  <c r="K24" i="6"/>
  <c r="M24" i="6" s="1"/>
  <c r="I24" i="6" s="1"/>
  <c r="K20" i="6"/>
  <c r="M20" i="6" s="1"/>
  <c r="I20" i="6" s="1"/>
  <c r="K21" i="6"/>
  <c r="M21" i="6" s="1"/>
  <c r="I21" i="6" s="1"/>
  <c r="E31" i="6"/>
  <c r="I5" i="6" s="1"/>
  <c r="K25" i="6"/>
  <c r="M25" i="6" s="1"/>
  <c r="I25" i="6" s="1"/>
  <c r="M14" i="1"/>
  <c r="K16" i="1"/>
  <c r="C34" i="69"/>
  <c r="K26" i="6"/>
  <c r="M26" i="6" s="1"/>
  <c r="I26" i="6" s="1"/>
  <c r="S23" i="6"/>
  <c r="H23" i="6"/>
  <c r="R23" i="6" s="1"/>
  <c r="K27" i="6"/>
  <c r="S22" i="6"/>
  <c r="H22" i="6"/>
  <c r="R22" i="6" s="1"/>
  <c r="E65"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M19" i="6"/>
  <c r="AQ6" i="1"/>
  <c r="S16" i="1"/>
  <c r="AR6" i="1"/>
  <c r="T6" i="1"/>
  <c r="H25" i="6"/>
  <c r="R25" i="6" s="1"/>
  <c r="S25" i="6"/>
  <c r="M27" i="6"/>
  <c r="I19" i="6"/>
  <c r="C35" i="69"/>
  <c r="C38" i="69"/>
  <c r="O14" i="1"/>
  <c r="M16" i="1"/>
  <c r="N16" i="1" s="1"/>
  <c r="T16" i="1"/>
  <c r="S20" i="6"/>
  <c r="H20" i="6"/>
  <c r="R20" i="6" s="1"/>
  <c r="S26" i="6"/>
  <c r="H26" i="6"/>
  <c r="R26" i="6" s="1"/>
  <c r="H21" i="6"/>
  <c r="R21" i="6" s="1"/>
  <c r="S21" i="6"/>
  <c r="S24" i="6"/>
  <c r="H24" i="6"/>
  <c r="R24" i="6" s="1"/>
  <c r="C19" i="68"/>
  <c r="D37" i="68"/>
  <c r="C37" i="68" s="1"/>
  <c r="C19" i="69"/>
  <c r="C20" i="69" s="1"/>
  <c r="D37" i="69"/>
  <c r="C37"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4" i="68"/>
  <c r="D41" i="68" s="1"/>
  <c r="C23" i="68"/>
  <c r="C26" i="68"/>
  <c r="D22" i="68" s="1"/>
  <c r="C24" i="68"/>
  <c r="C26" i="12"/>
  <c r="D25" i="12" s="1"/>
  <c r="C44" i="11"/>
  <c r="D41" i="11" s="1"/>
  <c r="C23" i="11"/>
  <c r="C24" i="11"/>
  <c r="C25" i="11"/>
  <c r="C26" i="11"/>
  <c r="D22" i="11" s="1"/>
  <c r="C38" i="67"/>
  <c r="C38" i="15"/>
  <c r="C66" i="67"/>
  <c r="C60" i="67"/>
  <c r="C23" i="67"/>
  <c r="C29" i="67" s="1"/>
  <c r="B6" i="76"/>
  <c r="E6" i="76"/>
  <c r="C33" i="69" l="1"/>
  <c r="C42" i="69" s="1"/>
  <c r="C28" i="69"/>
  <c r="C27" i="69" s="1"/>
  <c r="C25" i="69"/>
  <c r="C22" i="69" s="1"/>
  <c r="C20" i="68"/>
  <c r="C25" i="68" s="1"/>
  <c r="C22" i="68" s="1"/>
  <c r="C34" i="68"/>
  <c r="C34" i="11"/>
  <c r="L16" i="1"/>
  <c r="H19" i="6"/>
  <c r="S19" i="6"/>
  <c r="S27" i="6" s="1"/>
  <c r="I27" i="6"/>
  <c r="C39" i="69"/>
  <c r="C43" i="69" s="1"/>
  <c r="F50" i="68"/>
  <c r="F50" i="11"/>
  <c r="F50" i="69"/>
  <c r="P14" i="1"/>
  <c r="P16" i="1" s="1"/>
  <c r="C11" i="12" s="1"/>
  <c r="O16" i="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1" i="69" l="1"/>
  <c r="C41" i="69"/>
  <c r="C46" i="69"/>
  <c r="C45" i="69" s="1"/>
  <c r="C28" i="68"/>
  <c r="C27" i="68" s="1"/>
  <c r="C31" i="68" s="1"/>
  <c r="C38" i="11"/>
  <c r="C35" i="11"/>
  <c r="C38" i="68"/>
  <c r="C35" i="68"/>
  <c r="C12" i="12"/>
  <c r="C15" i="12"/>
  <c r="H27" i="6"/>
  <c r="R19"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6" i="12" l="1"/>
  <c r="C21" i="12" s="1"/>
  <c r="C49" i="69"/>
  <c r="C51" i="69" s="1"/>
  <c r="C52" i="69" s="1"/>
  <c r="B2" i="69" s="1"/>
  <c r="B3" i="69" s="1"/>
  <c r="R27" i="6"/>
  <c r="R6" i="1"/>
  <c r="C33" i="11"/>
  <c r="C42" i="11" s="1"/>
  <c r="C33" i="68"/>
  <c r="C39" i="68" s="1"/>
  <c r="C22" i="12"/>
  <c r="C30" i="12" s="1"/>
  <c r="C28" i="12"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20" i="15" l="1"/>
  <c r="J17" i="15" s="1"/>
  <c r="J16" i="15" s="1"/>
  <c r="J25" i="15" s="1"/>
  <c r="C34" i="15"/>
  <c r="C31" i="15" s="1"/>
  <c r="C30" i="15" s="1"/>
  <c r="C39" i="15" s="1"/>
  <c r="F63" i="15"/>
  <c r="C62" i="15" s="1"/>
  <c r="C59" i="15" s="1"/>
  <c r="C58" i="15" s="1"/>
  <c r="C67" i="15" s="1"/>
  <c r="C68" i="15" s="1"/>
  <c r="C71" i="15" s="1"/>
  <c r="R16" i="1"/>
  <c r="C57" i="69"/>
  <c r="C56" i="69" s="1"/>
  <c r="C39" i="11"/>
  <c r="C46" i="11" s="1"/>
  <c r="C45" i="11" s="1"/>
  <c r="C27" i="12"/>
  <c r="C25" i="12" s="1"/>
  <c r="C32" i="12" s="1"/>
  <c r="B2" i="12" s="1"/>
  <c r="B3" i="12" s="1"/>
  <c r="C42" i="68"/>
  <c r="C46" i="68"/>
  <c r="C45" i="68" s="1"/>
  <c r="C43" i="68"/>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1" i="68"/>
  <c r="C49" i="68" s="1"/>
  <c r="C51" i="68" s="1"/>
  <c r="C52" i="68" s="1"/>
  <c r="B2" i="68" s="1"/>
  <c r="C43" i="11"/>
  <c r="C41" i="11" s="1"/>
  <c r="C49" i="11" s="1"/>
  <c r="C51" i="11" s="1"/>
  <c r="C52" i="11" s="1"/>
  <c r="B2" i="11" s="1"/>
  <c r="B3"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21" i="9" l="1"/>
  <c r="C102" i="9"/>
  <c r="B3" i="68"/>
  <c r="Q57" i="15"/>
  <c r="Q66" i="15"/>
  <c r="Q56" i="15"/>
  <c r="C43" i="15"/>
  <c r="C83" i="15"/>
  <c r="C82" i="15" s="1"/>
  <c r="B2" i="15"/>
  <c r="Q65" i="15"/>
  <c r="Q47" i="15"/>
  <c r="Q53" i="15" s="1"/>
  <c r="C46" i="15"/>
  <c r="C57" i="68"/>
  <c r="C56" i="68" s="1"/>
  <c r="C56" i="11"/>
  <c r="C57" i="11" s="1"/>
  <c r="M69" i="39"/>
  <c r="N67" i="39"/>
  <c r="R39" i="35"/>
  <c r="E38" i="35"/>
  <c r="M63" i="40"/>
  <c r="L65" i="40"/>
  <c r="D19" i="9"/>
  <c r="C20" i="9"/>
  <c r="AO6" i="1"/>
  <c r="C103" i="9" l="1"/>
  <c r="G19" i="9"/>
  <c r="G21" i="9" s="1"/>
  <c r="D21" i="9"/>
  <c r="D22" i="9"/>
  <c r="D102" i="9"/>
  <c r="Q62" i="15"/>
  <c r="Q75" i="15"/>
  <c r="B6" i="70"/>
  <c r="B2" i="70" s="1"/>
  <c r="B3" i="70" s="1"/>
  <c r="B3" i="15"/>
  <c r="O67" i="39"/>
  <c r="O69" i="39" s="1"/>
  <c r="N69" i="39"/>
  <c r="F7" i="39"/>
  <c r="C39" i="35"/>
  <c r="B2" i="35" s="1"/>
  <c r="B3" i="35" s="1"/>
  <c r="C38" i="35"/>
  <c r="N63" i="40"/>
  <c r="M65" i="40"/>
  <c r="E43" i="35"/>
  <c r="F43" i="35" s="1"/>
  <c r="E42" i="35"/>
  <c r="F42" i="35" s="1"/>
  <c r="I43" i="35"/>
  <c r="J43" i="35" s="1"/>
  <c r="D20" i="9"/>
  <c r="G20" i="9" l="1"/>
  <c r="C32" i="9" s="1"/>
  <c r="D103" i="9"/>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D118" i="9"/>
  <c r="D4" i="52" s="1"/>
  <c r="B47" i="72" s="1"/>
  <c r="D119" i="9"/>
  <c r="D5" i="52" s="1"/>
  <c r="B49" i="72" s="1"/>
  <c r="G118" i="9" l="1"/>
  <c r="G4" i="52" s="1"/>
  <c r="B52" i="72" s="1"/>
  <c r="H4" i="52"/>
  <c r="D14" i="74"/>
  <c r="H101" i="9"/>
  <c r="I118" i="9"/>
  <c r="C104" i="9"/>
  <c r="H119" i="9"/>
  <c r="H5" i="52" s="1"/>
  <c r="F119" i="9"/>
  <c r="F5" i="52" s="1"/>
  <c r="B53" i="72" s="1"/>
  <c r="C105" i="9" l="1"/>
  <c r="H102" i="9"/>
  <c r="D7" i="53" s="1"/>
  <c r="B21" i="72" s="1"/>
  <c r="I4" i="52"/>
  <c r="E118" i="9"/>
  <c r="E4" i="52" s="1"/>
  <c r="B48" i="72" s="1"/>
  <c r="E14" i="74"/>
  <c r="B5" i="74"/>
  <c r="F14" i="74"/>
  <c r="M48" i="9"/>
  <c r="D5" i="53"/>
  <c r="H107" i="9"/>
  <c r="D45" i="9"/>
  <c r="D5" i="74" l="1"/>
  <c r="C5" i="74"/>
  <c r="H108" i="9"/>
  <c r="D15" i="53" s="1"/>
  <c r="B31" i="72" s="1"/>
  <c r="D122" i="9"/>
  <c r="M49" i="9"/>
  <c r="D13" i="53"/>
  <c r="D53" i="9"/>
  <c r="C93" i="9"/>
  <c r="C86" i="9" s="1"/>
  <c r="C78" i="9"/>
  <c r="C73" i="9" s="1"/>
  <c r="C72" i="9"/>
  <c r="C64" i="9"/>
  <c r="C63" i="9" s="1"/>
  <c r="C67" i="9" s="1"/>
  <c r="C85" i="9"/>
  <c r="C95" i="9" s="1"/>
  <c r="D52" i="9"/>
  <c r="D55" i="9"/>
  <c r="M53" i="9" s="1"/>
  <c r="B20" i="72"/>
  <c r="D6" i="53"/>
  <c r="B22" i="72" s="1"/>
  <c r="C96" i="9" l="1"/>
  <c r="E96" i="9" s="1"/>
  <c r="E97" i="9" s="1"/>
  <c r="C79" i="9"/>
  <c r="B30" i="72"/>
  <c r="D14" i="53"/>
  <c r="B32" i="72" s="1"/>
  <c r="D8" i="52"/>
  <c r="G14" i="74"/>
  <c r="B6" i="74" s="1"/>
  <c r="D123" i="9"/>
  <c r="D9" i="52" s="1"/>
  <c r="D59" i="9"/>
  <c r="M55" i="9" s="1"/>
  <c r="C68" i="9"/>
  <c r="D54" i="9" s="1"/>
  <c r="L65" i="9"/>
  <c r="M65" i="9" s="1"/>
  <c r="L67" i="9"/>
  <c r="M67" i="9" s="1"/>
  <c r="L64" i="9"/>
  <c r="M64" i="9" s="1"/>
  <c r="L68" i="9"/>
  <c r="M68" i="9" s="1"/>
  <c r="L66" i="9"/>
  <c r="M66" i="9" s="1"/>
  <c r="L63" i="9"/>
  <c r="M63" i="9" s="1"/>
  <c r="M69" i="9" l="1"/>
  <c r="N69" i="9" s="1"/>
  <c r="D6" i="74"/>
  <c r="C6" i="74"/>
  <c r="C80" i="9"/>
  <c r="E80" i="9" s="1"/>
  <c r="E81"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<sst xmlns="http://schemas.openxmlformats.org/spreadsheetml/2006/main" count="7412" uniqueCount="3196">
  <si>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</si>
  <si>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</si>
  <si>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</si>
  <si>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</si>
  <si>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</si>
  <si>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</si>
  <si>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</si>
  <si>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</si>
  <si>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</si>
  <si>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</si>
  <si>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</si>
  <si>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</si>
  <si>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</si>
  <si>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</si>
  <si>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</si>
  <si>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</si>
  <si>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</si>
  <si>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</si>
  <si>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</si>
  <si>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</si>
  <si>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</si>
  <si>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</si>
  <si>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</si>
  <si>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</si>
  <si>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</si>
  <si>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</si>
  <si>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</si>
  <si>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</si>
  <si>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</si>
  <si>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</si>
  <si>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</si>
  <si>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</si>
  <si>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</si>
  <si>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</si>
  <si>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</si>
  <si>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</si>
  <si>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</si>
  <si>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</si>
  <si>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</si>
  <si>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</si>
  <si>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</si>
  <si>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</si>
  <si>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</si>
  <si>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</si>
  <si>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</si>
  <si>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</si>
  <si>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</si>
  <si>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</si>
  <si>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</si>
  <si>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</si>
  <si>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</si>
  <si>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</si>
  <si>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</si>
  <si>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</si>
  <si>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</si>
  <si>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</si>
  <si>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</si>
  <si>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</si>
  <si>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</si>
  <si>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</si>
  <si>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</si>
  <si>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</si>
  <si>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</si>
  <si>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</si>
  <si>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</si>
  <si>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</si>
  <si>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</si>
  <si>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</si>
  <si>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</si>
  <si>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</si>
  <si>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</si>
  <si>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</si>
  <si>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</si>
  <si>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</si>
  <si>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</si>
  <si>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</si>
  <si>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</si>
  <si>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</si>
  <si>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</si>
  <si>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</si>
  <si>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</si>
  <si>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</si>
  <si>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</si>
  <si>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</si>
  <si>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</si>
  <si>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</si>
  <si>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</si>
  <si>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</si>
  <si>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</si>
  <si>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</si>
  <si>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</si>
  <si>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</si>
  <si>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</si>
  <si>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</si>
  <si>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</si>
  <si>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</si>
  <si>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</si>
  <si>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</si>
  <si>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</si>
  <si>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</si>
  <si>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</si>
  <si>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</si>
  <si>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</si>
  <si>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</si>
  <si>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</si>
  <si>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</si>
  <si>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</si>
  <si>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</si>
  <si>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</si>
  <si>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</si>
  <si>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</si>
  <si>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</si>
  <si>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</si>
  <si>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</si>
  <si>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</si>
  <si>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</si>
  <si>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</si>
  <si>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</si>
  <si>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</si>
  <si>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</si>
  <si>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</si>
  <si>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</si>
  <si>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</si>
  <si>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</si>
  <si>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</si>
  <si>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</si>
  <si>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</si>
  <si>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</si>
  <si>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</si>
  <si>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</si>
  <si>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</si>
  <si>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</si>
  <si>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</si>
  <si>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</si>
  <si>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</si>
  <si>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</si>
  <si>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</si>
  <si>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</si>
  <si>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</si>
  <si>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</si>
  <si>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</si>
  <si>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</si>
  <si>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</si>
  <si>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</si>
  <si>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</si>
  <si>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</si>
  <si>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</si>
  <si>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</si>
  <si>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</si>
  <si>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</si>
  <si>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</si>
  <si>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</si>
  <si>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</si>
  <si>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</si>
  <si>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</si>
  <si>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</si>
  <si>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</si>
  <si>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</si>
  <si>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</si>
  <si>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</si>
  <si>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</si>
  <si>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</si>
  <si>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</si>
  <si>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</si>
  <si>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</si>
  <si>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</si>
  <si>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</si>
  <si>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</si>
  <si>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</si>
  <si>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</si>
  <si>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</si>
  <si>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</si>
  <si>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</si>
  <si>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</si>
  <si>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</si>
  <si>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</si>
  <si>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</si>
  <si>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</si>
  <si>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</si>
  <si>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</si>
  <si>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</si>
  <si>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</si>
  <si>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</si>
  <si>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</si>
  <si>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</si>
  <si>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</si>
  <si>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</si>
  <si>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</si>
  <si>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</si>
  <si>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</si>
  <si>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</si>
  <si>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</si>
  <si>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</si>
  <si>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</si>
  <si>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</si>
  <si>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</si>
  <si>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</si>
  <si>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</si>
  <si>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</si>
  <si>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</si>
  <si>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</si>
  <si>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</si>
  <si>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</si>
  <si>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</si>
  <si>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</si>
  <si>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</si>
  <si>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</si>
  <si>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</si>
  <si>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</si>
  <si>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</si>
  <si>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</si>
  <si>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</si>
  <si>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</si>
  <si>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</si>
  <si>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</si>
  <si>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</si>
  <si>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</si>
  <si>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</si>
  <si>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</si>
  <si>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</si>
  <si>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</si>
  <si>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</si>
  <si>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</si>
  <si>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</si>
  <si>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</si>
  <si>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</si>
  <si>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</si>
  <si>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</si>
  <si>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</si>
  <si>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</si>
  <si>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</si>
  <si>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</si>
  <si>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</si>
  <si>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</si>
  <si>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</si>
  <si>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</si>
  <si>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</si>
  <si>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</si>
  <si>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</si>
  <si>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</si>
  <si>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</si>
  <si>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</si>
  <si>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</si>
  <si>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</si>
  <si>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</si>
  <si>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</si>
  <si>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</si>
  <si>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</si>
  <si>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</si>
  <si>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</si>
  <si>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</si>
  <si>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</si>
  <si>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</si>
  <si>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</si>
  <si>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</si>
  <si>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</si>
  <si>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</si>
  <si>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</si>
  <si>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</si>
  <si>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</si>
  <si>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</si>
  <si>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</si>
  <si>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</si>
  <si>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</si>
  <si>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</si>
  <si>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</si>
  <si>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</si>
  <si>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</si>
  <si>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</si>
  <si>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</si>
  <si>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</si>
  <si>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</si>
  <si>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</si>
  <si>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</si>
  <si>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</si>
  <si>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</si>
  <si>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</si>
  <si>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</si>
  <si>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</si>
  <si>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</si>
  <si>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</si>
  <si>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</si>
  <si>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</si>
  <si>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</si>
  <si>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</si>
  <si>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</si>
  <si>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</si>
  <si>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</si>
  <si>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</si>
  <si>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</si>
  <si>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</si>
  <si>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</si>
  <si>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</si>
  <si>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</si>
  <si>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</si>
  <si>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</si>
  <si>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</si>
  <si>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</si>
  <si>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</si>
  <si>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</si>
  <si>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</si>
  <si>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</si>
  <si>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</si>
  <si>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</si>
  <si>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</si>
  <si>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</si>
  <si>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</si>
  <si>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</si>
  <si>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</si>
  <si>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</si>
  <si>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</si>
  <si>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</si>
  <si>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</si>
  <si>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</si>
  <si>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</si>
  <si>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</si>
  <si>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</si>
  <si>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</si>
  <si>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</si>
  <si>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</si>
  <si>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</si>
  <si>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</si>
  <si>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</si>
  <si>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</si>
  <si>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</si>
  <si>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</si>
  <si>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</si>
  <si>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</si>
  <si>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</si>
  <si>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</si>
  <si>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</si>
  <si>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</si>
  <si>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</si>
  <si>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</si>
  <si>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</si>
  <si>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</si>
  <si>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</si>
  <si>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</si>
  <si>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</si>
  <si>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</si>
  <si>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</si>
  <si>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</si>
  <si>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</si>
  <si>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</si>
  <si>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</si>
  <si>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</si>
  <si>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</si>
  <si>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</si>
  <si>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</si>
  <si>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</si>
  <si>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</si>
  <si>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</si>
  <si>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</si>
  <si>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</si>
  <si>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</si>
  <si>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</si>
  <si>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</si>
  <si>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</si>
  <si>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</si>
  <si>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</si>
  <si>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</si>
  <si>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</si>
  <si>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</si>
  <si>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</si>
  <si>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</si>
  <si>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</si>
  <si>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</si>
  <si>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</si>
  <si>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</si>
  <si>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</si>
  <si>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</si>
  <si>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</si>
  <si>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</si>
  <si>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</si>
  <si>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</si>
  <si>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</si>
  <si>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</si>
  <si>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</si>
  <si>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</si>
  <si>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</si>
  <si>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</si>
  <si>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</si>
  <si>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</si>
  <si>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</si>
  <si>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</si>
  <si>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</si>
  <si>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</si>
  <si>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</si>
  <si>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</si>
  <si>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</si>
  <si>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</si>
  <si>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</si>
  <si>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</si>
  <si>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</si>
  <si>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</si>
  <si>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</si>
  <si>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</si>
  <si>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</si>
  <si>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</si>
  <si>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</si>
  <si>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</si>
  <si>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</si>
  <si>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</si>
  <si>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</si>
  <si>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</si>
  <si>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</si>
  <si>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</si>
  <si>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</si>
  <si>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</si>
  <si>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</si>
  <si>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</si>
  <si>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</si>
  <si>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</si>
  <si>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</si>
  <si>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</si>
  <si>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</si>
  <si>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</si>
  <si>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</si>
  <si>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</si>
  <si>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</si>
  <si>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</si>
  <si>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</si>
  <si>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</si>
  <si>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</si>
  <si>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</si>
  <si>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</si>
  <si>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</si>
  <si>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</si>
  <si>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</si>
  <si>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</si>
  <si>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</si>
  <si>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</si>
  <si>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</si>
  <si>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</si>
  <si>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</si>
  <si>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</si>
  <si>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</si>
  <si>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</si>
  <si>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</si>
  <si>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</si>
  <si>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</si>
  <si>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</si>
  <si>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</si>
  <si>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</si>
  <si>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</si>
  <si>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</si>
  <si>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</si>
  <si>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</si>
  <si>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</si>
  <si>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</si>
  <si>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</si>
  <si>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</si>
  <si>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</si>
  <si>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</si>
  <si>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</si>
  <si>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</si>
  <si>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</si>
  <si>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</si>
  <si>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</si>
  <si>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</si>
  <si>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</si>
  <si>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</si>
  <si>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</si>
  <si>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</si>
  <si>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</si>
  <si>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</si>
  <si>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</si>
  <si>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</si>
  <si>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</si>
  <si>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</si>
  <si>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</si>
  <si>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</si>
  <si>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</si>
  <si>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</si>
  <si>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</si>
  <si>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</si>
  <si>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</si>
  <si>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</si>
  <si>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</si>
  <si>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</si>
  <si>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</si>
  <si>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</si>
  <si>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</si>
  <si>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</si>
  <si>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</si>
  <si>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</si>
  <si>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</si>
  <si>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</si>
  <si>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</si>
  <si>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</si>
  <si>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</si>
  <si>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</si>
  <si>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</si>
  <si>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</si>
  <si>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</si>
  <si>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</si>
  <si>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</si>
  <si>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</si>
  <si>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</si>
  <si>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</si>
  <si>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</si>
  <si>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</si>
  <si>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</si>
  <si>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</si>
  <si>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</si>
  <si>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</si>
  <si>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</si>
  <si>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</si>
  <si>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</si>
  <si>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</si>
  <si>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</si>
  <si>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</si>
  <si>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</si>
  <si>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</si>
  <si>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</si>
  <si>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</si>
  <si>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</si>
  <si>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</si>
  <si>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</si>
  <si>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</si>
  <si>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</si>
  <si>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</si>
  <si>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</si>
  <si>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</si>
  <si>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</si>
  <si>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</si>
  <si>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</si>
  <si>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</si>
  <si>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</si>
  <si>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</si>
  <si>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</si>
  <si>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</si>
  <si>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</si>
  <si>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</si>
  <si>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</si>
  <si>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</si>
  <si>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</si>
  <si>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</si>
  <si>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</si>
  <si>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</si>
  <si>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</si>
  <si>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</si>
  <si>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</si>
  <si>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</si>
  <si>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</si>
  <si>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</si>
  <si>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</si>
  <si>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</si>
  <si>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</si>
  <si>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</si>
  <si>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</si>
  <si>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</si>
  <si>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</si>
  <si>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</si>
  <si>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</si>
  <si>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</si>
  <si>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</si>
  <si>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</si>
  <si>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</si>
  <si>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</si>
  <si>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</si>
  <si>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</si>
  <si>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</si>
  <si>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</si>
  <si>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</si>
  <si>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</si>
  <si>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</si>
  <si>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</si>
  <si>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</si>
  <si>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</si>
  <si>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</si>
  <si>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</si>
  <si>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</si>
  <si>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</si>
  <si>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</si>
  <si>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</si>
  <si>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</si>
  <si>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</si>
  <si>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</si>
  <si>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</si>
  <si>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</si>
  <si>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</si>
  <si>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</si>
  <si>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</si>
  <si>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</si>
  <si>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</si>
  <si>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</si>
  <si>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</si>
  <si>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</si>
  <si>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</si>
  <si>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</si>
  <si>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</si>
  <si>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</si>
  <si>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</si>
  <si>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</si>
  <si>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</si>
  <si>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</si>
  <si>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</si>
  <si>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</si>
  <si>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</si>
  <si>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</si>
  <si>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</si>
  <si>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</si>
  <si>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</si>
  <si>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</si>
  <si>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</si>
  <si>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</si>
  <si>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</si>
  <si>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</si>
  <si>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</si>
  <si>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</si>
  <si>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</si>
  <si>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</si>
  <si>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</si>
  <si>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</si>
  <si>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</si>
  <si>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</si>
  <si>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</si>
  <si>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</si>
  <si>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</si>
  <si>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</si>
  <si>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</si>
  <si>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</si>
  <si>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</si>
  <si>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</si>
  <si>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</si>
  <si>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</si>
  <si>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</si>
  <si>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</si>
  <si>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</si>
  <si>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</si>
  <si>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</si>
  <si>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</si>
  <si>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</si>
  <si>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</si>
  <si>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</si>
  <si>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</si>
  <si>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</si>
  <si>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</si>
  <si>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</si>
  <si>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</si>
  <si>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</si>
  <si>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</si>
  <si>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</si>
  <si>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</si>
  <si>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</si>
  <si>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</si>
  <si>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</si>
  <si>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</si>
  <si>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</si>
  <si>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</si>
  <si>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</si>
  <si>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</si>
  <si>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</si>
  <si>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</si>
  <si>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</si>
  <si>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</si>
  <si>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</si>
  <si>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</si>
  <si>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</si>
  <si>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</si>
  <si>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</si>
  <si>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</si>
  <si>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</si>
  <si>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</si>
  <si>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</si>
  <si>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</si>
  <si>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</si>
  <si>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</si>
  <si>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</si>
  <si>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</si>
  <si>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</si>
  <si>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</si>
  <si>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</si>
  <si>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</si>
  <si>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</si>
  <si>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</si>
  <si>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</si>
  <si>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</si>
  <si>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</si>
  <si>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</si>
  <si>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</si>
  <si>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</si>
  <si>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</si>
  <si>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</si>
  <si>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</si>
  <si>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</si>
  <si>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</si>
  <si>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</si>
  <si>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</si>
  <si>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</si>
  <si>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</si>
  <si>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</si>
  <si>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</si>
  <si>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</si>
  <si>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</si>
  <si>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</si>
  <si>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</si>
  <si>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</si>
  <si>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</si>
  <si>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</si>
  <si>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</si>
  <si>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</si>
  <si>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</si>
  <si>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</si>
  <si>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</si>
  <si>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</si>
  <si>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</si>
  <si>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</si>
  <si>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</si>
  <si>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</si>
  <si>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</si>
  <si>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</si>
  <si>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</si>
  <si>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</si>
  <si>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</si>
  <si>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</si>
  <si>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</si>
  <si>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</si>
  <si>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</si>
  <si>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</si>
  <si>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</si>
  <si>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</si>
  <si>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</si>
  <si>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</si>
  <si>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</si>
  <si>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</si>
  <si>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</si>
  <si>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</si>
  <si>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</si>
  <si>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</si>
  <si>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</si>
  <si>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</si>
  <si>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</si>
  <si>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</si>
  <si>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</si>
  <si>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</si>
  <si>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</si>
  <si>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</si>
  <si>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</si>
  <si>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</si>
  <si>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</si>
  <si>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</si>
  <si>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</si>
  <si>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</si>
  <si>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</si>
  <si>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</si>
  <si>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</si>
  <si>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</si>
  <si>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</si>
  <si>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</si>
  <si>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</si>
  <si>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</si>
  <si>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</si>
  <si>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</si>
  <si>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</si>
  <si>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</si>
  <si>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</si>
  <si>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</si>
  <si>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</si>
  <si>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</si>
  <si>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</si>
  <si>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</si>
  <si>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</si>
  <si>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</si>
  <si>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</si>
  <si>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</si>
  <si>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</si>
  <si>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</si>
  <si>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</si>
  <si>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</si>
  <si>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</si>
  <si>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</si>
  <si>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</si>
  <si>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</si>
  <si>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</si>
  <si>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</si>
  <si>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</si>
  <si>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</si>
  <si>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</si>
  <si>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</si>
  <si>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</si>
  <si>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</si>
  <si>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</si>
  <si>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</si>
  <si>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</si>
  <si>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</si>
  <si>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</si>
  <si>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</si>
  <si>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</si>
  <si>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</si>
  <si>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</si>
  <si>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</si>
  <si>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</si>
  <si>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</si>
  <si>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</si>
  <si>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</si>
  <si>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</si>
  <si>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</si>
  <si>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</si>
  <si>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</si>
  <si>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</si>
  <si>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</si>
  <si>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</si>
  <si>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</si>
  <si>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</si>
  <si>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</si>
  <si>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</si>
  <si>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</si>
  <si>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</si>
  <si>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</si>
  <si>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</si>
  <si>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</si>
  <si>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</si>
  <si>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</si>
  <si>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</si>
  <si>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</si>
  <si>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</si>
  <si>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</si>
  <si>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</si>
  <si>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</si>
  <si>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</si>
  <si>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</si>
  <si>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</si>
  <si>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</si>
  <si>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</si>
  <si>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</si>
  <si>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</si>
  <si>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</si>
  <si>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</si>
  <si>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</si>
  <si>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</si>
  <si>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</si>
  <si>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</si>
  <si>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</si>
  <si>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</si>
  <si>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</si>
  <si>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</si>
  <si>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</si>
  <si>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</si>
  <si>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</si>
  <si>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</si>
  <si>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</si>
  <si>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</si>
  <si>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</si>
  <si>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</si>
  <si>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</si>
  <si>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</si>
  <si>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</si>
  <si>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</si>
  <si>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</si>
  <si>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</si>
  <si>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</si>
  <si>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</si>
  <si>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</si>
  <si>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</si>
  <si>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</si>
  <si>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</si>
  <si>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</si>
  <si>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</si>
  <si>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</si>
  <si>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</si>
  <si>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</si>
  <si>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</si>
  <si>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</si>
  <si>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</si>
  <si>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</si>
  <si>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</si>
  <si>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</si>
  <si>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</si>
  <si>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</si>
  <si>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</si>
  <si>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</si>
  <si>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</si>
  <si>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</si>
  <si>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</si>
  <si>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</si>
  <si>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</si>
  <si>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</si>
  <si>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</si>
  <si>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</si>
  <si>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</si>
  <si>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</si>
  <si>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</si>
  <si>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</si>
  <si>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</si>
  <si>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</si>
  <si>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</si>
  <si>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</si>
  <si>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</si>
  <si>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</si>
  <si>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</si>
  <si>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</si>
  <si>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</si>
  <si>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</si>
  <si>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</si>
  <si>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</si>
  <si>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</si>
  <si>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</si>
  <si>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</si>
  <si>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</si>
  <si>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</si>
  <si>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</si>
  <si>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</si>
  <si>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</si>
  <si>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</si>
  <si>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</si>
  <si>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</si>
  <si>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</si>
  <si>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</si>
  <si>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</si>
  <si>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</si>
  <si>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</si>
  <si>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</si>
  <si>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</si>
  <si>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</si>
  <si>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</si>
  <si>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</si>
  <si>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</si>
  <si>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</si>
  <si>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</si>
  <si>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</si>
  <si>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</si>
  <si>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</si>
  <si>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</si>
  <si>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</si>
  <si>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</si>
  <si>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</si>
  <si>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</si>
  <si>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</si>
  <si>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</si>
  <si>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</si>
  <si>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</si>
  <si>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</si>
  <si>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</si>
  <si>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</si>
  <si>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</si>
  <si>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</si>
  <si>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</si>
  <si>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</si>
  <si>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</si>
  <si>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</si>
  <si>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</si>
  <si>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</si>
  <si>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</si>
  <si>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</si>
  <si>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</si>
  <si>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</si>
  <si>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</si>
  <si>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</si>
  <si>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</si>
  <si>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</si>
  <si>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</si>
  <si>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</si>
  <si>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</si>
  <si>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</si>
  <si>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</si>
  <si>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</si>
  <si>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</si>
  <si>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</si>
  <si>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</si>
  <si>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</si>
  <si>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</si>
  <si>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</si>
  <si>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</si>
  <si>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</si>
  <si>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</si>
  <si>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</si>
  <si>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</si>
  <si>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</si>
  <si>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</si>
  <si>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</si>
  <si>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</si>
  <si>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</si>
  <si>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</si>
  <si>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</si>
  <si>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</si>
  <si>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</si>
  <si>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</si>
  <si>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</si>
  <si>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</si>
  <si>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</si>
  <si>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</si>
  <si>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</si>
  <si>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</si>
  <si>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</si>
  <si>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</si>
  <si>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</si>
  <si>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</si>
  <si>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</si>
  <si>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</si>
  <si>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</si>
  <si>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</si>
  <si>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</si>
  <si>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</si>
  <si>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</si>
  <si>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</si>
  <si>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</si>
  <si>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</si>
  <si>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</si>
  <si>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</si>
  <si>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</si>
  <si>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</si>
  <si>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</si>
  <si>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</si>
  <si>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</si>
  <si>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</si>
  <si>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</si>
  <si>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</si>
  <si>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</si>
  <si>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</si>
  <si>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</si>
  <si>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</si>
  <si>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</si>
  <si>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</si>
  <si>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</si>
  <si>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</si>
  <si>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</si>
  <si>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</si>
  <si>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</si>
  <si>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</si>
  <si>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</si>
  <si>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</si>
  <si>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</si>
  <si>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</si>
  <si>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</si>
  <si>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</si>
  <si>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</si>
  <si>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</si>
  <si>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</si>
  <si>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</si>
  <si>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</si>
  <si>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</si>
  <si>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</si>
  <si>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</si>
  <si>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</si>
  <si>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</si>
  <si>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</si>
  <si>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</si>
  <si>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</si>
  <si>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</si>
  <si>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</si>
  <si>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</si>
  <si>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</si>
  <si>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</si>
  <si>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</si>
  <si>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</si>
  <si>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</si>
  <si>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</si>
  <si>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</si>
  <si>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</si>
  <si>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</si>
  <si>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</si>
  <si>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</si>
  <si>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</si>
  <si>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</si>
  <si>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</si>
  <si>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</si>
  <si>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</si>
  <si>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</si>
  <si>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</si>
  <si>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</si>
  <si>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</si>
  <si>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</si>
  <si>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</si>
  <si>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</si>
  <si>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</si>
  <si>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</si>
  <si>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</si>
  <si>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</si>
  <si>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</si>
  <si>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</si>
  <si>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</si>
  <si>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</si>
  <si>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</si>
  <si>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</si>
  <si>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</si>
  <si>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</si>
  <si>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</si>
  <si>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</si>
  <si>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</si>
  <si>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</si>
  <si>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</si>
  <si>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</si>
  <si>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</si>
  <si>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</si>
  <si>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</si>
  <si>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</si>
  <si>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</si>
  <si>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</si>
  <si>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</si>
  <si>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</si>
  <si>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</si>
  <si>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</si>
  <si>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</si>
  <si>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</si>
  <si>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</si>
  <si>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</si>
  <si>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</si>
  <si>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</si>
  <si>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</si>
  <si>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</si>
  <si>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</si>
  <si>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</si>
  <si>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</si>
  <si>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</si>
  <si>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</si>
  <si>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</si>
  <si>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</si>
  <si>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</si>
  <si>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</si>
  <si>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</si>
  <si>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</si>
  <si>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</si>
  <si>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</si>
  <si>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</si>
  <si>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</si>
  <si>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</si>
  <si>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</si>
  <si>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</si>
  <si>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</si>
  <si>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</si>
  <si>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</si>
  <si>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</si>
  <si>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</si>
  <si>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</si>
  <si>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</si>
  <si>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</si>
  <si>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</si>
  <si>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</si>
  <si>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</si>
  <si>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</si>
  <si>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</si>
  <si>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</si>
  <si>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</si>
  <si>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</si>
  <si>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</si>
  <si>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</si>
  <si>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</si>
  <si>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</si>
  <si>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</si>
  <si>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</si>
  <si>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</si>
  <si>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</si>
  <si>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</si>
  <si>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</si>
  <si>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</si>
  <si>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</si>
  <si>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</si>
  <si>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</si>
  <si>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</si>
  <si>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</si>
  <si>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</si>
  <si>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</si>
  <si>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</si>
  <si>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</si>
  <si>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</si>
  <si>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</si>
  <si>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</si>
  <si>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</si>
  <si>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</si>
  <si>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</si>
  <si>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</si>
  <si>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</si>
  <si>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</si>
  <si>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</si>
  <si>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</si>
  <si>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</si>
  <si>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</si>
  <si>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</si>
  <si>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</si>
  <si>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</si>
  <si>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</si>
  <si>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</si>
  <si>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</si>
  <si>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</si>
  <si>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</si>
  <si>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</si>
  <si>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</si>
  <si>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</si>
  <si>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</si>
  <si>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</si>
  <si>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</si>
  <si>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</si>
  <si>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</si>
  <si>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</si>
  <si>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</si>
  <si>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</si>
  <si>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</si>
  <si>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</si>
  <si>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</si>
  <si>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</si>
  <si>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</si>
  <si>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</si>
  <si>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</si>
  <si>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</si>
  <si>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</si>
  <si>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</si>
  <si>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</si>
  <si>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</si>
  <si>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</si>
  <si>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</si>
  <si>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</si>
  <si>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</si>
  <si>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</si>
  <si>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</si>
  <si>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</si>
  <si>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</si>
  <si>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</si>
  <si>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</si>
  <si>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</si>
  <si>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</si>
  <si>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</si>
  <si>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</si>
  <si>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</si>
  <si>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</si>
  <si>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</si>
  <si>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</si>
  <si>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</si>
  <si>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</si>
  <si>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</si>
  <si>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</si>
  <si>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</si>
  <si>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</si>
  <si>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</si>
  <si>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</si>
  <si>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</si>
  <si>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</si>
  <si>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</si>
  <si>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</si>
  <si>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</si>
  <si>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</si>
  <si>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</si>
  <si>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</si>
  <si>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</si>
  <si>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</si>
  <si>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</si>
  <si>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</si>
  <si>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</si>
  <si>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</si>
  <si>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</si>
  <si>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</si>
  <si>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</si>
  <si>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</si>
  <si>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</si>
  <si>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</si>
  <si>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</si>
  <si>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</si>
  <si>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</si>
  <si>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</si>
  <si>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</si>
  <si>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</si>
  <si>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</si>
  <si>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</si>
  <si>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</si>
  <si>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</si>
  <si>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</si>
  <si>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</si>
  <si>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</si>
  <si>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</si>
  <si>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</si>
  <si>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</si>
  <si>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</si>
  <si>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</si>
  <si>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</si>
  <si>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</si>
  <si>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</si>
  <si>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</si>
  <si>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</si>
  <si>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</si>
  <si>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</si>
  <si>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</si>
  <si>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</si>
  <si>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</si>
  <si>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</si>
  <si>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</si>
  <si>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</si>
  <si>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</si>
  <si>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</si>
  <si>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</si>
  <si>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</si>
  <si>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</si>
  <si>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</si>
  <si>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</si>
  <si>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</si>
  <si>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</si>
  <si>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</si>
  <si>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</si>
  <si>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</si>
  <si>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</si>
  <si>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</si>
  <si>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</si>
  <si>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</si>
  <si>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</si>
  <si>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</si>
  <si>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</si>
  <si>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</si>
  <si>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</si>
  <si>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</si>
  <si>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</si>
  <si>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</si>
  <si>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</si>
  <si>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</si>
  <si>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</si>
  <si>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</si>
  <si>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</si>
  <si>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</si>
  <si>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</si>
  <si>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</si>
  <si>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</si>
  <si>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</si>
  <si>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</si>
  <si>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</si>
  <si>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</si>
  <si>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</si>
  <si>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</si>
  <si>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</si>
  <si>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</si>
  <si>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</si>
  <si>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</si>
  <si>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</si>
  <si>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</si>
  <si>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</si>
  <si>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</si>
  <si>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</si>
  <si>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</si>
  <si>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</si>
  <si>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</si>
  <si>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</si>
  <si>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</si>
  <si>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</si>
  <si>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</si>
  <si>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</si>
  <si>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</si>
  <si>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</si>
  <si>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</si>
  <si>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</si>
  <si>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</si>
  <si>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</si>
  <si>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</si>
  <si>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</si>
  <si>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</si>
  <si>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</si>
  <si>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</si>
  <si>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</si>
  <si>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</si>
  <si>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</si>
  <si>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</si>
  <si>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</si>
  <si>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</si>
  <si>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</si>
  <si>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</si>
  <si>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</si>
  <si>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</si>
  <si>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</si>
  <si>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</si>
  <si>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</si>
  <si>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</si>
  <si>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</si>
  <si>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</si>
  <si>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</si>
  <si>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</si>
  <si>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</si>
  <si>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</si>
  <si>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</si>
  <si>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</si>
  <si>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</si>
  <si>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</si>
  <si>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</si>
  <si>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</si>
  <si>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</si>
  <si>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</si>
  <si>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</si>
  <si>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</si>
  <si>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</si>
  <si>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</si>
  <si>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</si>
  <si>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</si>
  <si>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</si>
  <si>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</si>
  <si>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</si>
  <si>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</si>
  <si>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</si>
  <si>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</si>
  <si>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</si>
  <si>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</si>
  <si>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</si>
  <si>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</si>
  <si>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</si>
  <si>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</si>
  <si>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</si>
  <si>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</si>
  <si>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</si>
  <si>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</si>
  <si>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</si>
  <si>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</si>
  <si>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</si>
  <si>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</si>
  <si>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</si>
  <si>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</si>
  <si>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</si>
  <si>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</si>
  <si>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</si>
  <si>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</si>
  <si>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</si>
  <si>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</si>
  <si>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</si>
  <si>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</si>
  <si>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</si>
  <si>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</si>
  <si>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</si>
  <si>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</si>
  <si>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</si>
  <si>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</si>
  <si>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</si>
  <si>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</si>
  <si>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</si>
  <si>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</si>
  <si>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</si>
  <si>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</si>
  <si>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</si>
  <si>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</si>
  <si>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</si>
  <si>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</si>
  <si>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</si>
  <si>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</si>
  <si>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</si>
  <si>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</si>
  <si>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</si>
  <si>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</si>
  <si>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</si>
  <si>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</si>
  <si>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</si>
  <si>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</si>
  <si>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</si>
  <si>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</si>
  <si>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</si>
  <si>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</si>
  <si>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</si>
  <si>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</si>
  <si>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</si>
  <si>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</si>
  <si>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</si>
  <si>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</si>
  <si>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</si>
  <si>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</si>
  <si>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</si>
  <si>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</si>
  <si>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</si>
  <si>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</si>
  <si>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</si>
  <si>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</si>
  <si>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</si>
  <si>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</si>
  <si>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</si>
  <si>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</si>
  <si>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</si>
  <si>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</si>
  <si>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</si>
  <si>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</si>
  <si>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</si>
  <si>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</si>
  <si>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</si>
  <si>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</si>
  <si>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</si>
  <si>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</si>
  <si>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</si>
  <si>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</si>
  <si>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</si>
  <si>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</si>
  <si>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</si>
  <si>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</si>
  <si>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</si>
  <si>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</si>
  <si>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</si>
  <si>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</si>
  <si>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</si>
  <si>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</si>
  <si>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</si>
  <si>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</si>
  <si>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</si>
  <si>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</si>
  <si>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</si>
  <si>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</si>
  <si>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</si>
  <si>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</si>
  <si>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</si>
  <si>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</si>
  <si>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</si>
  <si>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</si>
  <si>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</si>
  <si>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</si>
  <si>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</si>
  <si>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</si>
  <si>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</si>
  <si>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</si>
  <si>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</si>
  <si>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</si>
  <si>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</si>
  <si>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</si>
  <si>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</si>
  <si>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</si>
  <si>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</si>
  <si>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</si>
  <si>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</si>
  <si>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</si>
  <si>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</si>
  <si>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</si>
  <si>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</si>
  <si>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</si>
  <si>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</si>
  <si>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</si>
  <si>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</si>
  <si>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</si>
  <si>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</si>
  <si>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</si>
  <si>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</si>
  <si>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</si>
  <si>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</si>
  <si>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</si>
  <si>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</si>
  <si>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</si>
  <si>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</si>
  <si>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</si>
  <si>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</si>
  <si>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</si>
  <si>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</si>
  <si>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</si>
  <si>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</si>
  <si>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</si>
  <si>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</si>
  <si>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</si>
  <si>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</si>
  <si>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</si>
  <si>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</si>
  <si>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</si>
  <si>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</si>
  <si>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</si>
  <si>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</si>
  <si>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</si>
  <si>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</si>
  <si>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</si>
  <si>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</si>
  <si>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</si>
  <si>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</si>
  <si>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</si>
  <si>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</si>
  <si>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</si>
  <si>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</si>
  <si>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</si>
  <si>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</si>
  <si>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</si>
  <si>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</si>
  <si>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</si>
  <si>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</si>
  <si>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</si>
  <si>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</si>
  <si>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</si>
  <si>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</si>
  <si>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</si>
  <si>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</si>
  <si>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</si>
  <si>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</si>
  <si>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</si>
  <si>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</si>
  <si>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</si>
  <si>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</si>
  <si>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</si>
  <si>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</si>
  <si>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</si>
  <si>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</si>
  <si>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</si>
  <si>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</si>
  <si>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</si>
  <si>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</si>
  <si>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</si>
  <si>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</si>
  <si>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</si>
  <si>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</si>
  <si>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</si>
  <si>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</si>
  <si>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</si>
  <si>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</si>
  <si>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</si>
  <si>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</si>
  <si>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</si>
  <si>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</si>
  <si>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</si>
  <si>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</si>
  <si>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</si>
  <si>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</si>
  <si>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</si>
  <si>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</si>
  <si>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</si>
  <si>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</si>
  <si>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</si>
  <si>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</si>
  <si>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</si>
  <si>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</si>
  <si>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</si>
  <si>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</si>
  <si>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</si>
  <si>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</si>
  <si>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</si>
  <si>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</si>
  <si>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</si>
  <si>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</si>
  <si>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</si>
  <si>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</si>
  <si>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</si>
  <si>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</si>
  <si>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</si>
  <si>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</si>
  <si>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</si>
  <si>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</si>
  <si>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</si>
  <si>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</si>
  <si>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</si>
  <si>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</si>
  <si>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</si>
  <si>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</si>
  <si>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</si>
  <si>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</si>
  <si>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</si>
  <si>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</si>
  <si>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</si>
  <si>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</si>
  <si>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</si>
  <si>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</si>
  <si>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</si>
  <si>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</si>
  <si>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</si>
  <si>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</si>
  <si>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</si>
  <si>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</si>
  <si>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</si>
  <si>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</si>
  <si>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</si>
  <si>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</si>
  <si>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</si>
  <si>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</si>
  <si>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</si>
  <si>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</si>
  <si>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</si>
  <si>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</si>
  <si>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</si>
  <si>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</si>
  <si>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</si>
  <si>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</si>
  <si>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</si>
  <si>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</si>
  <si>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</si>
  <si>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</si>
  <si>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</si>
  <si>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</si>
  <si>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</si>
  <si>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</si>
  <si>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</si>
  <si>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</si>
  <si>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</si>
  <si>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</si>
  <si>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</si>
  <si>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</si>
  <si>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</si>
  <si>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</si>
  <si>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</si>
  <si>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</si>
  <si>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</si>
  <si>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</si>
  <si>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</si>
  <si>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</si>
  <si>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</si>
  <si>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</si>
  <si>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</si>
  <si>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</si>
  <si>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</si>
  <si>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</si>
  <si>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</si>
  <si>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</si>
  <si>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</si>
  <si>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</si>
  <si>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</si>
  <si>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</si>
  <si>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</si>
  <si>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</si>
  <si>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</si>
  <si>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</si>
  <si>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</si>
  <si>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</si>
  <si>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</si>
  <si>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</si>
  <si>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</si>
  <si>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</si>
  <si>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</si>
  <si>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</si>
  <si>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</si>
  <si>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</si>
  <si>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</si>
  <si>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</si>
  <si>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</si>
  <si>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</si>
  <si>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</si>
  <si>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</si>
  <si>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</si>
  <si>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</si>
  <si>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</si>
  <si>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</si>
  <si>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</si>
  <si>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</si>
  <si>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</si>
  <si>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</si>
  <si>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</si>
  <si>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</si>
  <si>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</si>
  <si>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</si>
  <si>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</si>
  <si>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</si>
  <si>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</si>
  <si>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</si>
  <si>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</si>
  <si>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</si>
  <si>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</si>
  <si>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</si>
  <si>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</si>
  <si>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</si>
  <si>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</si>
  <si>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</si>
  <si>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</si>
  <si>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</si>
  <si>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</si>
  <si>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</si>
  <si>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</si>
  <si>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</si>
  <si>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</si>
  <si>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</si>
  <si>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</si>
  <si>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</si>
  <si>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</si>
  <si>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</si>
  <si>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</si>
  <si>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</si>
  <si>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</si>
  <si>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</si>
  <si>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</si>
  <si>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</si>
  <si>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</si>
  <si>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</si>
  <si>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</si>
  <si>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</si>
  <si>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</si>
  <si>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</si>
  <si>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</si>
  <si>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</si>
  <si>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</si>
  <si>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</si>
  <si>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</si>
  <si>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</si>
  <si>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</si>
  <si>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</si>
  <si>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</si>
  <si>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</si>
  <si>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</si>
  <si>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</si>
  <si>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</si>
  <si>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</si>
  <si>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</si>
  <si>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</si>
  <si>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</si>
  <si>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</si>
  <si>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</si>
  <si>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</si>
  <si>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</si>
  <si>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</si>
  <si>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</si>
  <si>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</si>
  <si>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</si>
  <si>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</si>
  <si>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</si>
  <si>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</si>
  <si>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</si>
  <si>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</si>
  <si>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</si>
  <si>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</si>
  <si>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</si>
  <si>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</si>
  <si>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</si>
  <si>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</si>
  <si>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</si>
  <si>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</si>
  <si>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</si>
  <si>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</si>
  <si>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</si>
  <si>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</si>
  <si>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</si>
  <si>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</si>
  <si>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</si>
  <si>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</si>
  <si>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</si>
  <si>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</si>
  <si>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</si>
  <si>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</si>
  <si>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</si>
  <si>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</si>
  <si>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</si>
  <si>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</si>
  <si>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</si>
  <si>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</si>
  <si>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</si>
  <si>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</si>
  <si>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</si>
  <si>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</si>
  <si>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</si>
  <si>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</si>
  <si>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</si>
  <si>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</si>
  <si>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</si>
  <si>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</si>
  <si>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</si>
  <si>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</si>
  <si>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</si>
  <si>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</si>
  <si>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</si>
  <si>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</si>
  <si>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</si>
  <si>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</si>
  <si>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</si>
  <si>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</si>
  <si>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</si>
  <si>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</si>
  <si>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</si>
  <si>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</si>
  <si>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</si>
  <si>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</si>
  <si>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</si>
  <si>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</si>
  <si>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</si>
  <si>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</si>
  <si>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</si>
  <si>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</si>
  <si>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</si>
  <si>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</si>
  <si>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</si>
  <si>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</si>
  <si>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</si>
  <si>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</si>
  <si>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</si>
  <si>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</si>
  <si>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</si>
  <si>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</si>
  <si>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</si>
  <si>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</si>
  <si>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</si>
  <si>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</si>
  <si>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</si>
  <si>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</si>
  <si>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</si>
  <si>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</si>
  <si>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</si>
  <si>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</si>
  <si>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</si>
  <si>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</si>
  <si>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</si>
  <si>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</si>
  <si>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</si>
  <si>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</si>
  <si>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</si>
  <si>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</si>
  <si>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</si>
  <si>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</si>
  <si>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</si>
  <si>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</si>
  <si>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</si>
  <si>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</si>
  <si>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</si>
  <si>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</si>
  <si>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</si>
  <si>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</si>
  <si>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</si>
  <si>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</si>
  <si>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</si>
  <si>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</si>
  <si>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</si>
  <si>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</si>
  <si>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</si>
  <si>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</si>
  <si>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</si>
  <si>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</si>
  <si>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</si>
  <si>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</si>
  <si>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</si>
  <si>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</si>
  <si>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</si>
  <si>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</si>
  <si>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</si>
  <si>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</si>
  <si>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</si>
  <si>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</si>
  <si>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</si>
  <si>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</si>
  <si>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</si>
  <si>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</si>
  <si>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</si>
  <si>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</si>
  <si>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</si>
  <si>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</si>
  <si>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</si>
  <si>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</si>
  <si>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</si>
  <si>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</si>
  <si>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</si>
  <si>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</si>
  <si>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</si>
  <si>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</si>
  <si>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</si>
  <si>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</si>
  <si>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</si>
  <si>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</si>
  <si>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</si>
  <si>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</si>
  <si>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</si>
  <si>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</si>
  <si>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</si>
  <si>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</si>
  <si>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</si>
  <si>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</si>
  <si>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</si>
  <si>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</si>
  <si>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</si>
  <si>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</si>
  <si>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</si>
  <si>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</si>
  <si>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</si>
  <si>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</si>
  <si>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</si>
  <si>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</si>
  <si>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</si>
  <si>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</si>
  <si>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</si>
  <si>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</si>
  <si>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</si>
  <si>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</si>
  <si>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</si>
  <si>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</si>
  <si>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</si>
  <si>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</si>
  <si>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</si>
  <si>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</si>
  <si>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</si>
  <si>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</si>
  <si>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</si>
  <si>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</si>
  <si>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</si>
  <si>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</si>
  <si>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</si>
  <si>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</si>
  <si>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</si>
  <si>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</si>
  <si>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</si>
  <si>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</si>
  <si>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</si>
  <si>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</si>
  <si>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</si>
  <si>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</si>
  <si>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</si>
  <si>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</si>
  <si>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</si>
  <si>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</si>
  <si>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</si>
  <si>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</si>
  <si>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</si>
  <si>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</si>
  <si>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</si>
  <si>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</si>
  <si>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</si>
  <si>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</si>
  <si>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</si>
  <si>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</si>
  <si>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</si>
  <si>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</si>
  <si>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</si>
  <si>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</si>
  <si>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</si>
  <si>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</si>
  <si>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</si>
  <si>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</si>
  <si>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</si>
  <si>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</si>
  <si>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</si>
  <si>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</si>
  <si>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</si>
  <si>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</si>
  <si>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</si>
  <si>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</si>
  <si>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</si>
  <si>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</si>
  <si>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</si>
  <si>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</si>
  <si>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</si>
  <si>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</si>
  <si>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</si>
  <si>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</si>
  <si>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</si>
  <si>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</si>
  <si>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</si>
  <si>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</si>
  <si>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</si>
  <si>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</si>
  <si>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</si>
  <si>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</si>
  <si>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</si>
  <si>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</si>
  <si>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</si>
  <si>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</si>
  <si>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</si>
  <si>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</si>
  <si>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</si>
  <si>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</si>
  <si>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</si>
  <si>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</si>
  <si>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</si>
  <si>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</si>
  <si>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</si>
  <si>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</si>
  <si>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</si>
  <si>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</si>
  <si>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</si>
  <si>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</si>
  <si>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</si>
  <si>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</si>
  <si>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</si>
  <si>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</si>
  <si>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</si>
  <si>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</si>
  <si>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</si>
  <si>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</si>
  <si>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</si>
  <si>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</si>
  <si>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</si>
  <si>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</si>
  <si>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</si>
  <si>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</si>
  <si>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</si>
  <si>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</si>
  <si>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</si>
  <si>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</si>
  <si>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</si>
  <si>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</si>
  <si>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</si>
  <si>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</si>
  <si>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</si>
  <si>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</si>
  <si>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</si>
  <si>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</si>
  <si>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</si>
  <si>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</si>
  <si>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</si>
  <si>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</si>
  <si>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</si>
  <si>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</si>
  <si>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</si>
  <si>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</si>
  <si>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</si>
  <si>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</si>
  <si>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</si>
  <si>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</si>
  <si>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</si>
  <si>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</si>
  <si>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</si>
  <si>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</si>
  <si>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</si>
  <si>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</si>
  <si>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</si>
  <si>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</si>
  <si>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</si>
  <si>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</si>
  <si>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</si>
  <si>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</si>
  <si>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</si>
  <si>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</si>
  <si>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</si>
  <si>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</si>
  <si>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</si>
  <si>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</si>
  <si>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</si>
  <si>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</si>
  <si>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</si>
  <si>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</si>
  <si>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</si>
  <si>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</si>
  <si>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</si>
  <si>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</si>
  <si>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</si>
  <si>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</si>
  <si>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</si>
  <si>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</si>
  <si>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</si>
  <si>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</si>
  <si>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</si>
  <si>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</si>
  <si>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</si>
  <si>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</si>
  <si>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</si>
  <si>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</si>
  <si>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</si>
  <si>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</si>
  <si>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</si>
  <si>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</si>
  <si>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</si>
  <si>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</si>
  <si>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</si>
  <si>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</si>
  <si>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</si>
  <si>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</si>
  <si>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</si>
  <si>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</si>
  <si>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</si>
  <si>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</si>
  <si>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</si>
  <si>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</si>
  <si>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</si>
  <si>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</si>
  <si>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</si>
  <si>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</si>
  <si>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</si>
  <si>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</si>
  <si>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</si>
  <si>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</si>
  <si>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</si>
  <si>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</si>
  <si>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</si>
  <si>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</si>
  <si>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</si>
  <si>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</si>
  <si>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</si>
  <si>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</si>
  <si>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</si>
  <si>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</si>
  <si>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</si>
  <si>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</si>
  <si>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</si>
  <si>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</si>
  <si>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</si>
  <si>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</si>
  <si>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</si>
  <si>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</si>
  <si>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</si>
  <si>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</si>
  <si>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</si>
  <si>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</si>
  <si>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</si>
  <si>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</si>
  <si>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</si>
  <si>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</si>
  <si>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</si>
  <si>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</si>
  <si>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</si>
  <si>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</si>
  <si>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</si>
  <si>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</si>
  <si>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</si>
  <si>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</si>
  <si>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</si>
  <si>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</si>
  <si>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</si>
  <si>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</si>
  <si>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</si>
  <si>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</si>
  <si>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</si>
  <si>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</si>
  <si>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</si>
  <si>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</si>
  <si>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</si>
  <si>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</si>
  <si>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</si>
  <si>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</si>
  <si>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</si>
  <si>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</si>
  <si>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</si>
  <si>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</si>
  <si>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</si>
  <si>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</si>
  <si>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</si>
  <si>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</si>
  <si>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</si>
  <si>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</si>
  <si>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</si>
  <si>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</si>
  <si>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</si>
  <si>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</si>
  <si>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</si>
  <si>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</si>
  <si>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</si>
  <si>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</si>
  <si>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</si>
  <si>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</si>
  <si>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</si>
  <si>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</si>
  <si>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</si>
  <si>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</si>
  <si>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</si>
  <si>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</si>
  <si>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</si>
  <si>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</si>
  <si>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</si>
  <si>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</si>
  <si>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</si>
  <si>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</si>
  <si>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</si>
  <si>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</si>
  <si>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</si>
  <si>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</si>
  <si>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</si>
  <si>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</si>
  <si>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</si>
  <si>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</si>
  <si>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</si>
  <si>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</si>
  <si>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</si>
  <si>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</si>
  <si>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</si>
  <si>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</si>
  <si>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</si>
  <si>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</si>
  <si>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</si>
  <si>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</si>
  <si>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</si>
  <si>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</si>
  <si>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</si>
  <si>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</si>
  <si>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</si>
  <si>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</si>
  <si>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</si>
  <si>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</si>
  <si>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</si>
  <si>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</si>
  <si>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</si>
  <si>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</si>
  <si>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</si>
  <si>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</si>
  <si>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</si>
  <si>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</si>
  <si>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</si>
  <si>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</si>
  <si>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</si>
  <si>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</si>
  <si>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</si>
  <si>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</si>
  <si>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</si>
  <si>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</si>
  <si>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</si>
  <si>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</si>
  <si>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</si>
  <si>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</si>
  <si>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</si>
  <si>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</si>
  <si>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</si>
  <si>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</si>
  <si>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</si>
  <si>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</si>
  <si>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</si>
  <si>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</si>
  <si>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</si>
  <si>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</si>
  <si>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</si>
  <si>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</si>
  <si>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</si>
  <si>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</si>
  <si>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</si>
  <si>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</si>
  <si>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</si>
  <si>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</si>
  <si>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</si>
  <si>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</si>
  <si>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</si>
  <si>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</si>
  <si>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</si>
  <si>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</si>
  <si>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</si>
  <si>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</si>
  <si>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</si>
  <si>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</si>
  <si>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</si>
  <si>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</si>
  <si>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</si>
  <si>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</si>
  <si>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</si>
  <si>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</si>
  <si>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</si>
  <si>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</si>
  <si>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</si>
  <si>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</si>
  <si>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</si>
  <si>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</si>
  <si>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</si>
  <si>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</si>
  <si>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</si>
  <si>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</si>
  <si>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</si>
  <si>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</si>
  <si>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</si>
  <si>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</si>
  <si>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</si>
  <si>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</si>
  <si>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</si>
  <si>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</si>
  <si>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</si>
  <si>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</si>
  <si>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</si>
  <si>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</si>
  <si>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</si>
  <si>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</si>
  <si>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</si>
  <si>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</si>
  <si>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</si>
  <si>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</si>
  <si>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</si>
  <si>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</si>
  <si>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</si>
  <si>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</si>
  <si>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</si>
  <si>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</si>
  <si>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</si>
  <si>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</si>
  <si>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</si>
  <si>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</si>
  <si>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</si>
  <si>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</si>
  <si>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</si>
  <si>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</si>
  <si>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</si>
  <si>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</si>
  <si>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</si>
  <si>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</si>
  <si>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</si>
  <si>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</si>
  <si>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</si>
  <si>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</si>
  <si>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</si>
  <si>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</si>
  <si>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</si>
  <si>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</si>
  <si>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</si>
  <si>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</si>
  <si>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</si>
  <si>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</si>
  <si>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</si>
  <si>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</si>
  <si>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</si>
  <si>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</si>
  <si>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</si>
  <si>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</si>
  <si>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</si>
  <si>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</si>
  <si>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</si>
  <si>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</si>
  <si>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</si>
  <si>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</si>
  <si>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</si>
  <si>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</si>
  <si>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</si>
  <si>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</si>
  <si>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</si>
  <si>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</si>
  <si>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</si>
  <si>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</si>
  <si>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</si>
  <si>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</si>
  <si>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</si>
  <si>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</si>
  <si>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</si>
  <si>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</si>
  <si>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</si>
  <si>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</si>
  <si>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</si>
  <si>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</si>
  <si>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</si>
  <si>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</si>
  <si>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</si>
  <si>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</si>
  <si>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</si>
  <si>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</si>
  <si>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</si>
  <si>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</si>
  <si>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</si>
  <si>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</si>
  <si>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</si>
  <si>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</si>
  <si>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</si>
  <si>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</si>
  <si>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</si>
  <si>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</si>
  <si>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</si>
  <si>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</si>
  <si>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</si>
  <si>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</si>
  <si>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</si>
  <si>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</si>
  <si>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</si>
  <si>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</si>
  <si>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</si>
  <si>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</si>
  <si>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</si>
  <si>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</si>
  <si>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</si>
  <si>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</si>
  <si>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</si>
  <si>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</si>
  <si>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</si>
  <si>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</si>
  <si>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</si>
  <si>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</si>
  <si>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</si>
  <si>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</si>
  <si>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</si>
  <si>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</si>
  <si>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</si>
  <si>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</si>
  <si>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</si>
  <si>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</si>
  <si>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</si>
  <si>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</si>
  <si>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</si>
  <si>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</si>
  <si>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</si>
  <si>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</si>
  <si>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</si>
  <si>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</si>
  <si>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</si>
  <si>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</si>
  <si>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</si>
  <si>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</si>
  <si>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</si>
  <si>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</si>
  <si>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</si>
  <si>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</si>
  <si>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</si>
  <si>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</si>
  <si>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</si>
  <si>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</si>
  <si>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</si>
  <si>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</si>
  <si>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</si>
  <si>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</si>
  <si>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</si>
  <si>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</si>
  <si>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</si>
  <si>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</si>
  <si>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</si>
  <si>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</si>
  <si>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</si>
  <si>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</si>
  <si>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</si>
  <si>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</si>
  <si>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</si>
  <si>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</si>
  <si>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</si>
  <si>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</si>
  <si>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</si>
  <si>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</si>
  <si>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</si>
  <si>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</si>
  <si>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</si>
  <si>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</si>
  <si>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</si>
  <si>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</si>
  <si>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</si>
  <si>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</si>
  <si>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</si>
  <si>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</si>
  <si>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</si>
  <si>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</si>
  <si>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</si>
  <si>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</si>
  <si>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</si>
  <si>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</si>
  <si>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</si>
  <si>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</si>
  <si>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</si>
  <si>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</si>
  <si>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</si>
  <si>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</si>
  <si>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</si>
  <si>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</si>
  <si>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</si>
  <si>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</si>
  <si>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</si>
  <si>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</si>
  <si>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</si>
  <si>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</si>
  <si>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</si>
  <si>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</si>
  <si>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</si>
  <si>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</si>
  <si>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</si>
  <si>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</si>
  <si>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</si>
  <si>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</si>
  <si>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</si>
  <si>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</si>
  <si>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</si>
  <si>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</si>
  <si>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</si>
  <si>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</si>
  <si>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</si>
  <si>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</si>
  <si>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</si>
  <si>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</si>
  <si>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</si>
  <si>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</si>
  <si>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</si>
  <si>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</si>
  <si>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</si>
  <si>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</si>
  <si>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</si>
  <si>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</si>
  <si>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</si>
  <si>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</si>
  <si>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</si>
  <si>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</si>
  <si>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</si>
  <si>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</si>
  <si>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</si>
  <si>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</si>
  <si>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</si>
  <si>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</si>
  <si>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</si>
  <si>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</si>
  <si>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</si>
  <si>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</si>
  <si>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</si>
  <si>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</si>
  <si>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</si>
  <si>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</si>
  <si>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</si>
  <si>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</si>
  <si>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</si>
  <si>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</si>
  <si>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</si>
  <si>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</si>
  <si>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</si>
  <si>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</si>
  <si>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</si>
  <si>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</si>
  <si>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</si>
  <si>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</si>
  <si>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</si>
  <si>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</si>
  <si>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</si>
  <si>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</si>
  <si>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</si>
  <si>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</si>
  <si>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</si>
  <si>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</si>
  <si>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</si>
  <si>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</si>
  <si>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</si>
  <si>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</si>
  <si>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</si>
  <si>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</si>
  <si>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</si>
  <si>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</si>
  <si>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</si>
  <si>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</si>
  <si>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</si>
  <si>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</si>
  <si>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</si>
  <si>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</si>
  <si>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</si>
  <si>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</si>
  <si>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</si>
  <si>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</si>
  <si>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</si>
  <si>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</si>
  <si>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</si>
  <si>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</si>
  <si>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</si>
  <si>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</si>
  <si>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</si>
  <si>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</si>
  <si>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</si>
  <si>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</si>
  <si>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</si>
  <si>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</si>
  <si>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</si>
  <si>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</si>
  <si>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</si>
  <si>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</si>
  <si>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</si>
  <si>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</si>
  <si>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</si>
  <si>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</si>
  <si>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</si>
  <si>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</si>
  <si>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</si>
  <si>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</si>
  <si>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</si>
  <si>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</si>
  <si>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</si>
  <si>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</si>
  <si>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</si>
  <si>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</si>
  <si>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</si>
  <si>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</si>
  <si>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</si>
  <si>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</si>
  <si>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</si>
  <si>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</si>
  <si>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</si>
  <si>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</si>
  <si>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</si>
  <si>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</si>
  <si>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</si>
  <si>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</si>
  <si>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</si>
  <si>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</si>
  <si>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</si>
  <si>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</si>
  <si>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</si>
  <si>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</si>
  <si>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</si>
  <si>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</si>
  <si>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</si>
  <si>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</si>
  <si>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</si>
  <si>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</si>
  <si>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</si>
  <si>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</si>
  <si>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</si>
  <si>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</si>
  <si>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</si>
  <si>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</si>
  <si>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</si>
  <si>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</si>
  <si>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</si>
  <si>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</si>
  <si>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</si>
  <si>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</si>
  <si>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</si>
  <si>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</si>
  <si>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</si>
  <si>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</si>
  <si>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</si>
  <si>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</si>
  <si>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</si>
  <si>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</si>
  <si>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</si>
  <si>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</si>
  <si>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</si>
  <si>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</si>
  <si>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</si>
  <si>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</si>
  <si>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</si>
  <si>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</si>
  <si>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</si>
  <si>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</si>
  <si>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</si>
  <si>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</si>
  <si>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</si>
  <si>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</si>
  <si>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</si>
  <si>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</si>
  <si>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</si>
  <si>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</si>
  <si>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</si>
  <si>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</si>
  <si>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</si>
  <si>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</si>
  <si>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</si>
  <si>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</si>
  <si>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</si>
  <si>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</si>
  <si>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</si>
  <si>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</si>
  <si>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</si>
  <si>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</si>
  <si>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</si>
  <si>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</si>
  <si>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</si>
  <si>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</si>
  <si>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</si>
  <si>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</si>
  <si>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</si>
  <si>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</si>
  <si>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</si>
  <si>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</si>
  <si>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</si>
  <si>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</si>
  <si>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</si>
  <si>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</si>
  <si>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</si>
  <si>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</si>
  <si>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</si>
  <si>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</si>
  <si>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</si>
  <si>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</si>
  <si>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</si>
  <si>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</si>
  <si>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</si>
  <si>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</si>
  <si>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</si>
  <si>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</si>
  <si>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</si>
  <si>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</si>
  <si>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</si>
  <si>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</si>
  <si>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</si>
  <si>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</si>
  <si>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</si>
  <si>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</si>
  <si>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</si>
  <si>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</si>
  <si>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</si>
  <si>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</si>
  <si>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</si>
  <si>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</si>
  <si>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</si>
  <si>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</si>
  <si>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</si>
  <si>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</si>
  <si>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</si>
  <si>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</si>
  <si>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</si>
  <si>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</si>
  <si>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</si>
  <si>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</si>
  <si>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</si>
  <si>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</si>
  <si>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</si>
  <si>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</si>
  <si>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</si>
  <si>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</si>
  <si>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</si>
  <si>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</si>
  <si>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</si>
  <si>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</si>
  <si>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</si>
  <si>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</si>
  <si>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</si>
  <si>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</si>
  <si>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</si>
  <si>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</si>
  <si>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</si>
  <si>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</si>
  <si>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</si>
  <si>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</si>
  <si>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</si>
  <si>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</si>
  <si>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</si>
  <si>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</si>
  <si>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</si>
  <si>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</si>
  <si>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</si>
  <si>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</si>
  <si>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</si>
  <si>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</si>
  <si>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</si>
  <si>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</si>
  <si>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</si>
  <si>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</si>
  <si>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</si>
  <si>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</si>
  <si>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</si>
  <si>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</si>
  <si>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</si>
  <si>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</si>
  <si>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</si>
  <si>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</si>
  <si>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</si>
  <si>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</si>
  <si>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</si>
  <si>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</si>
  <si>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</si>
  <si>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</si>
  <si>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</si>
  <si>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</si>
  <si>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</si>
  <si>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</si>
  <si>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</si>
  <si>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</si>
  <si>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</si>
  <si>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</si>
  <si>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</si>
  <si>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</si>
  <si>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</si>
  <si>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</si>
  <si>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</si>
  <si>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</si>
  <si>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</si>
  <si>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</si>
  <si>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</si>
  <si>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</si>
  <si>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</si>
  <si>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</si>
  <si>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</si>
  <si>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</si>
  <si>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</si>
  <si>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</si>
  <si>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</si>
  <si>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</si>
  <si>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</si>
  <si>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</si>
  <si>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</si>
  <si>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</si>
  <si>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</si>
  <si>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</si>
  <si>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</si>
  <si>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</si>
  <si>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</si>
  <si>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</si>
  <si>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</si>
  <si>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</si>
  <si>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</si>
  <si>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</si>
  <si>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</si>
  <si>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</si>
  <si>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</si>
  <si>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</si>
  <si>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</si>
  <si>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</si>
  <si>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</si>
  <si>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</si>
  <si>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</si>
  <si>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</si>
  <si>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</si>
  <si>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</si>
  <si>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</si>
  <si>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</si>
  <si>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</si>
  <si>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</si>
  <si>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</si>
  <si>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</si>
  <si>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</si>
  <si>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</si>
  <si>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</si>
  <si>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</si>
  <si>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</si>
  <si>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</si>
  <si>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</si>
  <si>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</si>
  <si>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</si>
  <si>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</si>
  <si>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</si>
  <si>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</si>
  <si>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</si>
  <si>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</si>
  <si>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</si>
  <si>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</si>
  <si>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</si>
  <si>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</si>
  <si>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</si>
  <si>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</si>
  <si>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</si>
  <si>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</si>
  <si>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</si>
  <si>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</si>
  <si>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</si>
  <si>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</si>
  <si>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</si>
  <si>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</si>
  <si>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</si>
  <si>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</si>
  <si>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</si>
  <si>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</si>
  <si>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</si>
  <si>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</si>
  <si>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</si>
  <si>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</si>
  <si>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</si>
  <si>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</si>
  <si>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</si>
  <si>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</si>
  <si>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</si>
  <si>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</si>
  <si>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</si>
  <si>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</si>
  <si>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</si>
  <si>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</si>
  <si>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</si>
  <si>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</si>
  <si>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</si>
  <si>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</si>
  <si>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</si>
  <si>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</si>
  <si>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</si>
  <si>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</si>
  <si>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</si>
  <si>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</si>
  <si>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</si>
  <si>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</si>
  <si>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</si>
  <si>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</si>
  <si>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</si>
  <si>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</si>
  <si>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</si>
  <si>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</si>
  <si>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</si>
  <si>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</si>
  <si>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</si>
  <si>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</si>
  <si>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</si>
  <si>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</si>
  <si>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</si>
  <si>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</si>
  <si>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</si>
  <si>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</si>
  <si>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</si>
  <si>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</si>
  <si>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</si>
  <si>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</si>
  <si>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</si>
  <si>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</si>
  <si>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</si>
  <si>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</si>
  <si>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</si>
  <si>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</si>
  <si>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</si>
  <si>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</si>
  <si>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</si>
  <si>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</si>
  <si>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</si>
  <si>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</si>
  <si>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</si>
  <si>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</si>
  <si>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</si>
  <si>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</si>
  <si>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</si>
  <si>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</si>
  <si>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</si>
  <si>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</si>
  <si>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</si>
  <si>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</si>
  <si>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</si>
  <si>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</si>
  <si>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</si>
  <si>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</si>
  <si>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</si>
  <si>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</si>
  <si>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</si>
  <si>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</si>
  <si>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</si>
  <si>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</si>
  <si>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</si>
  <si>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</si>
  <si>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</si>
  <si>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</si>
  <si>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</si>
  <si>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</si>
  <si>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</si>
  <si>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</si>
  <si>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</si>
  <si>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</si>
  <si>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</si>
  <si>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</si>
  <si>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</si>
  <si>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</si>
  <si>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</si>
  <si>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</si>
  <si>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</si>
  <si>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</si>
  <si>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</si>
  <si>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</si>
  <si>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</si>
  <si>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</si>
  <si>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</si>
  <si>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</si>
  <si>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</si>
  <si>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</si>
  <si>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</si>
  <si>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</si>
  <si>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</si>
  <si>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</si>
  <si>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</si>
  <si>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</si>
  <si>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</si>
  <si>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</si>
  <si>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</si>
  <si>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</si>
  <si>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</si>
  <si>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</si>
  <si>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</si>
  <si>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</si>
  <si>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</si>
  <si>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</si>
  <si>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</si>
  <si>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</si>
  <si>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</si>
  <si>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</si>
  <si>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</si>
  <si>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</si>
  <si>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</si>
  <si>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</si>
  <si>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</si>
  <si>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</si>
  <si>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</si>
  <si>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</si>
  <si>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</si>
  <si>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</si>
  <si>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</si>
  <si>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</si>
  <si>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</si>
  <si>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</si>
  <si>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</si>
  <si>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</si>
  <si>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</si>
  <si>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</si>
  <si>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</si>
  <si>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</si>
  <si>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</si>
  <si>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</si>
  <si>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</si>
  <si>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</si>
  <si>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</si>
  <si>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</si>
  <si>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</si>
  <si>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</si>
  <si>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</si>
  <si>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</si>
  <si>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</si>
  <si>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</si>
  <si>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</si>
  <si>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</si>
  <si>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</si>
  <si>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</si>
  <si>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</si>
  <si>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</si>
  <si>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</si>
  <si>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</si>
  <si>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</si>
  <si>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</si>
  <si>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</si>
  <si>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</si>
  <si>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</si>
  <si>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</si>
  <si>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</si>
  <si>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</si>
  <si>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</si>
  <si>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</si>
  <si>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</si>
  <si>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</si>
  <si>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</si>
  <si>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</si>
  <si>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</si>
  <si>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</si>
  <si>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</si>
  <si>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</si>
  <si>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</si>
  <si>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</si>
  <si>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</si>
  <si>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</si>
  <si>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</si>
  <si>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</si>
  <si>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</si>
  <si>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</si>
  <si>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</si>
  <si>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</si>
  <si>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</si>
  <si>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</si>
  <si>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</si>
  <si>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</si>
  <si>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</si>
  <si>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</si>
  <si>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</si>
  <si>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</si>
  <si>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</si>
  <si>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</si>
  <si>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</si>
  <si>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</si>
  <si>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</si>
  <si>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</si>
  <si>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</si>
  <si>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</si>
  <si>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</si>
  <si>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</si>
  <si>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</si>
  <si>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</si>
  <si>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</si>
  <si>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</si>
  <si>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</si>
  <si>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</si>
  <si>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</si>
  <si>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</si>
  <si>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</si>
  <si>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</si>
  <si>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</si>
  <si>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</si>
  <si>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</si>
  <si>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</si>
  <si>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</si>
  <si>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</si>
  <si>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</si>
  <si>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</si>
  <si>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</si>
  <si>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</si>
  <si>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</si>
  <si>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</si>
  <si>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</si>
  <si>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</si>
  <si>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</si>
  <si>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</si>
  <si>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</si>
  <si>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</si>
  <si>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</si>
  <si>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</si>
  <si>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</si>
  <si>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</si>
  <si>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</si>
  <si>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</si>
  <si>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</si>
  <si>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</si>
  <si>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</si>
  <si>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</si>
  <si>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</si>
  <si>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</si>
  <si>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</si>
  <si>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</si>
  <si>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</si>
  <si>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</si>
  <si>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</si>
  <si>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</si>
  <si>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</si>
  <si>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</si>
  <si>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</si>
  <si>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</si>
  <si>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</si>
  <si>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</si>
  <si>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</si>
  <si>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</si>
  <si>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</si>
  <si>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</si>
  <si>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</si>
  <si>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</si>
  <si>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</si>
  <si>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</si>
  <si>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</si>
  <si>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</si>
  <si>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</si>
  <si>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</si>
  <si>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</si>
  <si>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</si>
  <si>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</si>
  <si>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</si>
  <si>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</si>
  <si>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</si>
  <si>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</si>
  <si>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</si>
  <si>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</si>
  <si>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</si>
  <si>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</si>
  <si>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</si>
  <si>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</si>
  <si>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</si>
  <si>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</si>
  <si>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</si>
  <si>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</si>
  <si>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</si>
  <si>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</si>
  <si>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</si>
  <si>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</si>
  <si>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</si>
  <si>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</si>
  <si>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</si>
  <si>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</si>
  <si>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</si>
  <si>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</si>
  <si>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</si>
  <si>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</si>
  <si>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</si>
  <si>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</si>
  <si>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</si>
  <si>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</si>
  <si>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</si>
  <si>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</si>
  <si>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</si>
  <si>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</si>
  <si>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</si>
  <si>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</si>
  <si>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</si>
  <si>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</si>
  <si>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</si>
  <si>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</si>
  <si>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</si>
  <si>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</si>
  <si>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商业</t>
    <phoneticPr fontId="7" type="noConversion"/>
  </si>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</sst>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16794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估价对象为北京市房地产，为所有。根据《国有土地使用证》[]，估价对象（分摊）出让国有建设用地使用权面积为0平方米，建筑面积为10298.76平方米。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估价对象为北京市房地产,属开发建设的，该项目尚在开发建设中。根据《国有土地使用证》[]，估价对象（分摊）出让国有建设用地使用权面积为0平方米，规划建筑面积为10298.76平方米。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2022年7月11日</v>
      </c>
    </row>
    <row r="13" spans="1:2" s="1318" customFormat="1">
      <c r="A13" s="1316" t="s">
        <v>954</v>
      </c>
      <c r="B13" s="1317" t="str">
        <f>'预评函-1'!A18</f>
        <v>本次估价的“房地产价值”是指在正常市场情况下，在价值时点2022年7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22245</v>
      </c>
    </row>
    <row r="21" spans="1:2" s="1318" customFormat="1">
      <c r="A21" s="1316" t="s">
        <v>962</v>
      </c>
      <c r="B21" s="1317">
        <f ca="1">'预评函-2'!D7</f>
        <v>21600</v>
      </c>
    </row>
    <row r="22" spans="1:2" s="1318" customFormat="1">
      <c r="A22" s="1316" t="s">
        <v>963</v>
      </c>
      <c r="B22" s="1317" t="str">
        <f ca="1">'预评函-2'!D6</f>
        <v>贰亿贰仟贰佰肆拾伍万元整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22245</v>
      </c>
    </row>
    <row r="31" spans="1:2" s="1318" customFormat="1">
      <c r="A31" s="1316" t="s">
        <v>1001</v>
      </c>
      <c r="B31" s="1317">
        <f ca="1">'预评函-2'!D15</f>
        <v>21600</v>
      </c>
    </row>
    <row r="32" spans="1:2" s="1318" customFormat="1">
      <c r="A32" s="1316" t="s">
        <v>968</v>
      </c>
      <c r="B32" s="1317" t="str">
        <f ca="1">'预评函-2'!D14</f>
        <v>贰亿贰仟贰佰肆拾伍万元整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10298.76</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44753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8"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79"/>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51327</v>
      </c>
      <c r="F13" s="946">
        <v>54979</v>
      </c>
      <c r="G13" s="946"/>
      <c r="H13" s="946"/>
      <c r="I13" s="946"/>
      <c r="J13" s="2615"/>
      <c r="K13" s="2792"/>
      <c r="L13" s="2789"/>
      <c r="M13" s="2789"/>
      <c r="N13" s="2615"/>
      <c r="O13" s="2626"/>
      <c r="P13" s="2615"/>
      <c r="Q13" s="2615"/>
      <c r="R13" s="2615"/>
    </row>
    <row r="14" spans="1:28">
      <c r="A14" s="1194"/>
      <c r="B14" s="2581"/>
      <c r="C14" s="2582" t="s">
        <v>2692</v>
      </c>
      <c r="D14" s="2583"/>
      <c r="E14" s="2583">
        <v>40</v>
      </c>
      <c r="F14" s="2583">
        <v>50</v>
      </c>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18.010000000000002</v>
      </c>
      <c r="F15" s="2586">
        <f>IF(B12="出让",IF(F13="","",ROUNDDOWN(MIN((F13-$D$3)/365,F14),2)),F14)</f>
        <v>28.01</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85"/>
      <c r="C16" s="3286"/>
      <c r="D16" s="3287"/>
      <c r="E16" s="2589" t="s">
        <v>2695</v>
      </c>
      <c r="F16" s="3288"/>
      <c r="G16" s="3289"/>
      <c r="H16" s="3289"/>
      <c r="I16" s="3290"/>
      <c r="J16" s="2615"/>
      <c r="K16" s="2794"/>
      <c r="L16" s="2627"/>
      <c r="M16" s="2627"/>
      <c r="N16" s="2685"/>
      <c r="O16" s="2627"/>
      <c r="P16" s="2685"/>
      <c r="Q16" s="2615"/>
      <c r="R16" s="2615"/>
    </row>
    <row r="17" spans="1:28">
      <c r="A17" s="319" t="s">
        <v>2696</v>
      </c>
      <c r="B17" s="308" t="s">
        <v>2697</v>
      </c>
      <c r="C17" s="11">
        <f>'数据-汇总表'!E3</f>
        <v>10298.76</v>
      </c>
      <c r="D17" s="2496" t="s">
        <v>2698</v>
      </c>
      <c r="E17" s="3291" t="s">
        <v>2699</v>
      </c>
      <c r="F17" s="3292"/>
      <c r="G17" s="3292"/>
      <c r="H17" s="3292"/>
      <c r="I17" s="3293"/>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294" t="s">
        <v>2703</v>
      </c>
      <c r="F18" s="3295"/>
      <c r="G18" s="3295"/>
      <c r="H18" s="3295"/>
      <c r="I18" s="3296"/>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1" t="s">
        <v>2707</v>
      </c>
      <c r="C20" s="3282"/>
      <c r="D20" s="3283" t="s">
        <v>2708</v>
      </c>
      <c r="E20" s="3284"/>
      <c r="F20" s="2824" t="s">
        <v>1501</v>
      </c>
      <c r="G20" s="2841"/>
      <c r="H20" s="2841"/>
      <c r="I20" s="2841"/>
      <c r="J20" s="2615"/>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2719</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7" t="s">
        <v>2729</v>
      </c>
      <c r="T34" s="2604" t="str">
        <f>NUMBERSTRING(7-K34,1)&amp;"通"</f>
        <v>七通</v>
      </c>
      <c r="U34" s="2615"/>
      <c r="V34" s="2615"/>
    </row>
    <row r="35" spans="1:30">
      <c r="A35" s="2605"/>
      <c r="B35" s="3304" t="s">
        <v>2730</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10298.76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10298.76</v>
      </c>
      <c r="H5" s="16">
        <f t="shared" ref="H5:AT5" si="0">SUM(H13:H656)</f>
        <v>10298.76</v>
      </c>
      <c r="I5" s="16">
        <f t="shared" si="0"/>
        <v>10298.76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10298.76</v>
      </c>
      <c r="BA5" s="18">
        <f t="shared" si="1"/>
        <v>10298.76</v>
      </c>
      <c r="BB5" s="18">
        <f t="shared" si="1"/>
        <v>10298.76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0</v>
      </c>
      <c r="F13" s="32"/>
      <c r="G13" s="33">
        <f>H13+AC13+AT13</f>
        <v>10298.76</v>
      </c>
      <c r="H13" s="20">
        <f>SUMIF(I$12:AB$12,"总值",I13:AB13)</f>
        <v>10298.76</v>
      </c>
      <c r="I13" s="1762">
        <v>10298.76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10298.76</v>
      </c>
      <c r="BA13" s="16">
        <f>SUM(BB13:BK13)</f>
        <v>10298.76</v>
      </c>
      <c r="BB13" s="16">
        <f>IF($D13="是",I13-J13,0)</f>
        <v>10298.76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6" t="s">
        <v>1576</v>
      </c>
      <c r="B2" s="3316"/>
      <c r="C2" s="3316"/>
      <c r="D2" s="885" t="s">
        <v>1552</v>
      </c>
      <c r="E2" s="1775" t="s">
        <v>1553</v>
      </c>
      <c r="F2" s="2836"/>
      <c r="G2" s="2827"/>
      <c r="H2" s="2828"/>
      <c r="I2" s="2499" t="s">
        <v>1577</v>
      </c>
      <c r="J2" s="2836"/>
      <c r="K2" s="2836"/>
      <c r="L2" s="2836"/>
      <c r="M2" s="2836"/>
      <c r="N2" s="2838"/>
      <c r="O2" s="2836"/>
      <c r="P2" s="2836"/>
    </row>
    <row r="3" spans="1:16" ht="15.75" thickBot="1">
      <c r="A3" s="3317" t="s">
        <v>1550</v>
      </c>
      <c r="B3" s="3317"/>
      <c r="C3" s="3317"/>
      <c r="D3" s="46">
        <f>'数据-基础表'!AY6</f>
        <v>0</v>
      </c>
      <c r="E3" s="46">
        <f>'数据-基础表'!AZ5</f>
        <v>10298.76</v>
      </c>
      <c r="F3" s="2836"/>
      <c r="G3" s="1260"/>
      <c r="H3" s="1138" t="s">
        <v>1551</v>
      </c>
      <c r="I3" s="945" t="e">
        <f>ROUND('数据-基础表'!B3/'数据-基础表'!A3,2)</f>
        <v>#DIV/0!</v>
      </c>
      <c r="J3" s="2836"/>
      <c r="K3" s="2836"/>
      <c r="L3" s="2836"/>
      <c r="M3" s="2836"/>
      <c r="N3" s="2838"/>
      <c r="O3" s="2836"/>
      <c r="P3" s="2836"/>
    </row>
    <row r="4" spans="1:16" ht="15">
      <c r="A4" s="3318"/>
      <c r="B4" s="3319"/>
      <c r="C4" s="3320"/>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1" t="s">
        <v>1555</v>
      </c>
      <c r="C5" s="3321"/>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1" t="s">
        <v>1556</v>
      </c>
      <c r="C6" s="3321"/>
      <c r="D6" s="48">
        <f>ROUND($D$3*E6/$E$3,2)</f>
        <v>0</v>
      </c>
      <c r="E6" s="49">
        <f>E3-E5</f>
        <v>10298.76</v>
      </c>
      <c r="F6" s="2836"/>
      <c r="G6" s="2830" t="s">
        <v>1557</v>
      </c>
      <c r="H6" s="1261" t="s">
        <v>1558</v>
      </c>
      <c r="I6" s="2831" t="e">
        <f>ROUND(F31/D31,2)</f>
        <v>#DIV/0!</v>
      </c>
      <c r="J6" s="2836"/>
      <c r="K6" s="2836"/>
      <c r="L6" s="2836"/>
      <c r="M6" s="2836"/>
      <c r="N6" s="2836"/>
      <c r="O6" s="2836"/>
      <c r="P6" s="2836"/>
    </row>
    <row r="7" spans="1:16" ht="15.75" thickBot="1">
      <c r="A7" s="3313"/>
      <c r="B7" s="3314"/>
      <c r="C7" s="3315"/>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10298.76</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10298.76</v>
      </c>
      <c r="F16" s="2836"/>
      <c r="G16" s="2837"/>
      <c r="H16" s="1784" t="s">
        <v>1580</v>
      </c>
      <c r="I16" s="1785"/>
      <c r="J16" s="1254"/>
      <c r="K16" s="3310" t="s">
        <v>1580</v>
      </c>
      <c r="L16" s="3311"/>
      <c r="M16" s="3311"/>
      <c r="N16" s="3311"/>
      <c r="O16" s="3311"/>
      <c r="P16" s="3312"/>
    </row>
    <row r="17" spans="1:19" ht="15">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3182</v>
      </c>
      <c r="D19" s="48">
        <f>ROUND($D$3*E19/$E$3,2)</f>
        <v>0</v>
      </c>
      <c r="E19" s="56">
        <f t="shared" ref="E19:E26" si="1">SUM(F19:G19)</f>
        <v>10298.76</v>
      </c>
      <c r="F19" s="2976">
        <f>'数据-基础表'!I13</f>
        <v>10298.76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10298.76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10298.76</v>
      </c>
      <c r="F27" s="1255">
        <f>IF(SUM(F19:F26)=E8,SUM(F19:F26),"地上面积有误")</f>
        <v>10298.76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10298.76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10298.76</v>
      </c>
      <c r="F31" s="686">
        <f>F27+F30</f>
        <v>10298.76</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44753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27</v>
      </c>
      <c r="D6" s="948">
        <f>SUMIF(项目基本情况!D$12:I$12,C6,项目基本情况!D$14:I$14)</f>
        <v>50</v>
      </c>
      <c r="E6" s="947">
        <f>IF(B6="","",SUMIF(项目基本情况!D$12:I$12,C6,项目基本情况!D$13:I$13))</f>
        <v>54979</v>
      </c>
      <c r="F6" s="68">
        <f>SUMIF(项目基本情况!D$12:I$12,C6,项目基本情况!D$15:I$15)</f>
        <v>28.01</v>
      </c>
      <c r="G6" s="69">
        <f>IF(ISERROR(ROUND(POWER(1+H6,D6-F6)*(POWER(1+H6,F6)-1)/(POWER(1+H6,D6)-1),3)),0,ROUND(POWER(1+H6,D6-F6)*(POWER(1+H6,F6)-1)/(POWER(1+H6,D6)-1),3))</f>
        <v>0.81599999999999995</v>
      </c>
      <c r="H6" s="741">
        <v>0.05</v>
      </c>
      <c r="I6" s="741">
        <v>5.5E-2</v>
      </c>
      <c r="J6" s="70">
        <v>0.08</v>
      </c>
      <c r="K6" s="1142">
        <f>SUMIF('数据-汇总表'!C$19:C$33,A6,'数据-汇总表'!E$19:E$33)</f>
        <v>10298.76</v>
      </c>
      <c r="L6" s="742">
        <v>3000</v>
      </c>
      <c r="M6" s="71">
        <f t="shared" ref="M6:M14" si="0">ROUND(K6*L6/10000,0)</f>
        <v>3090</v>
      </c>
      <c r="N6" s="740">
        <v>0.7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287">
        <f>ROUND($L$14*S6/10000,0)</f>
        <v>0</v>
      </c>
      <c r="U6" s="74">
        <v>3.5</v>
      </c>
      <c r="V6" s="75">
        <v>0.03</v>
      </c>
      <c r="W6" s="75">
        <v>0.1</v>
      </c>
      <c r="X6" s="1152"/>
      <c r="Y6" s="76">
        <f>N6</f>
        <v>0.7</v>
      </c>
      <c r="Z6" s="77"/>
      <c r="AA6" s="70"/>
      <c r="AB6" s="70"/>
      <c r="AC6" s="1152"/>
      <c r="AD6" s="78"/>
      <c r="AE6" s="1153">
        <f ca="1">IF(AN6="",0,SUMIF(INDIRECT("'"&amp;AN6&amp;"'"&amp;"!E:E"),$AE$5,INDIRECT("'"&amp;AN6&amp;"'"&amp;"!F:F")))</f>
        <v>28.01</v>
      </c>
      <c r="AF6" s="1483"/>
      <c r="AG6" s="143">
        <f>IF(AF6="",0,AE6-AF6)</f>
        <v>0</v>
      </c>
      <c r="AH6" s="79"/>
      <c r="AI6" s="81">
        <v>365</v>
      </c>
      <c r="AJ6" s="82"/>
      <c r="AK6" s="83">
        <v>1.4999999999999999E-2</v>
      </c>
      <c r="AL6" s="84">
        <v>1.5E-3</v>
      </c>
      <c r="AM6" s="85">
        <v>0.01</v>
      </c>
      <c r="AN6" s="1852" t="s">
        <v>3185</v>
      </c>
      <c r="AO6" s="55">
        <f ca="1">SUMIF(INDIRECT("'"&amp;AN6&amp;"'"&amp;"!A:A"),"总价",INDIRECT("'"&amp;AN6&amp;"'"&amp;"!B:B"))</f>
        <v>17877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0.81599999999999995</v>
      </c>
      <c r="H16" s="95">
        <f>ROUND(SUMPRODUCT(H6:H13,K6:K13)/SUMPRODUCT((H6:H13&gt;0)*(K6:K13)),3)</f>
        <v>0.05</v>
      </c>
      <c r="I16" s="96"/>
      <c r="J16" s="96"/>
      <c r="K16" s="97">
        <f>SUM(K6:K15)</f>
        <v>10298.76</v>
      </c>
      <c r="L16" s="98">
        <f>ROUND(M16*10000/SUM(K6:K14),0)</f>
        <v>3000</v>
      </c>
      <c r="M16" s="98">
        <f>SUM(M6:M14)</f>
        <v>3090</v>
      </c>
      <c r="N16" s="99">
        <f>ROUND(SUMPRODUCT(M6:M14,N6:N14)/M16,3)</f>
        <v>0.7</v>
      </c>
      <c r="O16" s="98">
        <f>SUM(O6:O14)</f>
        <v>0</v>
      </c>
      <c r="P16" s="98">
        <f>SUM(P6:P14)</f>
        <v>0</v>
      </c>
      <c r="Q16" s="100">
        <f>ROUND(SUMPRODUCT(Q6:Q13,K6:K13)/SUMPRODUCT((Q6:Q13&gt;0)*(K6:K13)),2)</f>
        <v>0.15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206</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137</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f>C57</f>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2" t="s">
        <v>2787</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10298.76</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44753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22245</v>
      </c>
      <c r="C5" s="2688">
        <f ca="1">ROUND(B5*10000/$B$1,0)</f>
        <v>21600</v>
      </c>
      <c r="D5" s="2688" t="e">
        <f ca="1">ROUND(B5*10000/$B$2,0)</f>
        <v>#DIV/0!</v>
      </c>
      <c r="E5" s="2865"/>
      <c r="F5" s="2866"/>
      <c r="G5" s="2866"/>
      <c r="H5" s="2867"/>
      <c r="I5" s="2867"/>
      <c r="J5" s="2867"/>
      <c r="K5" s="2867"/>
    </row>
    <row r="6" spans="1:11" ht="16.5">
      <c r="A6" s="2688" t="s">
        <v>1081</v>
      </c>
      <c r="B6" s="2688">
        <f ca="1">SUM(G14:G23)</f>
        <v>22245</v>
      </c>
      <c r="C6" s="2688">
        <f ca="1">ROUND(B6*10000/$B$1,0)</f>
        <v>21600</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10298.76</v>
      </c>
      <c r="C14" s="2694">
        <f>结果表!C118</f>
        <v>0</v>
      </c>
      <c r="D14" s="2694">
        <f ca="1">结果表!H118</f>
        <v>22245</v>
      </c>
      <c r="E14" s="2694">
        <f ca="1">ROUND(D14*10000/B14,0)</f>
        <v>21600</v>
      </c>
      <c r="F14" s="2694" t="e">
        <f ca="1">ROUND(D14*10000/C14,0)</f>
        <v>#DIV/0!</v>
      </c>
      <c r="G14" s="2694">
        <f ca="1">结果表!D122</f>
        <v>22245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F29" sqref="F2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1102</v>
      </c>
      <c r="D1" s="1884"/>
      <c r="E1" s="1884"/>
      <c r="F1" s="1886" t="s">
        <v>1708</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3194</v>
      </c>
      <c r="D4" s="1893" t="s">
        <v>3185</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97">
        <v>25</v>
      </c>
      <c r="C5" s="3400"/>
      <c r="D5" s="3388"/>
      <c r="E5" s="136" t="s">
        <v>1714</v>
      </c>
      <c r="F5" s="1894"/>
      <c r="G5" s="1894"/>
      <c r="H5" s="1894"/>
      <c r="I5" s="1508"/>
    </row>
    <row r="6" spans="1:12" ht="12.75">
      <c r="A6" s="3339"/>
      <c r="B6" s="3397"/>
      <c r="C6" s="3402"/>
      <c r="D6" s="3388"/>
      <c r="E6" s="136" t="s">
        <v>1715</v>
      </c>
      <c r="F6" s="1894"/>
      <c r="G6" s="1894"/>
      <c r="H6" s="1894"/>
      <c r="I6" s="1508"/>
    </row>
    <row r="7" spans="1:12" ht="12.75">
      <c r="A7" s="3339"/>
      <c r="B7" s="3397"/>
      <c r="C7" s="3401"/>
      <c r="D7" s="3388"/>
      <c r="E7" s="136" t="s">
        <v>1716</v>
      </c>
      <c r="F7" s="1894"/>
      <c r="G7" s="1894"/>
      <c r="H7" s="1894"/>
      <c r="I7" s="1508"/>
    </row>
    <row r="8" spans="1:12" ht="12.75">
      <c r="A8" s="3339" t="s">
        <v>1717</v>
      </c>
      <c r="B8" s="3397">
        <v>15</v>
      </c>
      <c r="C8" s="3400"/>
      <c r="D8" s="3388"/>
      <c r="E8" s="136" t="s">
        <v>1718</v>
      </c>
      <c r="F8" s="1894"/>
      <c r="G8" s="1894"/>
      <c r="H8" s="1894"/>
      <c r="I8" s="1508"/>
    </row>
    <row r="9" spans="1:12" ht="12.75">
      <c r="A9" s="3339"/>
      <c r="B9" s="3397"/>
      <c r="C9" s="3401"/>
      <c r="D9" s="3388"/>
      <c r="E9" s="136" t="s">
        <v>1719</v>
      </c>
      <c r="F9" s="1894"/>
      <c r="G9" s="1894"/>
      <c r="H9" s="1894"/>
      <c r="I9" s="1508"/>
    </row>
    <row r="10" spans="1:12" ht="12.75">
      <c r="A10" s="3339" t="s">
        <v>1720</v>
      </c>
      <c r="B10" s="3397">
        <v>15</v>
      </c>
      <c r="C10" s="3400"/>
      <c r="D10" s="3388"/>
      <c r="E10" s="136" t="s">
        <v>1721</v>
      </c>
      <c r="F10" s="1894"/>
      <c r="G10" s="1894"/>
      <c r="H10" s="1894"/>
      <c r="I10" s="1508"/>
    </row>
    <row r="11" spans="1:12" ht="12.75">
      <c r="A11" s="3339"/>
      <c r="B11" s="3397"/>
      <c r="C11" s="3401"/>
      <c r="D11" s="3388"/>
      <c r="E11" s="136" t="s">
        <v>1722</v>
      </c>
      <c r="F11" s="1894"/>
      <c r="G11" s="1894"/>
      <c r="H11" s="1894"/>
      <c r="I11" s="1508"/>
    </row>
    <row r="12" spans="1:12" ht="12.75">
      <c r="A12" s="3339" t="s">
        <v>1723</v>
      </c>
      <c r="B12" s="3397">
        <v>15</v>
      </c>
      <c r="C12" s="3400"/>
      <c r="D12" s="3388"/>
      <c r="E12" s="136" t="s">
        <v>1724</v>
      </c>
      <c r="F12" s="1894"/>
      <c r="G12" s="1894"/>
      <c r="H12" s="1894"/>
      <c r="I12" s="1508"/>
    </row>
    <row r="13" spans="1:12" ht="12.75">
      <c r="A13" s="3339"/>
      <c r="B13" s="3397"/>
      <c r="C13" s="3401"/>
      <c r="D13" s="3388"/>
      <c r="E13" s="136" t="s">
        <v>1725</v>
      </c>
      <c r="F13" s="1894"/>
      <c r="G13" s="1894"/>
      <c r="H13" s="1894"/>
      <c r="I13" s="1508"/>
    </row>
    <row r="14" spans="1:12" ht="12.75">
      <c r="A14" s="3339" t="s">
        <v>1726</v>
      </c>
      <c r="B14" s="3397">
        <v>30</v>
      </c>
      <c r="C14" s="3400">
        <v>5</v>
      </c>
      <c r="D14" s="3388">
        <v>5</v>
      </c>
      <c r="E14" s="136" t="s">
        <v>1727</v>
      </c>
      <c r="F14" s="1894"/>
      <c r="G14" s="1894"/>
      <c r="H14" s="1894"/>
      <c r="I14" s="1508"/>
    </row>
    <row r="15" spans="1:12" ht="12.75">
      <c r="A15" s="3339"/>
      <c r="B15" s="3397"/>
      <c r="C15" s="3402"/>
      <c r="D15" s="3388"/>
      <c r="E15" s="136" t="s">
        <v>1728</v>
      </c>
      <c r="F15" s="1894"/>
      <c r="G15" s="1894"/>
      <c r="H15" s="1894"/>
      <c r="I15" s="1508"/>
    </row>
    <row r="16" spans="1:12" ht="12.75">
      <c r="A16" s="3339"/>
      <c r="B16" s="3397"/>
      <c r="C16" s="3401"/>
      <c r="D16" s="338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19" t="s">
        <v>2632</v>
      </c>
      <c r="F18" s="3420"/>
      <c r="G18" s="3420"/>
      <c r="H18" s="3420"/>
      <c r="I18" s="3420"/>
      <c r="K18" s="308" t="s">
        <v>1734</v>
      </c>
      <c r="L18" s="308">
        <f>IF(C1="",'数据-汇总表'!E3,SUMIF(项目类型,C1,'数据-汇总表'!E17:E26)+SUMIF(项目类型,C1,'数据-汇总表'!I17:I26))</f>
        <v>10298.76</v>
      </c>
      <c r="M18" s="308">
        <f>IF(C1="",'数据-汇总表'!E3,SUMIF(项目类型,C1,'数据-汇总表'!E17:E26))</f>
        <v>10298.76</v>
      </c>
    </row>
    <row r="19" spans="1:36" ht="15">
      <c r="A19" s="1898" t="s">
        <v>1735</v>
      </c>
      <c r="B19" s="1899" t="s">
        <v>1736</v>
      </c>
      <c r="C19" s="139">
        <f ca="1">SUMIF(INDIRECT("'"&amp;C4&amp;"'"&amp;"!A:A"),结果表!B19,INDIRECT("'"&amp;C4&amp;"'"&amp;"!B:B"))</f>
        <v>26612</v>
      </c>
      <c r="D19" s="140">
        <f ca="1">SUMIF(INDIRECT("'"&amp;D4&amp;"'"&amp;"!A:A"),结果表!B19,INDIRECT("'"&amp;D4&amp;"'"&amp;"!B:B"))</f>
        <v>17877</v>
      </c>
      <c r="E19" s="1898" t="s">
        <v>1737</v>
      </c>
      <c r="F19" s="1899" t="s">
        <v>1736</v>
      </c>
      <c r="G19" s="141">
        <f ca="1">ROUND(C19*$C$18+D19*$D$18,0)</f>
        <v>22245</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25840</v>
      </c>
      <c r="D20" s="143">
        <f ca="1">SUMIF(INDIRECT("'"&amp;D4&amp;"'"&amp;"!A:A"),结果表!B20,INDIRECT("'"&amp;D4&amp;"'"&amp;"!B:B"))</f>
        <v>17358</v>
      </c>
      <c r="E20" s="1901"/>
      <c r="F20" s="1138" t="s">
        <v>1740</v>
      </c>
      <c r="G20" s="144">
        <f ca="1">ROUND(C20*$C$18+D20*$D$18,0)</f>
        <v>21599</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0.48861665827599698</v>
      </c>
      <c r="E22" s="134"/>
      <c r="F22" s="134"/>
      <c r="G22" s="134"/>
      <c r="H22" s="134"/>
      <c r="I22" s="134"/>
    </row>
    <row r="23" spans="1:36" ht="13.5" thickBot="1">
      <c r="A23" s="1884"/>
      <c r="B23" s="1884"/>
      <c r="C23" s="1884"/>
      <c r="D23" s="1884"/>
      <c r="E23" s="134"/>
      <c r="F23" s="134"/>
      <c r="G23" s="134"/>
      <c r="H23" s="134"/>
      <c r="I23" s="134"/>
    </row>
    <row r="24" spans="1:36" ht="14.25">
      <c r="A24" s="3412" t="s">
        <v>1744</v>
      </c>
      <c r="B24" s="1899" t="s">
        <v>1736</v>
      </c>
      <c r="C24" s="141">
        <f>IF(B30=0,0,D30)</f>
        <v>0</v>
      </c>
      <c r="D24" s="1906"/>
      <c r="E24" s="134"/>
      <c r="F24" s="134"/>
      <c r="G24" s="134"/>
      <c r="H24" s="134"/>
      <c r="I24" s="134"/>
    </row>
    <row r="25" spans="1:36" ht="14.25">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22245</v>
      </c>
      <c r="D32" s="1912" t="s">
        <v>3195</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22245</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9">
        <v>1</v>
      </c>
      <c r="K46" s="3327" t="s">
        <v>1776</v>
      </c>
      <c r="L46" s="3327"/>
      <c r="M46" s="3328"/>
      <c r="N46" s="3328"/>
      <c r="O46" s="3328"/>
    </row>
    <row r="47" spans="1:15" ht="12" customHeight="1">
      <c r="A47" s="165" t="s">
        <v>1777</v>
      </c>
      <c r="B47" s="166"/>
      <c r="C47" s="167"/>
      <c r="D47" s="1200" t="s">
        <v>1778</v>
      </c>
      <c r="E47" s="308" t="s">
        <v>1779</v>
      </c>
      <c r="F47" s="168" t="s">
        <v>1780</v>
      </c>
      <c r="G47" s="2722" t="s">
        <v>1781</v>
      </c>
      <c r="H47" s="2723"/>
      <c r="I47" s="164"/>
      <c r="J47" s="2699">
        <v>2</v>
      </c>
      <c r="K47" s="3327" t="s">
        <v>1782</v>
      </c>
      <c r="L47" s="3327"/>
      <c r="M47" s="3329">
        <f>'数据-取费表'!B2</f>
        <v>44753</v>
      </c>
      <c r="N47" s="3329"/>
      <c r="O47" s="3329"/>
    </row>
    <row r="48" spans="1:15" ht="25.5">
      <c r="A48" s="3392" t="s">
        <v>1783</v>
      </c>
      <c r="B48" s="3393"/>
      <c r="C48" s="3393"/>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27" t="s">
        <v>1785</v>
      </c>
      <c r="L48" s="3327"/>
      <c r="M48" s="3330">
        <f ca="1">H101</f>
        <v>22245</v>
      </c>
      <c r="N48" s="3330"/>
      <c r="O48" s="3330"/>
    </row>
    <row r="49" spans="1:35" ht="25.5" customHeight="1">
      <c r="A49" s="2507" t="s">
        <v>1786</v>
      </c>
      <c r="B49" s="3375" t="s">
        <v>1787</v>
      </c>
      <c r="C49" s="3375"/>
      <c r="D49" s="1726">
        <v>0</v>
      </c>
      <c r="E49" s="330" t="s">
        <v>1788</v>
      </c>
      <c r="F49" s="2600" t="s">
        <v>34</v>
      </c>
      <c r="G49" s="3358"/>
      <c r="H49" s="2479" t="s">
        <v>2635</v>
      </c>
      <c r="I49" s="2480"/>
      <c r="J49" s="2699">
        <v>4</v>
      </c>
      <c r="K49" s="3327" t="str">
        <f>IF(项目基本情况!E8="房地产抵押价值","房地产抵押价值","抵押担保权已注销时的房地产抵押价值")</f>
        <v>房地产抵押价值</v>
      </c>
      <c r="L49" s="3327"/>
      <c r="M49" s="3330">
        <f ca="1">IF(项目基本情况!E8="房地产抵押价值",H107,H109)</f>
        <v>22245</v>
      </c>
      <c r="N49" s="3330"/>
      <c r="O49" s="3330"/>
    </row>
    <row r="50" spans="1:35" ht="25.5" customHeight="1">
      <c r="A50" s="2727"/>
      <c r="B50" s="3375" t="s">
        <v>1789</v>
      </c>
      <c r="C50" s="3375"/>
      <c r="D50" s="2728"/>
      <c r="E50" s="338"/>
      <c r="F50" s="2600"/>
      <c r="G50" s="3359"/>
      <c r="H50" s="2481" t="s">
        <v>2636</v>
      </c>
      <c r="I50" s="2480"/>
      <c r="J50" s="3326" t="s">
        <v>1790</v>
      </c>
      <c r="K50" s="3326"/>
      <c r="L50" s="3326"/>
      <c r="M50" s="3326"/>
      <c r="N50" s="3326"/>
      <c r="O50" s="3326"/>
    </row>
    <row r="51" spans="1:35" ht="20.45" customHeight="1">
      <c r="A51" s="2729"/>
      <c r="B51" s="3375" t="s">
        <v>1791</v>
      </c>
      <c r="C51" s="3375"/>
      <c r="D51" s="1200"/>
      <c r="E51" s="333"/>
      <c r="F51" s="2600"/>
      <c r="G51" s="3360"/>
      <c r="H51" s="2481" t="s">
        <v>2637</v>
      </c>
      <c r="I51" s="2480"/>
      <c r="J51" s="2700" t="s">
        <v>1792</v>
      </c>
      <c r="K51" s="3327" t="s">
        <v>1793</v>
      </c>
      <c r="L51" s="3327"/>
      <c r="M51" s="2700" t="s">
        <v>1794</v>
      </c>
      <c r="N51" s="2700" t="s">
        <v>1795</v>
      </c>
      <c r="O51" s="2700" t="s">
        <v>1796</v>
      </c>
    </row>
    <row r="52" spans="1:35" ht="24" customHeight="1">
      <c r="A52" s="2509" t="s">
        <v>1797</v>
      </c>
      <c r="B52" s="3375" t="s">
        <v>1798</v>
      </c>
      <c r="C52" s="3375"/>
      <c r="D52" s="1200">
        <f ca="1">ROUND(D45*'数据-取费表'!B41/(1+'数据-取费表'!C42),0)</f>
        <v>1186</v>
      </c>
      <c r="E52" s="2508" t="s">
        <v>1799</v>
      </c>
      <c r="F52" s="2730">
        <f>'数据-取费表'!B41</f>
        <v>5.6000000000000001E-2</v>
      </c>
      <c r="G52" s="2731"/>
      <c r="H52" s="2720"/>
      <c r="I52" s="1944"/>
      <c r="J52" s="2699">
        <v>1</v>
      </c>
      <c r="K52" s="3352" t="s">
        <v>1800</v>
      </c>
      <c r="L52" s="3352"/>
      <c r="M52" s="2701" t="b">
        <f>D48</f>
        <v>0</v>
      </c>
      <c r="N52" s="2699" t="str">
        <f>E48</f>
        <v>销售额×税（费）率</v>
      </c>
      <c r="O52" s="2702">
        <f>F48</f>
        <v>5.6000000000000001E-2</v>
      </c>
    </row>
    <row r="53" spans="1:35" ht="12" customHeight="1">
      <c r="A53" s="2509" t="s">
        <v>1801</v>
      </c>
      <c r="B53" s="3376" t="s">
        <v>2792</v>
      </c>
      <c r="C53" s="3377"/>
      <c r="D53" s="1200">
        <f ca="1">ROUND(D45*'数据-取费表'!B41/(1+'数据-取费表'!C42),0)</f>
        <v>1186</v>
      </c>
      <c r="E53" s="2508" t="s">
        <v>1799</v>
      </c>
      <c r="F53" s="2730">
        <f>'数据-取费表'!B41</f>
        <v>5.6000000000000001E-2</v>
      </c>
      <c r="G53" s="2731"/>
      <c r="H53" s="2720"/>
      <c r="I53" s="1944"/>
      <c r="J53" s="2699">
        <v>2</v>
      </c>
      <c r="K53" s="3352" t="s">
        <v>1802</v>
      </c>
      <c r="L53" s="3352"/>
      <c r="M53" s="2701">
        <f t="shared" ref="M53:O54" ca="1" si="0">D55</f>
        <v>11</v>
      </c>
      <c r="N53" s="2699" t="str">
        <f t="shared" si="0"/>
        <v>销售额×税（费）率</v>
      </c>
      <c r="O53" s="2702" t="str">
        <f t="shared" si="0"/>
        <v>免征</v>
      </c>
    </row>
    <row r="54" spans="1:35" ht="12" customHeight="1">
      <c r="A54" s="2509" t="s">
        <v>1803</v>
      </c>
      <c r="B54" s="3376" t="s">
        <v>2793</v>
      </c>
      <c r="C54" s="3377"/>
      <c r="D54" s="1200">
        <f ca="1">C68</f>
        <v>1186</v>
      </c>
      <c r="E54" s="333" t="s">
        <v>1804</v>
      </c>
      <c r="F54" s="2730">
        <f>'数据-取费表'!B41</f>
        <v>5.6000000000000001E-2</v>
      </c>
      <c r="G54" s="2731"/>
      <c r="H54" s="2732"/>
      <c r="I54" s="1944"/>
      <c r="J54" s="2699">
        <v>3</v>
      </c>
      <c r="K54" s="3352" t="s">
        <v>1805</v>
      </c>
      <c r="L54" s="3352"/>
      <c r="M54" s="2701">
        <f t="shared" ca="1" si="0"/>
        <v>12591</v>
      </c>
      <c r="N54" s="2699" t="str">
        <f t="shared" si="0"/>
        <v>增值额×税（费）率</v>
      </c>
      <c r="O54" s="2703" t="str">
        <f t="shared" si="0"/>
        <v>免征</v>
      </c>
    </row>
    <row r="55" spans="1:35" ht="24" customHeight="1">
      <c r="A55" s="3415" t="s">
        <v>1806</v>
      </c>
      <c r="B55" s="3393"/>
      <c r="C55" s="3393"/>
      <c r="D55" s="2498">
        <f ca="1">IF(H55="个人住宅",0,ROUND(D45*I55,0))</f>
        <v>11</v>
      </c>
      <c r="E55" s="2508" t="s">
        <v>1807</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212</v>
      </c>
      <c r="N55" s="2179" t="str">
        <f>E59</f>
        <v>差额计税</v>
      </c>
      <c r="O55" s="2705">
        <f>F59</f>
        <v>0.01</v>
      </c>
    </row>
    <row r="56" spans="1:35" ht="24.75">
      <c r="A56" s="3415" t="s">
        <v>1808</v>
      </c>
      <c r="B56" s="3393"/>
      <c r="C56" s="3393"/>
      <c r="D56" s="2498">
        <f ca="1">IF(H56="个人住宅",D57,D58)</f>
        <v>12591</v>
      </c>
      <c r="E56" s="2508" t="s">
        <v>1809</v>
      </c>
      <c r="F56" s="2730" t="str">
        <f>IF(H56="正常",F58,"免征")</f>
        <v>免征</v>
      </c>
      <c r="G56" s="2733" t="s">
        <v>1810</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2.75">
      <c r="A57" s="2509" t="s">
        <v>1786</v>
      </c>
      <c r="B57" s="3376" t="s">
        <v>1811</v>
      </c>
      <c r="C57" s="3377"/>
      <c r="D57" s="1726">
        <v>0</v>
      </c>
      <c r="E57" s="330" t="s">
        <v>1788</v>
      </c>
      <c r="F57" s="308"/>
      <c r="G57" s="2731"/>
      <c r="H57" s="2735"/>
      <c r="I57" s="1945"/>
      <c r="J57" s="3352">
        <f>IF(AND(J55="",J56=""),4,IF(项目基本情况!K6="上海银行",结果表!J56+1,结果表!J55+1))</f>
        <v>5</v>
      </c>
      <c r="K57" s="3352" t="s">
        <v>1812</v>
      </c>
      <c r="L57" s="2706" t="s">
        <v>1813</v>
      </c>
      <c r="M57" s="2707"/>
      <c r="N57" s="2708">
        <f ca="1">SUMIF(M52:M56,"&lt;9e307")</f>
        <v>12814</v>
      </c>
      <c r="O57" s="2709"/>
      <c r="P57" s="2869">
        <f ca="1">N57/M49</f>
        <v>0.57603955945156216</v>
      </c>
    </row>
    <row r="58" spans="1:35" ht="24.75">
      <c r="A58" s="2509" t="s">
        <v>1797</v>
      </c>
      <c r="B58" s="3376" t="s">
        <v>1814</v>
      </c>
      <c r="C58" s="3375"/>
      <c r="D58" s="2498">
        <f ca="1">IF(H58="转让取得",C81,C97)</f>
        <v>12591</v>
      </c>
      <c r="E58" s="2508" t="s">
        <v>1809</v>
      </c>
      <c r="F58" s="308" t="s">
        <v>34</v>
      </c>
      <c r="G58" s="2731"/>
      <c r="H58" s="2734"/>
      <c r="I58" s="1945"/>
      <c r="J58" s="3352"/>
      <c r="K58" s="3352"/>
      <c r="L58" s="2706" t="s">
        <v>1815</v>
      </c>
      <c r="M58" s="2710"/>
      <c r="N58" s="2711" t="str">
        <f ca="1">NUMBERSTRING(INT(N57*10000),2)&amp;"元整"</f>
        <v>壹亿贰仟捌佰壹拾肆万元整</v>
      </c>
      <c r="O58" s="2712"/>
    </row>
    <row r="59" spans="1:35" ht="24.75" thickBot="1">
      <c r="A59" s="3356" t="s">
        <v>1816</v>
      </c>
      <c r="B59" s="3357"/>
      <c r="C59" s="3357"/>
      <c r="D59" s="2736">
        <f ca="1">IF(H59="非个人房产","——",IF(H59="个人住宅（满五唯一有凭证）",0,IF(H59="个人其他（无凭证）",ROUND(D45*F59,0),ROUND(C67*F59,0))))</f>
        <v>212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4">
        <f>J57+1</f>
        <v>6</v>
      </c>
      <c r="K59" s="3352" t="s">
        <v>1817</v>
      </c>
      <c r="L59" s="2699" t="s">
        <v>1813</v>
      </c>
      <c r="M59" s="2713"/>
      <c r="N59" s="2714">
        <f ca="1">M49-N57</f>
        <v>9431</v>
      </c>
      <c r="O59" s="2715"/>
    </row>
    <row r="60" spans="1:35" ht="12" customHeight="1">
      <c r="A60" s="1946"/>
      <c r="B60" s="1884"/>
      <c r="C60" s="1884"/>
      <c r="D60" s="1884"/>
      <c r="E60" s="1714"/>
      <c r="F60" s="1945"/>
      <c r="G60" s="1945"/>
      <c r="H60" s="1947"/>
      <c r="I60" s="134"/>
      <c r="J60" s="3355"/>
      <c r="K60" s="3352"/>
      <c r="L60" s="2706" t="s">
        <v>1815</v>
      </c>
      <c r="M60" s="2710"/>
      <c r="N60" s="2711" t="str">
        <f ca="1">NUMBERSTRING(INT(N59*10000),2)&amp;"元整"</f>
        <v>玖仟肆佰叁拾壹万元整</v>
      </c>
      <c r="O60" s="2712"/>
    </row>
    <row r="61" spans="1:35" ht="13.5" thickBot="1">
      <c r="A61" s="3414" t="s">
        <v>1818</v>
      </c>
      <c r="B61" s="3414"/>
      <c r="C61" s="3414"/>
      <c r="D61" s="3414"/>
      <c r="E61" s="3414"/>
      <c r="F61" s="1945"/>
      <c r="G61" s="1945"/>
      <c r="H61" s="1947"/>
      <c r="I61" s="134"/>
      <c r="J61" s="2699">
        <f>J59+1</f>
        <v>7</v>
      </c>
      <c r="K61" s="3352" t="s">
        <v>1819</v>
      </c>
      <c r="L61" s="3352"/>
      <c r="M61" s="2716"/>
      <c r="N61" s="2717">
        <f ca="1">ROUND(N59*10000/'数据-汇总表'!E3,0)</f>
        <v>9157</v>
      </c>
      <c r="O61" s="2718"/>
    </row>
    <row r="62" spans="1:35" ht="12.75">
      <c r="A62" s="3371" t="s">
        <v>1820</v>
      </c>
      <c r="B62" s="3372"/>
      <c r="C62" s="2160"/>
      <c r="D62" s="2160" t="s">
        <v>1821</v>
      </c>
      <c r="E62" s="171" t="s">
        <v>1822</v>
      </c>
      <c r="F62" s="1945"/>
      <c r="G62" s="1945"/>
      <c r="H62" s="1947"/>
      <c r="I62" s="134"/>
    </row>
    <row r="63" spans="1:35" ht="12.75">
      <c r="A63" s="178" t="s">
        <v>594</v>
      </c>
      <c r="B63" s="172" t="s">
        <v>1823</v>
      </c>
      <c r="C63" s="2740">
        <f ca="1">ROUND((C64+C65)/(1+'数据-取费表'!C42),0)</f>
        <v>21186</v>
      </c>
      <c r="D63" s="172"/>
      <c r="E63" s="173"/>
      <c r="F63" s="1945"/>
      <c r="G63" s="1945"/>
      <c r="H63" s="1947"/>
      <c r="I63" s="134"/>
      <c r="J63" s="3335" t="s">
        <v>1824</v>
      </c>
      <c r="K63" s="1453" t="s">
        <v>1825</v>
      </c>
      <c r="L63" s="1453">
        <f ca="1">IF(M49&gt;10000,M49*0.5%,IF(AND(M49&gt;1000,M49&lt;=10000),M49*1%,IF(AND(M49&gt;100,M49&lt;=1000),M49*3%,IF(AND(M49&gt;10,M49&lt;=100),M49*5%,M49*8%))))</f>
        <v>111.22500000000001</v>
      </c>
      <c r="M63" s="308">
        <f ca="1">ROUND(L63,1)</f>
        <v>111.2</v>
      </c>
      <c r="N63" s="2719"/>
      <c r="Z63" s="1889"/>
      <c r="AI63" s="1890"/>
    </row>
    <row r="64" spans="1:35" ht="14.25" customHeight="1">
      <c r="A64" s="174" t="s">
        <v>589</v>
      </c>
      <c r="B64" s="175" t="s">
        <v>1826</v>
      </c>
      <c r="C64" s="2741">
        <f ca="1">D45</f>
        <v>22245</v>
      </c>
      <c r="D64" s="175" t="s">
        <v>32</v>
      </c>
      <c r="E64" s="177"/>
      <c r="F64" s="1945"/>
      <c r="G64" s="1945"/>
      <c r="H64" s="1947"/>
      <c r="I64" s="134"/>
      <c r="J64" s="3335"/>
      <c r="K64" s="1453" t="s">
        <v>1827</v>
      </c>
      <c r="L64" s="1453">
        <f ca="1">IF(M49&gt;2000,M49*0.5%,IF(AND(M49&gt;1000,M49&lt;=2000),M49*0.6%,IF(AND(M49&gt;500,M49&lt;=1000),M49*0.7%,IF(AND(M49&gt;200,M49&lt;=500),M49*0.8%,IF(AND(M49&gt;100,M49&lt;=200),M49*0.9%,IF(AND(M49&gt;50,M49&lt;=100),M49*1%,IF(AND(M49&gt;20,M49&lt;=50),M49*1.5%,IF(AND(M49&gt;10,M49&lt;=20),M49*2%,IF(AND(M49&gt;1,M49&lt;=10),M49*2.5%)))))))))</f>
        <v>111.22500000000001</v>
      </c>
      <c r="M64" s="308">
        <f t="shared" ref="M64:M65" ca="1" si="1">ROUND(L64,1)</f>
        <v>111.2</v>
      </c>
      <c r="N64" s="2720" t="s">
        <v>1828</v>
      </c>
      <c r="Z64" s="1889"/>
      <c r="AI64" s="1890"/>
    </row>
    <row r="65" spans="1:35" ht="14.25" customHeight="1">
      <c r="A65" s="174" t="s">
        <v>590</v>
      </c>
      <c r="B65" s="175" t="s">
        <v>1829</v>
      </c>
      <c r="C65" s="2742"/>
      <c r="D65" s="175"/>
      <c r="E65" s="177"/>
      <c r="F65" s="1945"/>
      <c r="G65" s="1945"/>
      <c r="H65" s="1947"/>
      <c r="I65" s="134"/>
      <c r="J65" s="3335"/>
      <c r="K65" s="1453" t="s">
        <v>1830</v>
      </c>
      <c r="L65" s="1453">
        <f ca="1">IF(M49&gt;1000,M49*0.1%,IF(AND(M49&gt;500,M49&lt;=1000),M49*0.5%,IF(AND(M49&gt;50,M49&lt;=500),M49*1%,IF(AND(M49&gt;1,M49&lt;=50),M49*1.5%))))</f>
        <v>22.245000000000001</v>
      </c>
      <c r="M65" s="308">
        <f t="shared" ca="1" si="1"/>
        <v>22.2</v>
      </c>
      <c r="N65" s="2720" t="s">
        <v>1828</v>
      </c>
      <c r="Z65" s="1889"/>
      <c r="AI65" s="1890"/>
    </row>
    <row r="66" spans="1:35" ht="14.25" customHeight="1">
      <c r="A66" s="178" t="s">
        <v>591</v>
      </c>
      <c r="B66" s="179" t="s">
        <v>1831</v>
      </c>
      <c r="C66" s="2743"/>
      <c r="D66" s="179" t="s">
        <v>32</v>
      </c>
      <c r="E66" s="1460" t="s">
        <v>1096</v>
      </c>
      <c r="F66" s="1945"/>
      <c r="G66" s="1945"/>
      <c r="H66" s="1947"/>
      <c r="I66" s="134"/>
      <c r="J66" s="3335"/>
      <c r="K66" s="1453" t="s">
        <v>1832</v>
      </c>
      <c r="L66" s="1453">
        <f ca="1">M49*0.5%</f>
        <v>111.22500000000001</v>
      </c>
      <c r="M66" s="308">
        <f ca="1">IF(L66&gt;0.5,0.5,ROUND(L66,0))</f>
        <v>0.5</v>
      </c>
      <c r="N66" s="2720" t="s">
        <v>1833</v>
      </c>
      <c r="Z66" s="1889"/>
      <c r="AI66" s="1890"/>
    </row>
    <row r="67" spans="1:35" ht="14.25" customHeight="1">
      <c r="A67" s="178" t="s">
        <v>592</v>
      </c>
      <c r="B67" s="179" t="s">
        <v>1834</v>
      </c>
      <c r="C67" s="2744">
        <f ca="1">C63-C66</f>
        <v>21186</v>
      </c>
      <c r="D67" s="175" t="s">
        <v>32</v>
      </c>
      <c r="E67" s="177"/>
      <c r="F67" s="1945"/>
      <c r="G67" s="1945"/>
      <c r="H67" s="1947"/>
      <c r="I67" s="134"/>
      <c r="J67" s="3335"/>
      <c r="K67" s="1453" t="s">
        <v>1835</v>
      </c>
      <c r="L67" s="1453">
        <f ca="1">IF(M49&gt;=10000,(8.25+(M49-10000)*0.01%),IF(AND(M49&gt;=8000,M49&lt;10000),(7.85+(M49-8000)*0.02%),IF(AND(M49&gt;=5000,M49&lt;8000),(6.65+(M49-5000)*0.04%),IF(AND(M49&gt;=2000,M49&lt;5000),(4.25+(PM49-2000)*0.08%),IF(AND(M49&gt;=1000,M49&lt;2000),(2.75+(M49-1000)*0.15%),IF(AND(M49&gt;=100,M49&lt;1000),(0.5+(M49-100)*0.25%),IF(AND(M49&gt;0,M49&lt;100),M49*0.5%)))))))</f>
        <v>9.4745000000000008</v>
      </c>
      <c r="M67" s="308">
        <f ca="1">ROUND(L67*0.9,1)</f>
        <v>8.5</v>
      </c>
      <c r="N67" s="2719"/>
      <c r="Z67" s="1889"/>
      <c r="AI67" s="1890"/>
    </row>
    <row r="68" spans="1:35" ht="14.25" customHeight="1" thickBot="1">
      <c r="A68" s="181" t="s">
        <v>593</v>
      </c>
      <c r="B68" s="182" t="s">
        <v>1836</v>
      </c>
      <c r="C68" s="2745">
        <f ca="1">IF(C67&lt;=0,0,ROUND(C67*D68,0))</f>
        <v>1186</v>
      </c>
      <c r="D68" s="2746">
        <f>'数据-取费表'!B41</f>
        <v>5.6000000000000001E-2</v>
      </c>
      <c r="E68" s="184"/>
      <c r="F68" s="1945"/>
      <c r="G68" s="1945"/>
      <c r="H68" s="1947"/>
      <c r="I68" s="134"/>
      <c r="J68" s="3335"/>
      <c r="K68" s="1453" t="s">
        <v>1837</v>
      </c>
      <c r="L68" s="1453">
        <f ca="1">IF(M49&gt;10000,M49*0.5%,IF(AND(M49&gt;5000,M49&lt;=10000),M49*1%,IF(AND(M49&gt;1000,M49&lt;=5000),M49*2%,IF(AND(M49&gt;200,M49&lt;=1000),M49*3%,M49*5%))))</f>
        <v>111.22500000000001</v>
      </c>
      <c r="M68" s="308">
        <f ca="1">ROUND(L68,1)</f>
        <v>111.2</v>
      </c>
      <c r="N68" s="2719"/>
      <c r="Z68" s="1889"/>
      <c r="AI68" s="1890"/>
    </row>
    <row r="69" spans="1:35" s="1909" customFormat="1" ht="16.5" customHeight="1">
      <c r="A69" s="1948"/>
      <c r="B69" s="1949"/>
      <c r="C69" s="1950"/>
      <c r="D69" s="1951"/>
      <c r="E69" s="1952"/>
      <c r="F69" s="1714"/>
      <c r="G69" s="1714"/>
      <c r="H69" s="1713"/>
      <c r="I69" s="1884"/>
      <c r="J69" s="3335"/>
      <c r="K69" s="1453" t="s">
        <v>1838</v>
      </c>
      <c r="L69" s="1453"/>
      <c r="M69" s="308">
        <f ca="1">ROUND(SUM(M63:M68),0)</f>
        <v>365</v>
      </c>
      <c r="N69" s="2721">
        <f ca="1">M69/M49</f>
        <v>1.6408181613845808E-2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21186</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127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127</v>
      </c>
      <c r="D78" s="2753">
        <f>'数据-取费表'!B43</f>
        <v>6.000000000000001E-3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21059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165.81889763779529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12591</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21186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127</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7" t="s">
        <v>2630</v>
      </c>
      <c r="H90" s="333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8" t="s">
        <v>1867</v>
      </c>
      <c r="F92" s="3369"/>
      <c r="G92" s="3369"/>
      <c r="H92" s="337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127</v>
      </c>
      <c r="D93" s="2753">
        <f>'数据-取费表'!B43</f>
        <v>6.000000000000001E-3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21059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165.81889763779529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12591</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1" t="str">
        <f>C4</f>
        <v>成本法</v>
      </c>
      <c r="D101" s="2762" t="str">
        <f>D4</f>
        <v>收益法</v>
      </c>
      <c r="E101" s="3331" t="s">
        <v>1876</v>
      </c>
      <c r="F101" s="3332"/>
      <c r="G101" s="1964" t="s">
        <v>1877</v>
      </c>
      <c r="H101" s="2771">
        <f ca="1">H118</f>
        <v>22245</v>
      </c>
      <c r="I101" s="134"/>
    </row>
    <row r="102" spans="1:35" ht="18.75" customHeight="1">
      <c r="A102" s="3363" t="s">
        <v>1878</v>
      </c>
      <c r="B102" s="2760" t="s">
        <v>1877</v>
      </c>
      <c r="C102" s="2761">
        <f ca="1">C19</f>
        <v>26612</v>
      </c>
      <c r="D102" s="2762">
        <f ca="1">D19</f>
        <v>17877</v>
      </c>
      <c r="E102" s="3331"/>
      <c r="F102" s="3332"/>
      <c r="G102" s="1964" t="s">
        <v>1879</v>
      </c>
      <c r="H102" s="2731">
        <f ca="1">I118</f>
        <v>21600</v>
      </c>
      <c r="I102" s="134"/>
    </row>
    <row r="103" spans="1:35" ht="42.75" customHeight="1">
      <c r="A103" s="3363"/>
      <c r="B103" s="2760" t="s">
        <v>1879</v>
      </c>
      <c r="C103" s="2763">
        <f ca="1">C20</f>
        <v>25840</v>
      </c>
      <c r="D103" s="2764">
        <f ca="1">D20</f>
        <v>17358</v>
      </c>
      <c r="E103" s="3324" t="s">
        <v>1880</v>
      </c>
      <c r="F103" s="3325"/>
      <c r="G103" s="1965" t="s">
        <v>1881</v>
      </c>
      <c r="H103" s="2771">
        <f>IF(D36="正常操作",H104+H105+H106,H105+H106)</f>
        <v>0</v>
      </c>
      <c r="I103" s="134"/>
    </row>
    <row r="104" spans="1:35" ht="18.75" customHeight="1">
      <c r="A104" s="3363" t="s">
        <v>1882</v>
      </c>
      <c r="B104" s="2765" t="s">
        <v>1877</v>
      </c>
      <c r="C104" s="2766">
        <f ca="1">H118</f>
        <v>22245</v>
      </c>
      <c r="D104" s="2767"/>
      <c r="E104" s="1811" t="s">
        <v>1883</v>
      </c>
      <c r="F104" s="1802"/>
      <c r="G104" s="1965" t="s">
        <v>1881</v>
      </c>
      <c r="H104" s="2772">
        <f>IF(D36="同一抵押权人同一抵押物续贷",C36&amp;"（续贷，未扣减，详见特别提示）",C36)</f>
        <v>0</v>
      </c>
      <c r="I104" s="134"/>
    </row>
    <row r="105" spans="1:35" ht="18.75" customHeight="1" thickBot="1">
      <c r="A105" s="3373"/>
      <c r="B105" s="2768" t="s">
        <v>1879</v>
      </c>
      <c r="C105" s="2769">
        <f ca="1">I118</f>
        <v>21600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4" t="str">
        <f>IF(项目基本情况!E8="已注销","——","3.房地产抵押价值")</f>
        <v>3.房地产抵押价值</v>
      </c>
      <c r="F107" s="3332"/>
      <c r="G107" s="1964" t="s">
        <v>1877</v>
      </c>
      <c r="H107" s="2771">
        <f ca="1">IF(E107="——","——",H101-H103)</f>
        <v>22245</v>
      </c>
      <c r="I107" s="134"/>
    </row>
    <row r="108" spans="1:35" ht="18.75" customHeight="1">
      <c r="A108" s="134"/>
      <c r="B108" s="134"/>
      <c r="C108" s="134"/>
      <c r="D108" s="134"/>
      <c r="E108" s="3364"/>
      <c r="F108" s="3332"/>
      <c r="G108" s="1964" t="s">
        <v>1879</v>
      </c>
      <c r="H108" s="2731">
        <f ca="1">ROUND(H107*10000/'数据-汇总表'!E3,0)</f>
        <v>21600</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4" t="str">
        <f>IF(E109="——","——",H101-H105-H106)</f>
        <v>——</v>
      </c>
      <c r="I109" s="134"/>
    </row>
    <row r="110" spans="1:35" ht="18.75" customHeight="1">
      <c r="A110" s="134"/>
      <c r="B110" s="134"/>
      <c r="C110" s="134"/>
      <c r="D110" s="134"/>
      <c r="E110" s="3364"/>
      <c r="F110" s="3332"/>
      <c r="G110" s="1964" t="s">
        <v>1879</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1" t="str">
        <f>IF(E111="——","——",N59)</f>
        <v>——</v>
      </c>
      <c r="I111" s="134"/>
    </row>
    <row r="112" spans="1:35" ht="18.75" customHeight="1" thickBot="1">
      <c r="A112" s="134"/>
      <c r="B112" s="134"/>
      <c r="C112" s="134"/>
      <c r="D112" s="134"/>
      <c r="E112" s="3366"/>
      <c r="F112" s="3367"/>
      <c r="G112" s="1967" t="s">
        <v>1879</v>
      </c>
      <c r="H112" s="2775"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10298.76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22245</v>
      </c>
      <c r="I118" s="2503">
        <f ca="1">ROUND(IF(D32="楼面单价",C32,H118*10000/B118),0)</f>
        <v>21600</v>
      </c>
    </row>
    <row r="119" spans="1:27" ht="18.75" customHeight="1">
      <c r="A119" s="3339" t="s">
        <v>1897</v>
      </c>
      <c r="B119" s="3339"/>
      <c r="C119" s="3339"/>
      <c r="D119" s="3345" t="e">
        <f ca="1">NUMBERSTRING(INT(D118*10000),2)&amp;"元整"</f>
        <v>#REF!</v>
      </c>
      <c r="E119" s="3346"/>
      <c r="F119" s="3345" t="e">
        <f ca="1">NUMBERSTRING(INT(F118*10000),2)&amp;"元整"</f>
        <v>#REF!</v>
      </c>
      <c r="G119" s="3346"/>
      <c r="H119" s="3345" t="str">
        <f ca="1">NUMBERSTRING(INT(H118*10000),2)&amp;"元整"</f>
        <v>贰亿贰仟贰佰肆拾伍万元整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22245</v>
      </c>
      <c r="E122" s="3341"/>
      <c r="F122" s="3341"/>
      <c r="G122" s="3341"/>
      <c r="H122" s="3341"/>
      <c r="I122" s="3342"/>
      <c r="AA122" s="734"/>
    </row>
    <row r="123" spans="1:27" ht="18.75" customHeight="1">
      <c r="A123" s="3339" t="s">
        <v>1897</v>
      </c>
      <c r="B123" s="3339"/>
      <c r="C123" s="3339"/>
      <c r="D123" s="3345" t="str">
        <f ca="1">NUMBERSTRING(INT(D122*10000),2)&amp;"元整"</f>
        <v>贰亿贰仟贰佰肆拾伍万元整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26612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25840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17512</v>
      </c>
      <c r="D5" s="217" t="s">
        <v>1914</v>
      </c>
      <c r="E5" s="218" t="s">
        <v>1915</v>
      </c>
      <c r="F5" s="218" t="s">
        <v>1916</v>
      </c>
      <c r="G5" s="219"/>
    </row>
    <row r="6" spans="1:9" s="220" customFormat="1" ht="13.5" customHeight="1">
      <c r="A6" s="867" t="s">
        <v>1917</v>
      </c>
      <c r="B6" s="221" t="s">
        <v>1918</v>
      </c>
      <c r="C6" s="222">
        <f>[2]基准地价修正!$B$2</f>
        <v>16794</v>
      </c>
      <c r="D6" s="223"/>
      <c r="E6" s="224"/>
      <c r="F6" s="224"/>
      <c r="G6" s="225"/>
    </row>
    <row r="7" spans="1:9" s="220" customFormat="1" ht="13.5" customHeight="1">
      <c r="A7" s="867" t="s">
        <v>1919</v>
      </c>
      <c r="B7" s="221" t="s">
        <v>1920</v>
      </c>
      <c r="C7" s="226">
        <f>ROUND(C6*F7,0)</f>
        <v>512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206</v>
      </c>
      <c r="D10" s="935">
        <f ca="1">IF(B1="",'数据-汇总表'!E6,IF(INDIRECT("'数据-取费表'!c"&amp;$G$1)="住宅",INDIRECT("'数据-取费表'!s"&amp;$G$1),INDIRECT("'数据-取费表'!k"&amp;$G$1)+INDIRECT("'数据-取费表'!s"&amp;$G$1)))</f>
        <v>10298.76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10298.76</v>
      </c>
      <c r="E19" s="217">
        <f>'数据-取费表'!B31</f>
        <v>200</v>
      </c>
      <c r="F19" s="237"/>
      <c r="G19" s="1993" t="s">
        <v>3193</v>
      </c>
    </row>
    <row r="20" spans="1:7" s="220" customFormat="1" ht="13.5" customHeight="1">
      <c r="A20" s="261" t="s">
        <v>1938</v>
      </c>
      <c r="B20" s="216" t="s">
        <v>1939</v>
      </c>
      <c r="C20" s="238">
        <f ca="1">ROUND((C5+C19)*F20,0)</f>
        <v>350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1126</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1115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2679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2679</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23472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3435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3090</v>
      </c>
      <c r="D34" s="223"/>
      <c r="E34" s="226"/>
      <c r="F34" s="263">
        <f ca="1">IF('数据-取费表'!B24=0,1,IF(B1="",'数据-取费表'!N16,INDIRECT("'数据-取费表'!n"&amp;$G$1)))</f>
        <v>1</v>
      </c>
      <c r="G34" s="225" t="s">
        <v>1971</v>
      </c>
    </row>
    <row r="35" spans="1:7" ht="13.5" customHeight="1">
      <c r="A35" s="869" t="s">
        <v>615</v>
      </c>
      <c r="B35" s="221" t="s">
        <v>1972</v>
      </c>
      <c r="C35" s="226">
        <f ca="1">ROUND(C34*F35,0)</f>
        <v>93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206</v>
      </c>
      <c r="D37" s="223">
        <f ca="1">D19</f>
        <v>10298.76</v>
      </c>
      <c r="E37" s="255">
        <f>'数据-取费表'!B35</f>
        <v>200</v>
      </c>
      <c r="F37" s="265"/>
      <c r="G37" s="267" t="s">
        <v>1977</v>
      </c>
    </row>
    <row r="38" spans="1:7" ht="13.5" customHeight="1">
      <c r="A38" s="869" t="s">
        <v>618</v>
      </c>
      <c r="B38" s="221" t="s">
        <v>1978</v>
      </c>
      <c r="C38" s="226">
        <f ca="1">ROUND(C34*F38,0)</f>
        <v>46</v>
      </c>
      <c r="D38" s="226"/>
      <c r="E38" s="226"/>
      <c r="F38" s="265">
        <f>'数据-取费表'!B36</f>
        <v>1.4999999999999999E-2</v>
      </c>
      <c r="G38" s="225" t="s">
        <v>1973</v>
      </c>
    </row>
    <row r="39" spans="1:7" s="220" customFormat="1" ht="13.5" customHeight="1">
      <c r="A39" s="261" t="s">
        <v>1979</v>
      </c>
      <c r="B39" s="216" t="s">
        <v>1980</v>
      </c>
      <c r="C39" s="238">
        <f ca="1">ROUND(C33*F20,0)</f>
        <v>69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110</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108</v>
      </c>
      <c r="D42" s="244"/>
      <c r="E42" s="244"/>
      <c r="F42" s="245"/>
      <c r="G42" s="3421" t="s">
        <v>1989</v>
      </c>
    </row>
    <row r="43" spans="1:7" ht="13.5" customHeight="1">
      <c r="A43" s="869" t="s">
        <v>611</v>
      </c>
      <c r="B43" s="221" t="s">
        <v>1990</v>
      </c>
      <c r="C43" s="244">
        <f ca="1">ROUND(IF('数据-取费表'!B22&lt;=1,C39*F22*'数据-取费表'!B21/2,C39*(POWER((1+F22),'数据-取费表'!B21/2)-1)),0)</f>
        <v>2</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526</v>
      </c>
      <c r="D45" s="241">
        <f ca="1">C47</f>
        <v>3.0000000000000001E-3</v>
      </c>
      <c r="E45" s="242" t="s">
        <v>1984</v>
      </c>
      <c r="F45" s="2488">
        <f ca="1">F27</f>
        <v>0.15</v>
      </c>
      <c r="G45" s="253" t="s">
        <v>1993</v>
      </c>
    </row>
    <row r="46" spans="1:7" s="220" customFormat="1" ht="13.5" customHeight="1">
      <c r="A46" s="869" t="s">
        <v>610</v>
      </c>
      <c r="B46" s="254" t="s">
        <v>1994</v>
      </c>
      <c r="C46" s="255">
        <f ca="1">ROUND((C33+C39)*F27,0)</f>
        <v>526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4485</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3140</v>
      </c>
      <c r="D51" s="238"/>
      <c r="E51" s="238"/>
      <c r="F51" s="270"/>
      <c r="G51" s="240" t="s">
        <v>2005</v>
      </c>
    </row>
    <row r="52" spans="1:7" s="214" customFormat="1" ht="16.5" thickBot="1">
      <c r="A52" s="271" t="s">
        <v>2006</v>
      </c>
      <c r="B52" s="272"/>
      <c r="C52" s="273">
        <f ca="1">C31+C51</f>
        <v>26612</v>
      </c>
      <c r="D52" s="272"/>
      <c r="E52" s="272"/>
      <c r="F52" s="272"/>
      <c r="G52" s="274"/>
    </row>
    <row r="55" spans="1:7" ht="15">
      <c r="B55" s="276" t="s">
        <v>2007</v>
      </c>
      <c r="C55" s="277"/>
    </row>
    <row r="56" spans="1:7">
      <c r="B56" s="279" t="s">
        <v>1237</v>
      </c>
      <c r="C56" s="281">
        <f ca="1">1-C57</f>
        <v>0.88200000000000001</v>
      </c>
    </row>
    <row r="57" spans="1:7">
      <c r="B57" s="279" t="s">
        <v>1238</v>
      </c>
      <c r="C57" s="280">
        <f ca="1">ROUND(C51/C52,3)</f>
        <v>0.11799999999999999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63" sqref="J6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3691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3584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2059752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2059752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2059752</v>
      </c>
      <c r="D10" s="935">
        <f ca="1">IF(B1="",'数据-汇总表'!E6,IF(INDIRECT("'数据-取费表'!c"&amp;$G$1)="住宅",INDIRECT("'数据-取费表'!s"&amp;$G$1),INDIRECT("'数据-取费表'!k"&amp;$G$1)+INDIRECT("'数据-取费表'!s"&amp;$G$1)))</f>
        <v>10298.76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2059752</v>
      </c>
      <c r="D19" s="939">
        <f ca="1">D9+D10</f>
        <v>10298.76</v>
      </c>
      <c r="E19" s="217">
        <f>'数据-取费表'!B31</f>
        <v>200</v>
      </c>
      <c r="F19" s="237"/>
      <c r="G19" s="1993"/>
    </row>
    <row r="20" spans="1:7" s="220" customFormat="1" ht="13.5" customHeight="1">
      <c r="A20" s="261" t="s">
        <v>2019</v>
      </c>
      <c r="B20" s="216" t="s">
        <v>2020</v>
      </c>
      <c r="C20" s="238">
        <f ca="1">ROUND((C5+C19)*F20,0)</f>
        <v>82390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264818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131118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131118</v>
      </c>
      <c r="D24" s="244"/>
      <c r="E24" s="244"/>
      <c r="F24" s="245"/>
      <c r="G24" s="246" t="s">
        <v>2031</v>
      </c>
    </row>
    <row r="25" spans="1:7" s="220" customFormat="1" ht="24">
      <c r="A25" s="869" t="s">
        <v>1921</v>
      </c>
      <c r="B25" s="221" t="s">
        <v>2032</v>
      </c>
      <c r="C25" s="1243">
        <f ca="1">ROUND(IF('数据-取费表'!B22&lt;=1,C20*F22*'数据-取费表'!B22/2,C20*(POWER((1+F22),'数据-取费表'!B22/2)-1)),0)</f>
        <v>2582</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630284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630284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5521608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34346364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30896280</v>
      </c>
      <c r="D34" s="223"/>
      <c r="E34" s="226"/>
      <c r="F34" s="263"/>
      <c r="G34" s="225"/>
    </row>
    <row r="35" spans="1:7" ht="13.5" customHeight="1">
      <c r="A35" s="869" t="s">
        <v>615</v>
      </c>
      <c r="B35" s="221" t="s">
        <v>1972</v>
      </c>
      <c r="C35" s="226">
        <f ca="1">ROUND(C34*F35,0)</f>
        <v>926888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2059752</v>
      </c>
      <c r="D37" s="223">
        <f ca="1">D19</f>
        <v>10298.76</v>
      </c>
      <c r="E37" s="255">
        <f>'数据-取费表'!B35</f>
        <v>200</v>
      </c>
      <c r="F37" s="265"/>
      <c r="G37" s="267"/>
    </row>
    <row r="38" spans="1:7" ht="13.5" customHeight="1">
      <c r="A38" s="869" t="s">
        <v>618</v>
      </c>
      <c r="B38" s="221" t="s">
        <v>1978</v>
      </c>
      <c r="C38" s="226">
        <f ca="1">ROUND(C34*F38,0)</f>
        <v>463444</v>
      </c>
      <c r="D38" s="226"/>
      <c r="E38" s="226"/>
      <c r="F38" s="265">
        <f>'数据-取费表'!B36</f>
        <v>1.4999999999999999E-2</v>
      </c>
      <c r="G38" s="225" t="s">
        <v>1973</v>
      </c>
    </row>
    <row r="39" spans="1:7" s="220" customFormat="1" ht="13.5" customHeight="1">
      <c r="A39" s="261" t="s">
        <v>1979</v>
      </c>
      <c r="B39" s="216" t="s">
        <v>1980</v>
      </c>
      <c r="C39" s="238">
        <f ca="1">ROUND(C33*F20,0)</f>
        <v>686927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1097855</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1076328</v>
      </c>
      <c r="D42" s="244"/>
      <c r="E42" s="244"/>
      <c r="F42" s="245"/>
      <c r="G42" s="3421" t="s">
        <v>2036</v>
      </c>
    </row>
    <row r="43" spans="1:7" ht="13.5" customHeight="1">
      <c r="A43" s="869" t="s">
        <v>611</v>
      </c>
      <c r="B43" s="221" t="s">
        <v>1990</v>
      </c>
      <c r="C43" s="244">
        <f ca="1">ROUND(IF('数据-取费表'!B22&lt;=1,C39*F22*'数据-取费表'!B20/2,C39*(POWER((1+F22),'数据-取费表'!B20/2)-1)),0)</f>
        <v>21527</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5254994</v>
      </c>
      <c r="D45" s="241">
        <f ca="1">C47</f>
        <v>3.0000000000000001E-3</v>
      </c>
      <c r="E45" s="242" t="s">
        <v>1984</v>
      </c>
      <c r="F45" s="2488">
        <f ca="1">F27</f>
        <v>0.15</v>
      </c>
      <c r="G45" s="253" t="s">
        <v>1993</v>
      </c>
    </row>
    <row r="46" spans="1:7" s="220" customFormat="1" ht="13.5" customHeight="1">
      <c r="A46" s="869" t="s">
        <v>610</v>
      </c>
      <c r="B46" s="254" t="s">
        <v>1994</v>
      </c>
      <c r="C46" s="255">
        <f ca="1">ROUND((C33+C39)*F27,0)</f>
        <v>5254994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44833864</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31383705</v>
      </c>
      <c r="D51" s="238"/>
      <c r="E51" s="238"/>
      <c r="F51" s="270"/>
      <c r="G51" s="240" t="s">
        <v>2005</v>
      </c>
    </row>
    <row r="52" spans="1:7" s="214" customFormat="1" ht="16.5" thickBot="1">
      <c r="A52" s="271" t="s">
        <v>2006</v>
      </c>
      <c r="B52" s="272"/>
      <c r="C52" s="273">
        <f ca="1">C31+C51</f>
        <v>36905313</v>
      </c>
      <c r="D52" s="272"/>
      <c r="E52" s="272"/>
      <c r="F52" s="272"/>
      <c r="G52" s="274"/>
    </row>
    <row r="55" spans="1:7" ht="15">
      <c r="B55" s="276" t="s">
        <v>2007</v>
      </c>
      <c r="C55" s="277"/>
    </row>
    <row r="56" spans="1:7">
      <c r="B56" s="279" t="s">
        <v>1237</v>
      </c>
      <c r="C56" s="281">
        <f ca="1">1-C57</f>
        <v>0.15000000000000002</v>
      </c>
    </row>
    <row r="57" spans="1:7">
      <c r="B57" s="279" t="s">
        <v>1238</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63" sqref="J6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10298.76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10298.76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206</v>
      </c>
      <c r="D20" s="936">
        <f ca="1">IF(C1="",'数据-汇总表'!E6,IF(INDIRECT("'数据-取费表'!c"&amp;$K$1)="住宅",INDIRECT("'数据-取费表'!s"&amp;$K$1),INDIRECT("'数据-取费表'!k"&amp;$K$1)+INDIRECT("'数据-取费表'!s"&amp;$K$1)))</f>
        <v>10298.76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28.01</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17877</v>
      </c>
      <c r="C2" s="1522" t="s">
        <v>1240</v>
      </c>
      <c r="D2" s="1522"/>
      <c r="E2" s="1523"/>
      <c r="F2" s="1524"/>
      <c r="G2" s="2885"/>
      <c r="H2" s="2874"/>
      <c r="I2" s="2874"/>
      <c r="J2" s="2874"/>
      <c r="K2" s="2875"/>
      <c r="L2" s="2874"/>
      <c r="M2" s="2874"/>
    </row>
    <row r="3" spans="1:37" ht="18" customHeight="1" thickBot="1">
      <c r="A3" s="1525" t="s">
        <v>1241</v>
      </c>
      <c r="B3" s="1526">
        <f ca="1">IF(ISERROR(B2*10000/F43),0,ROUND(B2*10000/F43,0))</f>
        <v>17358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1185</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1184</v>
      </c>
      <c r="D6" s="160" t="s">
        <v>2609</v>
      </c>
      <c r="E6" s="308" t="s">
        <v>1129</v>
      </c>
      <c r="F6" s="309">
        <f ca="1">INDIRECT("'数据-取费表'!u"&amp;$G$1)</f>
        <v>3.5</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10298.76</v>
      </c>
      <c r="G7" s="1519"/>
      <c r="H7" s="310"/>
      <c r="I7" s="3427"/>
      <c r="J7" s="312"/>
      <c r="K7" s="313"/>
      <c r="L7" s="308" t="s">
        <v>1130</v>
      </c>
      <c r="M7" s="309">
        <f ca="1">F7</f>
        <v>10298.76</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3140</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3090</v>
      </c>
      <c r="D14" s="1480" t="s">
        <v>1142</v>
      </c>
      <c r="E14" s="1477"/>
      <c r="F14" s="325"/>
      <c r="G14" s="1519"/>
      <c r="H14" s="1094" t="s">
        <v>822</v>
      </c>
      <c r="I14" s="308" t="s">
        <v>1143</v>
      </c>
      <c r="J14" s="24">
        <f ca="1">C29</f>
        <v>4485</v>
      </c>
      <c r="K14" s="15"/>
      <c r="L14" s="897"/>
      <c r="M14" s="898"/>
    </row>
    <row r="15" spans="1:37" s="1532" customFormat="1" ht="18" customHeight="1" thickBot="1">
      <c r="A15" s="1094" t="s">
        <v>823</v>
      </c>
      <c r="B15" s="308" t="s">
        <v>1144</v>
      </c>
      <c r="C15" s="24">
        <f ca="1">ROUND(C14*F15,0)</f>
        <v>93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206</v>
      </c>
      <c r="D17" s="308" t="s">
        <v>1151</v>
      </c>
      <c r="E17" s="308" t="s">
        <v>1152</v>
      </c>
      <c r="F17" s="26">
        <f>'数据-取费表'!B35</f>
        <v>200</v>
      </c>
      <c r="G17" s="1531"/>
      <c r="H17" s="1094" t="s">
        <v>822</v>
      </c>
      <c r="I17" s="308" t="s">
        <v>1153</v>
      </c>
      <c r="J17" s="2485">
        <f ca="1">ROUND(IF(AND(项目基本情况!B11="自然人",项目基本情况!B10="北京市"),J6*M17/(1+'数据-取费表'!C42),J18+J19+J20),0)</f>
        <v>38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3435</v>
      </c>
      <c r="D19" s="136" t="s">
        <v>1160</v>
      </c>
      <c r="E19" s="1495"/>
      <c r="F19" s="26"/>
      <c r="G19" s="1519"/>
      <c r="H19" s="1094" t="s">
        <v>823</v>
      </c>
      <c r="I19" s="308" t="s">
        <v>1161</v>
      </c>
      <c r="J19" s="24">
        <f ca="1">IF(K19="按租金收入计税",ROUND(J6*M19/(1+'数据-取费表'!C42),2),ROUND(C29*M19*0.7,2))</f>
        <v>37.67</v>
      </c>
      <c r="K19" s="1505" t="s">
        <v>1162</v>
      </c>
      <c r="L19" s="308" t="s">
        <v>1146</v>
      </c>
      <c r="M19" s="328">
        <f>IF(K19="按租金收入计税",'数据-取费表'!B51,'数据-取费表'!B50)</f>
        <v>1.2E-2</v>
      </c>
    </row>
    <row r="20" spans="1:37" s="1532" customFormat="1" ht="18" customHeight="1">
      <c r="A20" s="1094" t="s">
        <v>826</v>
      </c>
      <c r="B20" s="308" t="s">
        <v>1163</v>
      </c>
      <c r="C20" s="24">
        <f ca="1">ROUND(C19*F20,0)</f>
        <v>69</v>
      </c>
      <c r="D20" s="329" t="s">
        <v>1164</v>
      </c>
      <c r="E20" s="308" t="s">
        <v>1146</v>
      </c>
      <c r="F20" s="328">
        <f>'数据-取费表'!B37</f>
        <v>0.02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67.3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526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4485</v>
      </c>
      <c r="D29" s="1205"/>
      <c r="E29" s="1203"/>
      <c r="F29" s="1206"/>
      <c r="G29" s="1531"/>
      <c r="H29" s="340" t="s">
        <v>820</v>
      </c>
      <c r="I29" s="341" t="s">
        <v>1203</v>
      </c>
      <c r="J29" s="342">
        <f ca="1">ROUND(J26/(1+F40)^F41,0)</f>
        <v>0</v>
      </c>
      <c r="K29" s="343" t="s">
        <v>1204</v>
      </c>
      <c r="L29" s="344"/>
      <c r="M29" s="345">
        <f ca="1">INDIRECT("'数据-取费表'!k"&amp;$G$1)</f>
        <v>10298.76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282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198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63.15</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135.31</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67.3</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4.7</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11.9</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903</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17669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28.01</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17156</v>
      </c>
      <c r="D43" s="343" t="s">
        <v>1212</v>
      </c>
      <c r="E43" s="344" t="s">
        <v>1213</v>
      </c>
      <c r="F43" s="345">
        <f ca="1">INDIRECT("'数据-取费表'!k"&amp;$G$1)</f>
        <v>10298.76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-24010</v>
      </c>
      <c r="D46" s="1541" t="str">
        <f>C2</f>
        <v>万元</v>
      </c>
      <c r="E46" s="1535"/>
      <c r="F46" s="1535"/>
      <c r="I46" s="1542" t="s">
        <v>1245</v>
      </c>
      <c r="J46" s="1543"/>
      <c r="K46" s="1544"/>
      <c r="L46" s="1545">
        <f ca="1">IF(M47="住宅",0,IF(L48&gt;J51,L60,J60))</f>
        <v>208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17669</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28.01</v>
      </c>
      <c r="O48" s="1553" t="s">
        <v>828</v>
      </c>
      <c r="P48" s="1554" t="s">
        <v>1256</v>
      </c>
      <c r="Q48" s="1555">
        <f ca="1">J60</f>
        <v>208</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4485</v>
      </c>
      <c r="R49" s="1555" t="s">
        <v>1253</v>
      </c>
    </row>
    <row r="50" spans="1:18" s="1519" customFormat="1" ht="13.5" thickBot="1">
      <c r="A50" s="1088"/>
      <c r="B50" s="1091"/>
      <c r="C50" s="1231"/>
      <c r="D50" s="1065"/>
      <c r="E50" s="1168" t="s">
        <v>1130</v>
      </c>
      <c r="F50" s="1169">
        <f ca="1">F7</f>
        <v>10298.76</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10994</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28.01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28.01</v>
      </c>
      <c r="K53" s="3424" t="s">
        <v>1272</v>
      </c>
      <c r="L53" s="3425"/>
      <c r="O53" s="1553" t="s">
        <v>833</v>
      </c>
      <c r="P53" s="1554" t="s">
        <v>1273</v>
      </c>
      <c r="Q53" s="1555">
        <f ca="1">Q47+Q48</f>
        <v>17877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0.16700000000000001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3140</v>
      </c>
      <c r="D56" s="1582"/>
      <c r="E56" s="1583"/>
      <c r="F56" s="1575"/>
      <c r="I56" s="1584" t="s">
        <v>1278</v>
      </c>
      <c r="J56" s="1585" t="s">
        <v>3190</v>
      </c>
      <c r="K56" s="1556" t="s">
        <v>1279</v>
      </c>
      <c r="L56" s="1559" t="str">
        <f ca="1">IF(L48&lt;J51,"——",L48-J53)</f>
        <v>——</v>
      </c>
      <c r="O56" s="1553" t="s">
        <v>827</v>
      </c>
      <c r="P56" s="1554" t="s">
        <v>1252</v>
      </c>
      <c r="Q56" s="1555">
        <f ca="1">C40+J29</f>
        <v>17669</v>
      </c>
      <c r="R56" s="1555" t="s">
        <v>1253</v>
      </c>
    </row>
    <row r="57" spans="1:18" s="1519" customFormat="1" ht="24.75" thickBot="1">
      <c r="A57" s="1586"/>
      <c r="B57" s="1062" t="s">
        <v>1202</v>
      </c>
      <c r="C57" s="244">
        <f ca="1">C29</f>
        <v>4485</v>
      </c>
      <c r="D57" s="1587"/>
      <c r="E57" s="1588"/>
      <c r="F57" s="1589"/>
      <c r="I57" s="1590" t="s">
        <v>1280</v>
      </c>
      <c r="J57" s="1591">
        <f ca="1">IF(OR(M47="住宅",J51&lt;L48,J56="是"),"——",J51-L48)</f>
        <v>9.9899999999999984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449</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377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1794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208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376.74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17669</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67.3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4.7</v>
      </c>
      <c r="D65" s="1076" t="s">
        <v>1178</v>
      </c>
      <c r="E65" s="1062" t="s">
        <v>1179</v>
      </c>
      <c r="F65" s="336">
        <f t="shared" ca="1" si="0"/>
        <v>1.5E-3</v>
      </c>
      <c r="I65" s="1597" t="s">
        <v>1303</v>
      </c>
      <c r="J65" s="1598">
        <v>40</v>
      </c>
      <c r="K65" s="1598">
        <v>30</v>
      </c>
      <c r="L65" s="1598">
        <v>50</v>
      </c>
      <c r="M65" s="1600">
        <v>0.02</v>
      </c>
      <c r="O65" s="1553" t="s">
        <v>827</v>
      </c>
      <c r="P65" s="1554" t="s">
        <v>1304</v>
      </c>
      <c r="Q65" s="1555">
        <f ca="1">C40+J29</f>
        <v>17669</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-449</v>
      </c>
      <c r="D67" s="1075" t="s">
        <v>1188</v>
      </c>
      <c r="E67" s="1080"/>
      <c r="F67" s="1081"/>
      <c r="O67" s="1563" t="s">
        <v>829</v>
      </c>
      <c r="P67" s="1554" t="s">
        <v>1286</v>
      </c>
      <c r="Q67" s="1601">
        <f ca="1">L51</f>
        <v>10994</v>
      </c>
      <c r="R67" s="1555" t="s">
        <v>1306</v>
      </c>
    </row>
    <row r="68" spans="1:18" s="1519" customFormat="1" ht="16.5" thickBot="1">
      <c r="A68" s="1059" t="s">
        <v>819</v>
      </c>
      <c r="B68" s="1060" t="s">
        <v>1209</v>
      </c>
      <c r="C68" s="307">
        <f ca="1">ROUND(C67*(1-((1+F70)/(1+F68))^F69)/(F68-F70),0)</f>
        <v>-6341</v>
      </c>
      <c r="D68" s="1077" t="s">
        <v>1193</v>
      </c>
      <c r="E68" s="1062" t="s">
        <v>1194</v>
      </c>
      <c r="F68" s="318">
        <f ca="1">F40</f>
        <v>5.5E-2</v>
      </c>
      <c r="O68" s="1563" t="s">
        <v>830</v>
      </c>
      <c r="P68" s="1602" t="s">
        <v>1307</v>
      </c>
      <c r="Q68" s="1555">
        <f ca="1">ROUND(Q69-Q70*Q71,0)</f>
        <v>652</v>
      </c>
      <c r="R68" s="1555" t="s">
        <v>838</v>
      </c>
    </row>
    <row r="69" spans="1:18" s="1519" customFormat="1" ht="13.5" thickBot="1">
      <c r="A69" s="1063"/>
      <c r="B69" s="1064"/>
      <c r="C69" s="312"/>
      <c r="D69" s="1082" t="s">
        <v>1197</v>
      </c>
      <c r="E69" s="1062" t="s">
        <v>1198</v>
      </c>
      <c r="F69" s="339">
        <f ca="1">F41</f>
        <v>28.01</v>
      </c>
      <c r="O69" s="1563" t="s">
        <v>835</v>
      </c>
      <c r="P69" s="1602" t="s">
        <v>1308</v>
      </c>
      <c r="Q69" s="1555">
        <f ca="1">C39</f>
        <v>903</v>
      </c>
      <c r="R69" s="1555" t="s">
        <v>1253</v>
      </c>
    </row>
    <row r="70" spans="1:18" s="1519" customFormat="1" ht="13.5" thickBot="1">
      <c r="A70" s="1066"/>
      <c r="B70" s="1067"/>
      <c r="C70" s="316"/>
      <c r="D70" s="1078"/>
      <c r="E70" s="1062" t="s">
        <v>1201</v>
      </c>
      <c r="F70" s="1166"/>
      <c r="O70" s="1563" t="s">
        <v>836</v>
      </c>
      <c r="P70" s="1602" t="s">
        <v>1309</v>
      </c>
      <c r="Q70" s="1555">
        <f ca="1">C13</f>
        <v>3140</v>
      </c>
      <c r="R70" s="1555" t="s">
        <v>1253</v>
      </c>
    </row>
    <row r="71" spans="1:18" s="1519" customFormat="1" ht="13.5" thickBot="1">
      <c r="A71" s="1083" t="s">
        <v>820</v>
      </c>
      <c r="B71" s="1084" t="s">
        <v>1211</v>
      </c>
      <c r="C71" s="342">
        <f ca="1">ROUND(C68*10000/F71,0)</f>
        <v>-6157</v>
      </c>
      <c r="D71" s="1085" t="s">
        <v>1212</v>
      </c>
      <c r="E71" s="1086" t="s">
        <v>1213</v>
      </c>
      <c r="F71" s="345">
        <f ca="1">F43</f>
        <v>10298.76</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251</v>
      </c>
      <c r="D75" s="1519"/>
      <c r="E75" s="1519"/>
      <c r="F75" s="1519"/>
      <c r="K75" s="1537"/>
      <c r="L75" s="1519"/>
      <c r="O75" s="1553" t="s">
        <v>833</v>
      </c>
      <c r="P75" s="1554" t="s">
        <v>1273</v>
      </c>
      <c r="Q75" s="1555">
        <f ca="1">Q65+Q66</f>
        <v>17669</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0.72199999999999998</v>
      </c>
    </row>
    <row r="80" spans="1:18">
      <c r="B80" s="346" t="s">
        <v>1235</v>
      </c>
      <c r="C80" s="280">
        <f ca="1">ROUND(C75/C39,3)</f>
        <v>0.27800000000000002</v>
      </c>
    </row>
    <row r="81" spans="2:3">
      <c r="B81" s="276" t="s">
        <v>1236</v>
      </c>
      <c r="C81" s="244"/>
    </row>
    <row r="82" spans="2:3">
      <c r="B82" s="279" t="s">
        <v>1237</v>
      </c>
      <c r="C82" s="281">
        <f ca="1">1-C83</f>
        <v>0.82200000000000006</v>
      </c>
    </row>
    <row r="83" spans="2:3">
      <c r="B83" s="279" t="s">
        <v>1238</v>
      </c>
      <c r="C83" s="280">
        <f ca="1">ROUND(C13/C40,3)</f>
        <v>0.17799999999999999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63" sqref="J6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9" t="s">
        <v>2822</v>
      </c>
      <c r="K2" s="3430"/>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1" t="s">
        <v>2832</v>
      </c>
      <c r="K3" s="3432"/>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1" t="s">
        <v>2834</v>
      </c>
      <c r="K4" s="3432"/>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3" t="s">
        <v>2838</v>
      </c>
      <c r="B6" s="3434"/>
      <c r="C6" s="3435"/>
      <c r="D6" s="3051"/>
      <c r="E6" s="3052"/>
      <c r="F6" s="3053"/>
      <c r="G6" s="3054"/>
      <c r="H6" s="3029"/>
      <c r="I6" s="3030"/>
      <c r="J6" s="3436">
        <v>1</v>
      </c>
      <c r="K6" s="3437"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6"/>
      <c r="K7" s="3438"/>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0" t="s">
        <v>2852</v>
      </c>
      <c r="C8" s="3441"/>
      <c r="D8" s="3070" t="s">
        <v>2853</v>
      </c>
      <c r="E8" s="3071" t="s">
        <v>2854</v>
      </c>
      <c r="F8" s="3072" t="s">
        <v>2855</v>
      </c>
      <c r="G8" s="3073"/>
      <c r="H8" s="3029"/>
      <c r="I8" s="3030"/>
      <c r="J8" s="3436"/>
      <c r="K8" s="3438"/>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0" t="s">
        <v>2858</v>
      </c>
      <c r="C9" s="3441"/>
      <c r="D9" s="3070">
        <f>ROUND(D6*E9,0)</f>
        <v>0</v>
      </c>
      <c r="E9" s="3074"/>
      <c r="F9" s="3075" t="s">
        <v>2859</v>
      </c>
      <c r="G9" s="3054"/>
      <c r="H9" s="3029"/>
      <c r="I9" s="3030"/>
      <c r="J9" s="3436"/>
      <c r="K9" s="3438"/>
      <c r="L9" s="3064" t="s">
        <v>2860</v>
      </c>
      <c r="M9" s="3065"/>
      <c r="N9" s="3041"/>
      <c r="O9" s="3066"/>
      <c r="P9" s="3066"/>
      <c r="Q9" s="3067">
        <v>365</v>
      </c>
      <c r="R9" s="3068">
        <f t="shared" si="0"/>
        <v>0</v>
      </c>
      <c r="S9" s="3022"/>
      <c r="T9" s="3022"/>
      <c r="U9" s="3022"/>
      <c r="V9" s="3030"/>
    </row>
    <row r="10" spans="1:22" s="3034" customFormat="1" ht="13.15" customHeight="1">
      <c r="A10" s="3069">
        <v>2</v>
      </c>
      <c r="B10" s="3440" t="s">
        <v>2861</v>
      </c>
      <c r="C10" s="3441"/>
      <c r="D10" s="3070">
        <f>ROUND(D6*E10,0)</f>
        <v>0</v>
      </c>
      <c r="E10" s="3074"/>
      <c r="F10" s="3075" t="s">
        <v>2862</v>
      </c>
      <c r="G10" s="3054"/>
      <c r="H10" s="3029"/>
      <c r="I10" s="3030"/>
      <c r="J10" s="3436"/>
      <c r="K10" s="3438"/>
      <c r="L10" s="3064" t="s">
        <v>2863</v>
      </c>
      <c r="M10" s="3065"/>
      <c r="N10" s="3041"/>
      <c r="O10" s="3066"/>
      <c r="P10" s="3066"/>
      <c r="Q10" s="3067">
        <v>365</v>
      </c>
      <c r="R10" s="3068">
        <f t="shared" si="0"/>
        <v>0</v>
      </c>
      <c r="S10" s="3022"/>
      <c r="T10" s="3022"/>
      <c r="U10" s="3022"/>
      <c r="V10" s="3030"/>
    </row>
    <row r="11" spans="1:22" s="3034" customFormat="1" ht="13.15" customHeight="1">
      <c r="A11" s="3069">
        <v>3</v>
      </c>
      <c r="B11" s="3440" t="s">
        <v>2864</v>
      </c>
      <c r="C11" s="3441"/>
      <c r="D11" s="3070">
        <f>D12+D14+D15+D16</f>
        <v>0</v>
      </c>
      <c r="E11" s="3076" t="e">
        <f>D11/D6</f>
        <v>#DIV/0!</v>
      </c>
      <c r="F11" s="3072"/>
      <c r="G11" s="3073"/>
      <c r="H11" s="3029"/>
      <c r="I11" s="3030"/>
      <c r="J11" s="3436"/>
      <c r="K11" s="3438"/>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2" t="s">
        <v>2867</v>
      </c>
      <c r="C12" s="3443"/>
      <c r="D12" s="3078">
        <f>ROUND(D13*1.2%*(1-30%),0)</f>
        <v>0</v>
      </c>
      <c r="E12" s="3079">
        <v>1.2E-2</v>
      </c>
      <c r="F12" s="3072" t="s">
        <v>2868</v>
      </c>
      <c r="G12" s="3073"/>
      <c r="H12" s="3029"/>
      <c r="I12" s="3030"/>
      <c r="J12" s="3436"/>
      <c r="K12" s="3438"/>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6"/>
      <c r="K13" s="3438"/>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2" t="s">
        <v>2873</v>
      </c>
      <c r="C14" s="3443"/>
      <c r="D14" s="3078">
        <f>ROUND(E14*B5/10000,0)</f>
        <v>0</v>
      </c>
      <c r="E14" s="3067"/>
      <c r="F14" s="3072" t="s">
        <v>2874</v>
      </c>
      <c r="G14" s="3073"/>
      <c r="H14" s="3029"/>
      <c r="I14" s="3030"/>
      <c r="J14" s="3436"/>
      <c r="K14" s="3439"/>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2" t="s">
        <v>2877</v>
      </c>
      <c r="C15" s="3443"/>
      <c r="D15" s="3078">
        <f>ROUND(D6*E15,0)</f>
        <v>0</v>
      </c>
      <c r="E15" s="3079">
        <v>5.5E-2</v>
      </c>
      <c r="F15" s="3072" t="s">
        <v>2878</v>
      </c>
      <c r="G15" s="3054"/>
      <c r="H15" s="3029"/>
      <c r="I15" s="3030"/>
      <c r="J15" s="3436">
        <v>2</v>
      </c>
      <c r="K15" s="3437"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2" t="s">
        <v>2886</v>
      </c>
      <c r="C16" s="3443"/>
      <c r="D16" s="3089">
        <f>D6*E16</f>
        <v>0</v>
      </c>
      <c r="E16" s="3090"/>
      <c r="F16" s="3075" t="s">
        <v>2887</v>
      </c>
      <c r="G16" s="3054"/>
      <c r="H16" s="3029"/>
      <c r="I16" s="3030"/>
      <c r="J16" s="3436"/>
      <c r="K16" s="3438"/>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2889</v>
      </c>
      <c r="C17" s="3445"/>
      <c r="D17" s="3092">
        <f>ROUND(D6*E17,0)</f>
        <v>0</v>
      </c>
      <c r="E17" s="3093"/>
      <c r="F17" s="3094" t="s">
        <v>2890</v>
      </c>
      <c r="G17" s="3054"/>
      <c r="H17" s="3029"/>
      <c r="I17" s="3030"/>
      <c r="J17" s="3436"/>
      <c r="K17" s="3438"/>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6"/>
      <c r="K18" s="3438"/>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6"/>
      <c r="K19" s="3439"/>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6">
        <v>3</v>
      </c>
      <c r="K20" s="3437"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6"/>
      <c r="K21" s="3438"/>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6"/>
      <c r="K22" s="3438"/>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6"/>
      <c r="K23" s="3438"/>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6"/>
      <c r="K24" s="3439"/>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9" t="s">
        <v>2822</v>
      </c>
      <c r="K32" s="3430"/>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1" t="s">
        <v>2832</v>
      </c>
      <c r="K33" s="3432"/>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1" t="s">
        <v>2834</v>
      </c>
      <c r="K34" s="343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6">
        <v>1</v>
      </c>
      <c r="K36" s="3437"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6"/>
      <c r="K40" s="3439"/>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17877</v>
      </c>
      <c r="C2" s="2009" t="s">
        <v>2099</v>
      </c>
      <c r="D2" s="2010" t="s">
        <v>2100</v>
      </c>
      <c r="E2" s="2783">
        <f>SUM(E6:E13)</f>
        <v>10298.76</v>
      </c>
      <c r="F2" s="2886"/>
      <c r="G2" s="1625"/>
      <c r="H2" s="1625"/>
      <c r="I2" s="1625"/>
      <c r="J2" s="1625"/>
      <c r="K2" s="1625"/>
      <c r="L2" s="1625"/>
      <c r="M2" s="1625"/>
      <c r="N2" s="1625"/>
      <c r="O2" s="1625"/>
      <c r="P2" s="1625"/>
      <c r="Q2" s="1625"/>
      <c r="R2" s="1625"/>
      <c r="S2" s="1625"/>
    </row>
    <row r="3" spans="1:22" ht="15.75">
      <c r="A3" s="2007" t="s">
        <v>1119</v>
      </c>
      <c r="B3" s="2777">
        <f ca="1">ROUND(B2*10000/E2,0)</f>
        <v>17358</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8" t="s">
        <v>2102</v>
      </c>
      <c r="C5" s="3449"/>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17877</v>
      </c>
      <c r="C6" s="2009" t="s">
        <v>2099</v>
      </c>
      <c r="D6" s="2888"/>
      <c r="E6" s="2782">
        <f>IF(OR(A6=0,F6="否"),0,'数据-取费表'!K6+'数据-取费表'!S6)</f>
        <v>10298.76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10298.76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4"/>
      <c r="M4" s="2895"/>
      <c r="N4" s="2895"/>
      <c r="O4" s="2895"/>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202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44753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10298.76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80"/>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80"/>
      <c r="AC6" s="3452"/>
    </row>
    <row r="7" spans="1:29" s="113" customFormat="1" ht="15.75" thickBot="1">
      <c r="A7" s="368" t="s">
        <v>2128</v>
      </c>
      <c r="B7" s="369"/>
      <c r="C7" s="370">
        <f>'数据-取费表'!B2</f>
        <v>44753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10298.76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ht="15">
      <c r="A5" s="364"/>
      <c r="B5" s="365"/>
      <c r="C5" s="3461" t="s">
        <v>2122</v>
      </c>
      <c r="D5" s="3462"/>
      <c r="E5" s="3459" t="s">
        <v>2123</v>
      </c>
      <c r="F5" s="3460"/>
      <c r="G5" s="3461" t="s">
        <v>2124</v>
      </c>
      <c r="H5" s="3462"/>
      <c r="I5" s="3461" t="s">
        <v>2125</v>
      </c>
      <c r="J5" s="3462"/>
      <c r="K5" s="567"/>
      <c r="L5" s="2894"/>
      <c r="M5" s="2895"/>
      <c r="N5" s="2895"/>
      <c r="O5" s="2895"/>
      <c r="P5" s="3504"/>
      <c r="Q5" s="3475"/>
      <c r="R5" s="3457"/>
      <c r="S5" s="3458"/>
      <c r="T5" s="3457"/>
      <c r="U5" s="3458"/>
      <c r="V5" s="3480"/>
      <c r="W5" s="3480"/>
      <c r="X5" s="1490"/>
      <c r="Y5" s="3457"/>
      <c r="Z5" s="3458"/>
      <c r="AA5" s="3451"/>
      <c r="AB5" s="3451"/>
      <c r="AC5" s="3500"/>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505"/>
      <c r="Q6" s="3477"/>
      <c r="R6" s="3457"/>
      <c r="S6" s="3458"/>
      <c r="T6" s="3478"/>
      <c r="U6" s="3479"/>
      <c r="V6" s="3480"/>
      <c r="W6" s="3480"/>
      <c r="X6" s="1490"/>
      <c r="Y6" s="3478"/>
      <c r="Z6" s="3479"/>
      <c r="AA6" s="3452"/>
      <c r="AB6" s="3452"/>
      <c r="AC6" s="3501"/>
    </row>
    <row r="7" spans="1:29" s="113" customFormat="1" ht="15.75" thickBot="1">
      <c r="A7" s="368" t="s">
        <v>2128</v>
      </c>
      <c r="B7" s="369"/>
      <c r="C7" s="370">
        <f>'数据-取费表'!B2</f>
        <v>44753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10298.76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44753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估价对象为北京市房地产，为所有。根据《国有土地使用证》[]，估价对象（分摊）出让国有建设用地使用权面积为0平方米，建筑面积为10298.76平方米。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估价对象为北京市房地产,属开发建设的，该项目尚在开发建设中。根据《国有土地使用证》[]，估价对象（分摊）出让国有建设用地使用权面积为0平方米，规划建筑面积为10298.76平方米。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2022年7月11日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44753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44753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30" s="113" customFormat="1" ht="15.75" thickBot="1">
      <c r="A7" s="368" t="s">
        <v>2128</v>
      </c>
      <c r="B7" s="369"/>
      <c r="C7" s="370">
        <f>'数据-取费表'!B2</f>
        <v>44753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123</v>
      </c>
      <c r="G10" s="422"/>
      <c r="H10" s="132">
        <f>ROUND(100/'数据-取费表'!G16,0)</f>
        <v>123</v>
      </c>
      <c r="I10" s="422"/>
      <c r="J10" s="132">
        <f>ROUND(100/'数据-取费表'!G16,0)</f>
        <v>123</v>
      </c>
      <c r="K10" s="628"/>
      <c r="L10" s="2898"/>
      <c r="M10" s="2899"/>
      <c r="N10" s="2899"/>
      <c r="O10" s="2952"/>
      <c r="P10" s="3485"/>
      <c r="Q10" s="1478" t="str">
        <f t="shared" si="6"/>
        <v>土地使用年限（年）</v>
      </c>
      <c r="R10" s="710" t="s">
        <v>17</v>
      </c>
      <c r="S10" s="711">
        <f t="shared" si="0"/>
        <v>123</v>
      </c>
      <c r="T10" s="710" t="s">
        <v>17</v>
      </c>
      <c r="U10" s="711">
        <f t="shared" si="1"/>
        <v>123</v>
      </c>
      <c r="V10" s="710" t="s">
        <v>17</v>
      </c>
      <c r="W10" s="711">
        <f t="shared" si="2"/>
        <v>123</v>
      </c>
      <c r="X10" s="712"/>
      <c r="Y10" s="3397"/>
      <c r="Z10" s="55" t="str">
        <f t="shared" si="7"/>
        <v>土地使用年限（年）</v>
      </c>
      <c r="AA10" s="713">
        <f t="shared" si="3"/>
        <v>0.81300813008130079</v>
      </c>
      <c r="AB10" s="713">
        <f t="shared" si="4"/>
        <v>0.81300813008130079</v>
      </c>
      <c r="AC10" s="713">
        <f t="shared" si="5"/>
        <v>0.81300813008130079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10298.76</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10298.76</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516" t="s">
        <v>2376</v>
      </c>
      <c r="D6" s="3517"/>
      <c r="E6" s="3518" t="s">
        <v>2376</v>
      </c>
      <c r="F6" s="3519"/>
      <c r="G6" s="3516" t="s">
        <v>2376</v>
      </c>
      <c r="H6" s="3517"/>
      <c r="I6" s="3516" t="s">
        <v>2376</v>
      </c>
      <c r="J6" s="3517"/>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44753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123</v>
      </c>
      <c r="G10" s="391"/>
      <c r="H10" s="132">
        <f>ROUND(100/'数据-取费表'!G16,0)</f>
        <v>123</v>
      </c>
      <c r="I10" s="391"/>
      <c r="J10" s="132">
        <f>ROUND(100/'数据-取费表'!G16,0)</f>
        <v>123</v>
      </c>
      <c r="K10" s="628"/>
      <c r="L10" s="2898"/>
      <c r="M10" s="2899"/>
      <c r="N10" s="2899"/>
      <c r="O10" s="2952"/>
      <c r="P10" s="3485"/>
      <c r="Q10" s="1478" t="str">
        <f t="shared" si="6"/>
        <v>土地使用年限（年）</v>
      </c>
      <c r="R10" s="710" t="s">
        <v>17</v>
      </c>
      <c r="S10" s="711">
        <f t="shared" si="0"/>
        <v>123</v>
      </c>
      <c r="T10" s="710" t="s">
        <v>17</v>
      </c>
      <c r="U10" s="711">
        <f t="shared" si="1"/>
        <v>123</v>
      </c>
      <c r="V10" s="710" t="s">
        <v>17</v>
      </c>
      <c r="W10" s="711">
        <f t="shared" si="2"/>
        <v>123</v>
      </c>
      <c r="X10" s="712"/>
      <c r="Y10" s="3397"/>
      <c r="Z10" s="55" t="str">
        <f t="shared" si="7"/>
        <v>土地使用年限（年）</v>
      </c>
      <c r="AA10" s="713">
        <f t="shared" si="3"/>
        <v>0.81300813008130079</v>
      </c>
      <c r="AB10" s="713">
        <f t="shared" si="4"/>
        <v>0.81300813008130079</v>
      </c>
      <c r="AC10" s="713">
        <f t="shared" si="5"/>
        <v>0.81300813008130079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10298.76</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44753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26"/>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26"/>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26"/>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26"/>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26"/>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26"/>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23" t="s">
        <v>2558</v>
      </c>
      <c r="B110" s="3523"/>
      <c r="C110" s="3523"/>
      <c r="D110" s="3523"/>
      <c r="E110" s="3523"/>
      <c r="F110" s="3523"/>
      <c r="G110" s="3523"/>
      <c r="H110" s="3523"/>
      <c r="I110" s="3523"/>
      <c r="J110" s="3523"/>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3" t="s">
        <v>2955</v>
      </c>
      <c r="B20" s="3546" t="s">
        <v>2956</v>
      </c>
      <c r="C20" s="3213" t="s">
        <v>2957</v>
      </c>
      <c r="D20" s="3214"/>
      <c r="E20" s="3215">
        <v>1</v>
      </c>
      <c r="F20" s="3216" t="s">
        <v>2958</v>
      </c>
      <c r="G20" s="807"/>
      <c r="H20" s="801"/>
      <c r="I20" s="801"/>
    </row>
    <row r="21" spans="1:13" s="808" customFormat="1" ht="19.5" customHeight="1">
      <c r="A21" s="3554"/>
      <c r="B21" s="3547"/>
      <c r="C21" s="805" t="s">
        <v>2959</v>
      </c>
      <c r="D21" s="806"/>
      <c r="E21" s="3217">
        <v>1</v>
      </c>
      <c r="F21" s="3216" t="s">
        <v>2960</v>
      </c>
      <c r="G21" s="807"/>
      <c r="H21" s="801"/>
      <c r="I21" s="801"/>
    </row>
    <row r="22" spans="1:13" s="808" customFormat="1" ht="19.5" customHeight="1">
      <c r="A22" s="3554"/>
      <c r="B22" s="3547"/>
      <c r="C22" s="805" t="s">
        <v>2961</v>
      </c>
      <c r="D22" s="806"/>
      <c r="E22" s="3217">
        <v>0.9</v>
      </c>
      <c r="F22" s="3216" t="s">
        <v>2962</v>
      </c>
      <c r="G22" s="807"/>
      <c r="H22" s="801"/>
      <c r="I22" s="801"/>
    </row>
    <row r="23" spans="1:13" s="808" customFormat="1" ht="19.5" customHeight="1">
      <c r="A23" s="3554"/>
      <c r="B23" s="3547"/>
      <c r="C23" s="805" t="s">
        <v>2963</v>
      </c>
      <c r="D23" s="806"/>
      <c r="E23" s="3217">
        <v>0.9</v>
      </c>
      <c r="F23" s="3216" t="s">
        <v>2964</v>
      </c>
      <c r="G23" s="807"/>
      <c r="H23" s="801"/>
      <c r="I23" s="801"/>
    </row>
    <row r="24" spans="1:13" s="808" customFormat="1" ht="19.5" customHeight="1">
      <c r="A24" s="3554"/>
      <c r="B24" s="3547"/>
      <c r="C24" s="805" t="s">
        <v>2965</v>
      </c>
      <c r="D24" s="806"/>
      <c r="E24" s="3217">
        <v>0.8</v>
      </c>
      <c r="F24" s="3216" t="s">
        <v>2966</v>
      </c>
      <c r="G24" s="807"/>
      <c r="H24" s="801"/>
      <c r="I24" s="801"/>
    </row>
    <row r="25" spans="1:13" s="808" customFormat="1" ht="19.5" customHeight="1" thickBot="1">
      <c r="A25" s="3555"/>
      <c r="B25" s="3548"/>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9" t="s">
        <v>2972</v>
      </c>
      <c r="B27" s="3546" t="s">
        <v>2972</v>
      </c>
      <c r="C27" s="3213" t="s">
        <v>2973</v>
      </c>
      <c r="D27" s="3214"/>
      <c r="E27" s="3215">
        <v>1</v>
      </c>
      <c r="F27" s="3216" t="s">
        <v>2974</v>
      </c>
      <c r="G27" s="807"/>
      <c r="H27" s="801"/>
      <c r="I27" s="801"/>
    </row>
    <row r="28" spans="1:13" s="808" customFormat="1" ht="19.5" customHeight="1">
      <c r="A28" s="3550"/>
      <c r="B28" s="3547"/>
      <c r="C28" s="805" t="s">
        <v>2975</v>
      </c>
      <c r="D28" s="806"/>
      <c r="E28" s="3217">
        <v>1</v>
      </c>
      <c r="F28" s="3216" t="s">
        <v>2976</v>
      </c>
      <c r="G28" s="807"/>
      <c r="H28" s="801"/>
      <c r="I28" s="801"/>
    </row>
    <row r="29" spans="1:13" s="808" customFormat="1" ht="19.5" customHeight="1">
      <c r="A29" s="3550"/>
      <c r="B29" s="3547"/>
      <c r="C29" s="805" t="s">
        <v>2977</v>
      </c>
      <c r="D29" s="806"/>
      <c r="E29" s="3217">
        <v>0.8</v>
      </c>
      <c r="F29" s="3216" t="s">
        <v>2978</v>
      </c>
      <c r="G29" s="807"/>
      <c r="H29" s="801"/>
      <c r="I29" s="801"/>
    </row>
    <row r="30" spans="1:13" s="808" customFormat="1" ht="19.5" customHeight="1">
      <c r="A30" s="3550"/>
      <c r="B30" s="3547"/>
      <c r="C30" s="805" t="s">
        <v>2979</v>
      </c>
      <c r="D30" s="806"/>
      <c r="E30" s="3217">
        <v>0.8</v>
      </c>
      <c r="F30" s="3216" t="s">
        <v>2980</v>
      </c>
      <c r="G30" s="807"/>
      <c r="H30" s="801"/>
      <c r="I30" s="801"/>
    </row>
    <row r="31" spans="1:13" s="808" customFormat="1" ht="19.5" customHeight="1">
      <c r="A31" s="3550"/>
      <c r="B31" s="3547"/>
      <c r="C31" s="805" t="s">
        <v>2981</v>
      </c>
      <c r="D31" s="806"/>
      <c r="E31" s="3217">
        <v>0.8</v>
      </c>
      <c r="F31" s="3216" t="s">
        <v>2982</v>
      </c>
      <c r="G31" s="807"/>
      <c r="H31" s="801"/>
      <c r="I31" s="801"/>
    </row>
    <row r="32" spans="1:13" s="808" customFormat="1" ht="19.5" customHeight="1">
      <c r="A32" s="3550"/>
      <c r="B32" s="3547"/>
      <c r="C32" s="805" t="s">
        <v>2983</v>
      </c>
      <c r="D32" s="806"/>
      <c r="E32" s="3217">
        <v>0.7</v>
      </c>
      <c r="F32" s="3216" t="s">
        <v>2984</v>
      </c>
      <c r="G32" s="807"/>
      <c r="H32" s="801"/>
      <c r="I32" s="801"/>
    </row>
    <row r="33" spans="1:9" s="808" customFormat="1" ht="19.5" customHeight="1">
      <c r="A33" s="3550"/>
      <c r="B33" s="3547"/>
      <c r="C33" s="805" t="s">
        <v>2985</v>
      </c>
      <c r="D33" s="806"/>
      <c r="E33" s="3217">
        <v>0.8</v>
      </c>
      <c r="F33" s="3216" t="s">
        <v>2986</v>
      </c>
      <c r="G33" s="807"/>
      <c r="H33" s="801"/>
      <c r="I33" s="801"/>
    </row>
    <row r="34" spans="1:9" s="808" customFormat="1" ht="19.5" customHeight="1">
      <c r="A34" s="3550"/>
      <c r="B34" s="3547"/>
      <c r="C34" s="805" t="s">
        <v>2987</v>
      </c>
      <c r="D34" s="806"/>
      <c r="E34" s="3217">
        <v>0.6</v>
      </c>
      <c r="F34" s="3216" t="s">
        <v>2988</v>
      </c>
      <c r="G34" s="807"/>
      <c r="H34" s="801"/>
      <c r="I34" s="801"/>
    </row>
    <row r="35" spans="1:9" s="808" customFormat="1" ht="19.5" customHeight="1">
      <c r="A35" s="3550"/>
      <c r="B35" s="3547"/>
      <c r="C35" s="805" t="s">
        <v>2989</v>
      </c>
      <c r="D35" s="806"/>
      <c r="E35" s="3217">
        <v>0.2</v>
      </c>
      <c r="F35" s="3216" t="s">
        <v>2990</v>
      </c>
      <c r="G35" s="807"/>
      <c r="H35" s="801"/>
      <c r="I35" s="801"/>
    </row>
    <row r="36" spans="1:9" s="808" customFormat="1" ht="19.5" customHeight="1">
      <c r="A36" s="3550"/>
      <c r="B36" s="3547"/>
      <c r="C36" s="805" t="s">
        <v>2991</v>
      </c>
      <c r="D36" s="806"/>
      <c r="E36" s="3217">
        <v>0.2</v>
      </c>
      <c r="F36" s="3216" t="s">
        <v>2992</v>
      </c>
      <c r="G36" s="807"/>
      <c r="H36" s="801"/>
      <c r="I36" s="801"/>
    </row>
    <row r="37" spans="1:9" s="808" customFormat="1" ht="19.5" customHeight="1">
      <c r="A37" s="3550"/>
      <c r="B37" s="3552" t="s">
        <v>2993</v>
      </c>
      <c r="C37" s="805" t="s">
        <v>2994</v>
      </c>
      <c r="D37" s="806"/>
      <c r="E37" s="3217">
        <v>0.6</v>
      </c>
      <c r="F37" s="3216" t="s">
        <v>2995</v>
      </c>
      <c r="G37" s="807"/>
      <c r="H37" s="801"/>
      <c r="I37" s="801"/>
    </row>
    <row r="38" spans="1:9" s="808" customFormat="1" ht="19.5" customHeight="1">
      <c r="A38" s="3550"/>
      <c r="B38" s="3547"/>
      <c r="C38" s="805" t="s">
        <v>2996</v>
      </c>
      <c r="D38" s="806"/>
      <c r="E38" s="3217">
        <v>0.6</v>
      </c>
      <c r="F38" s="3216" t="s">
        <v>2997</v>
      </c>
      <c r="G38" s="807"/>
      <c r="H38" s="801"/>
      <c r="I38" s="801"/>
    </row>
    <row r="39" spans="1:9" s="808" customFormat="1" ht="19.5" customHeight="1" thickBot="1">
      <c r="A39" s="3551"/>
      <c r="B39" s="3548"/>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3" t="s">
        <v>3003</v>
      </c>
      <c r="B41" s="3546" t="s">
        <v>3004</v>
      </c>
      <c r="C41" s="3213" t="s">
        <v>3005</v>
      </c>
      <c r="D41" s="3214"/>
      <c r="E41" s="3215">
        <v>1</v>
      </c>
      <c r="F41" s="3216" t="s">
        <v>3006</v>
      </c>
      <c r="G41" s="807"/>
      <c r="H41" s="801"/>
      <c r="I41" s="801"/>
    </row>
    <row r="42" spans="1:9" s="808" customFormat="1" ht="19.5" customHeight="1">
      <c r="A42" s="3554"/>
      <c r="B42" s="3547"/>
      <c r="C42" s="805" t="s">
        <v>3007</v>
      </c>
      <c r="D42" s="806"/>
      <c r="E42" s="3217">
        <v>1</v>
      </c>
      <c r="F42" s="3216" t="s">
        <v>3008</v>
      </c>
      <c r="G42" s="807"/>
      <c r="H42" s="801"/>
      <c r="I42" s="801"/>
    </row>
    <row r="43" spans="1:9" s="808" customFormat="1" ht="19.5" customHeight="1">
      <c r="A43" s="3554"/>
      <c r="B43" s="3556"/>
      <c r="C43" s="805" t="s">
        <v>3009</v>
      </c>
      <c r="D43" s="806"/>
      <c r="E43" s="3217">
        <v>1.5</v>
      </c>
      <c r="F43" s="3216" t="s">
        <v>3010</v>
      </c>
      <c r="G43" s="807"/>
      <c r="H43" s="801"/>
      <c r="I43" s="801"/>
    </row>
    <row r="44" spans="1:9" s="808" customFormat="1" ht="19.5" customHeight="1">
      <c r="A44" s="3554"/>
      <c r="B44" s="3226" t="s">
        <v>2972</v>
      </c>
      <c r="C44" s="805" t="s">
        <v>3011</v>
      </c>
      <c r="D44" s="806"/>
      <c r="E44" s="3217">
        <v>2</v>
      </c>
      <c r="F44" s="3216" t="s">
        <v>3012</v>
      </c>
      <c r="G44" s="807"/>
      <c r="H44" s="801"/>
      <c r="I44" s="801"/>
    </row>
    <row r="45" spans="1:9" s="808" customFormat="1" ht="19.5" customHeight="1">
      <c r="A45" s="3554"/>
      <c r="B45" s="3552" t="s">
        <v>3013</v>
      </c>
      <c r="C45" s="805" t="s">
        <v>3014</v>
      </c>
      <c r="D45" s="806"/>
      <c r="E45" s="3217">
        <v>1</v>
      </c>
      <c r="F45" s="3216" t="s">
        <v>3015</v>
      </c>
      <c r="G45" s="807"/>
      <c r="H45" s="801"/>
      <c r="I45" s="801"/>
    </row>
    <row r="46" spans="1:9" s="808" customFormat="1" ht="19.5" customHeight="1">
      <c r="A46" s="3554"/>
      <c r="B46" s="3547"/>
      <c r="C46" s="805" t="s">
        <v>3016</v>
      </c>
      <c r="D46" s="806"/>
      <c r="E46" s="3217">
        <v>1</v>
      </c>
      <c r="F46" s="3216" t="s">
        <v>3017</v>
      </c>
      <c r="G46" s="807"/>
      <c r="H46" s="801"/>
      <c r="I46" s="801"/>
    </row>
    <row r="47" spans="1:9" s="808" customFormat="1" ht="19.5" customHeight="1">
      <c r="A47" s="3554"/>
      <c r="B47" s="3547"/>
      <c r="C47" s="805" t="s">
        <v>3018</v>
      </c>
      <c r="D47" s="806"/>
      <c r="E47" s="3217">
        <v>1</v>
      </c>
      <c r="F47" s="3216" t="s">
        <v>3019</v>
      </c>
      <c r="G47" s="807"/>
      <c r="H47" s="801"/>
      <c r="I47" s="801"/>
    </row>
    <row r="48" spans="1:9" s="808" customFormat="1" ht="19.5" customHeight="1">
      <c r="A48" s="3554"/>
      <c r="B48" s="3547"/>
      <c r="C48" s="805" t="s">
        <v>3020</v>
      </c>
      <c r="D48" s="806"/>
      <c r="E48" s="3217">
        <v>1</v>
      </c>
      <c r="F48" s="3216" t="s">
        <v>3021</v>
      </c>
      <c r="G48" s="807"/>
      <c r="H48" s="801"/>
      <c r="I48" s="801"/>
    </row>
    <row r="49" spans="1:9" s="808" customFormat="1" ht="19.5" customHeight="1">
      <c r="A49" s="3554"/>
      <c r="B49" s="3547"/>
      <c r="C49" s="805" t="s">
        <v>3022</v>
      </c>
      <c r="D49" s="806"/>
      <c r="E49" s="3217">
        <v>1</v>
      </c>
      <c r="F49" s="3216" t="s">
        <v>3023</v>
      </c>
      <c r="G49" s="807"/>
      <c r="H49" s="801"/>
      <c r="I49" s="801"/>
    </row>
    <row r="50" spans="1:9" s="808" customFormat="1" ht="19.5" customHeight="1">
      <c r="A50" s="3554"/>
      <c r="B50" s="3547"/>
      <c r="C50" s="805" t="s">
        <v>3024</v>
      </c>
      <c r="D50" s="806"/>
      <c r="E50" s="3217">
        <v>1</v>
      </c>
      <c r="F50" s="3216" t="s">
        <v>3025</v>
      </c>
      <c r="G50" s="807"/>
      <c r="H50" s="801"/>
      <c r="I50" s="801"/>
    </row>
    <row r="51" spans="1:9" s="808" customFormat="1" ht="19.5" customHeight="1" thickBot="1">
      <c r="A51" s="3555"/>
      <c r="B51" s="3548"/>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2" t="s">
        <v>3029</v>
      </c>
      <c r="C73" s="3206" t="s">
        <v>3030</v>
      </c>
      <c r="D73" s="3206" t="s">
        <v>3031</v>
      </c>
      <c r="E73" s="3227">
        <v>0.2</v>
      </c>
      <c r="F73" s="3226">
        <v>25</v>
      </c>
    </row>
    <row r="74" spans="1:7" s="801" customFormat="1" ht="24">
      <c r="A74" s="3226">
        <v>2</v>
      </c>
      <c r="B74" s="3547"/>
      <c r="C74" s="3206" t="s">
        <v>3032</v>
      </c>
      <c r="D74" s="3206" t="s">
        <v>3033</v>
      </c>
      <c r="E74" s="3227">
        <v>0.2</v>
      </c>
      <c r="F74" s="3226">
        <v>25</v>
      </c>
    </row>
    <row r="75" spans="1:7" s="801" customFormat="1" ht="24">
      <c r="A75" s="3226">
        <v>3</v>
      </c>
      <c r="B75" s="3547"/>
      <c r="C75" s="3206" t="s">
        <v>3034</v>
      </c>
      <c r="D75" s="3206" t="s">
        <v>3035</v>
      </c>
      <c r="E75" s="3227">
        <v>0.2</v>
      </c>
      <c r="F75" s="3226">
        <v>25</v>
      </c>
    </row>
    <row r="76" spans="1:7" s="801" customFormat="1" ht="13.5">
      <c r="A76" s="3226">
        <v>4</v>
      </c>
      <c r="B76" s="3547"/>
      <c r="C76" s="3206" t="s">
        <v>3036</v>
      </c>
      <c r="D76" s="3206" t="s">
        <v>3037</v>
      </c>
      <c r="E76" s="3227">
        <v>0.15</v>
      </c>
      <c r="F76" s="3226">
        <v>20</v>
      </c>
    </row>
    <row r="77" spans="1:7" s="801" customFormat="1" ht="24">
      <c r="A77" s="3226">
        <v>5</v>
      </c>
      <c r="B77" s="3547"/>
      <c r="C77" s="3206" t="s">
        <v>3038</v>
      </c>
      <c r="D77" s="3206" t="s">
        <v>3039</v>
      </c>
      <c r="E77" s="3227">
        <v>0.15</v>
      </c>
      <c r="F77" s="3226">
        <v>20</v>
      </c>
    </row>
    <row r="78" spans="1:7" s="801" customFormat="1" ht="24">
      <c r="A78" s="3226">
        <v>6</v>
      </c>
      <c r="B78" s="3547"/>
      <c r="C78" s="3206" t="s">
        <v>3040</v>
      </c>
      <c r="D78" s="3206" t="s">
        <v>3041</v>
      </c>
      <c r="E78" s="3227">
        <v>0.15</v>
      </c>
      <c r="F78" s="3226">
        <v>20</v>
      </c>
    </row>
    <row r="79" spans="1:7" s="801" customFormat="1" ht="24">
      <c r="A79" s="3226">
        <v>7</v>
      </c>
      <c r="B79" s="3547"/>
      <c r="C79" s="3206" t="s">
        <v>3042</v>
      </c>
      <c r="D79" s="3206" t="s">
        <v>3043</v>
      </c>
      <c r="E79" s="3227">
        <v>0.15</v>
      </c>
      <c r="F79" s="3226">
        <v>20</v>
      </c>
    </row>
    <row r="80" spans="1:7" s="801" customFormat="1" ht="24">
      <c r="A80" s="3226">
        <v>8</v>
      </c>
      <c r="B80" s="3547"/>
      <c r="C80" s="3206" t="s">
        <v>3044</v>
      </c>
      <c r="D80" s="3206" t="s">
        <v>3045</v>
      </c>
      <c r="E80" s="3227">
        <v>0.1</v>
      </c>
      <c r="F80" s="3226">
        <v>15</v>
      </c>
    </row>
    <row r="81" spans="1:6" s="801" customFormat="1" ht="24">
      <c r="A81" s="3226">
        <v>9</v>
      </c>
      <c r="B81" s="3547"/>
      <c r="C81" s="3206" t="s">
        <v>3046</v>
      </c>
      <c r="D81" s="3206" t="s">
        <v>3047</v>
      </c>
      <c r="E81" s="3227">
        <v>0.1</v>
      </c>
      <c r="F81" s="3226">
        <v>15</v>
      </c>
    </row>
    <row r="82" spans="1:6" s="801" customFormat="1" ht="24">
      <c r="A82" s="3226">
        <v>10</v>
      </c>
      <c r="B82" s="3547"/>
      <c r="C82" s="3206" t="s">
        <v>3048</v>
      </c>
      <c r="D82" s="3206" t="s">
        <v>3049</v>
      </c>
      <c r="E82" s="3227">
        <v>0.1</v>
      </c>
      <c r="F82" s="3226">
        <v>15</v>
      </c>
    </row>
    <row r="83" spans="1:6" s="801" customFormat="1" ht="24">
      <c r="A83" s="3226">
        <v>11</v>
      </c>
      <c r="B83" s="3547"/>
      <c r="C83" s="3206" t="s">
        <v>3050</v>
      </c>
      <c r="D83" s="3206" t="s">
        <v>3051</v>
      </c>
      <c r="E83" s="3227">
        <v>0.1</v>
      </c>
      <c r="F83" s="3226">
        <v>15</v>
      </c>
    </row>
    <row r="84" spans="1:6" s="801" customFormat="1" ht="24">
      <c r="A84" s="3226">
        <v>12</v>
      </c>
      <c r="B84" s="3547"/>
      <c r="C84" s="3206" t="s">
        <v>3052</v>
      </c>
      <c r="D84" s="3206" t="s">
        <v>3053</v>
      </c>
      <c r="E84" s="3227">
        <v>0.1</v>
      </c>
      <c r="F84" s="3226">
        <v>15</v>
      </c>
    </row>
    <row r="85" spans="1:6" s="801" customFormat="1" ht="13.5">
      <c r="A85" s="3226">
        <v>13</v>
      </c>
      <c r="B85" s="3547"/>
      <c r="C85" s="3206" t="s">
        <v>3054</v>
      </c>
      <c r="D85" s="3206" t="s">
        <v>3055</v>
      </c>
      <c r="E85" s="3227">
        <v>0.1</v>
      </c>
      <c r="F85" s="3226">
        <v>15</v>
      </c>
    </row>
    <row r="86" spans="1:6" s="801" customFormat="1" ht="13.5">
      <c r="A86" s="3226">
        <v>14</v>
      </c>
      <c r="B86" s="3547"/>
      <c r="C86" s="3206" t="s">
        <v>3056</v>
      </c>
      <c r="D86" s="3206" t="s">
        <v>3057</v>
      </c>
      <c r="E86" s="3227">
        <v>0.1</v>
      </c>
      <c r="F86" s="3226">
        <v>15</v>
      </c>
    </row>
    <row r="87" spans="1:6" s="801" customFormat="1" ht="13.5">
      <c r="A87" s="3226">
        <v>15</v>
      </c>
      <c r="B87" s="3547"/>
      <c r="C87" s="3206" t="s">
        <v>3058</v>
      </c>
      <c r="D87" s="3206" t="s">
        <v>3059</v>
      </c>
      <c r="E87" s="3227">
        <v>0.1</v>
      </c>
      <c r="F87" s="3226">
        <v>15</v>
      </c>
    </row>
    <row r="88" spans="1:6" s="801" customFormat="1" ht="24">
      <c r="A88" s="3226">
        <v>16</v>
      </c>
      <c r="B88" s="354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3.5">
      <c r="A90" s="3226">
        <v>18</v>
      </c>
      <c r="B90" s="3552" t="s">
        <v>3064</v>
      </c>
      <c r="C90" s="3206" t="s">
        <v>3065</v>
      </c>
      <c r="D90" s="3206" t="s">
        <v>3066</v>
      </c>
      <c r="E90" s="3227">
        <v>0.2</v>
      </c>
      <c r="F90" s="3226">
        <v>25</v>
      </c>
    </row>
    <row r="91" spans="1:6" s="801" customFormat="1" ht="24">
      <c r="A91" s="3226">
        <v>19</v>
      </c>
      <c r="B91" s="3547"/>
      <c r="C91" s="3206" t="s">
        <v>3067</v>
      </c>
      <c r="D91" s="3206" t="s">
        <v>3068</v>
      </c>
      <c r="E91" s="3227">
        <v>0.2</v>
      </c>
      <c r="F91" s="3226">
        <v>25</v>
      </c>
    </row>
    <row r="92" spans="1:6" s="801" customFormat="1" ht="13.5">
      <c r="A92" s="3226">
        <v>20</v>
      </c>
      <c r="B92" s="3547"/>
      <c r="C92" s="3206" t="s">
        <v>3069</v>
      </c>
      <c r="D92" s="3206" t="s">
        <v>3070</v>
      </c>
      <c r="E92" s="3227">
        <v>0.15</v>
      </c>
      <c r="F92" s="3226">
        <v>20</v>
      </c>
    </row>
    <row r="93" spans="1:6" s="801" customFormat="1" ht="24">
      <c r="A93" s="3226">
        <v>21</v>
      </c>
      <c r="B93" s="3547"/>
      <c r="C93" s="3206" t="s">
        <v>3071</v>
      </c>
      <c r="D93" s="3206" t="s">
        <v>3072</v>
      </c>
      <c r="E93" s="3227">
        <v>0.15</v>
      </c>
      <c r="F93" s="3226">
        <v>20</v>
      </c>
    </row>
    <row r="94" spans="1:6" s="801" customFormat="1" ht="24">
      <c r="A94" s="3226">
        <v>22</v>
      </c>
      <c r="B94" s="3547"/>
      <c r="C94" s="3206" t="s">
        <v>3073</v>
      </c>
      <c r="D94" s="3206" t="s">
        <v>3074</v>
      </c>
      <c r="E94" s="3227">
        <v>0.15</v>
      </c>
      <c r="F94" s="3226">
        <v>20</v>
      </c>
    </row>
    <row r="95" spans="1:6" s="801" customFormat="1" ht="36">
      <c r="A95" s="3226">
        <v>23</v>
      </c>
      <c r="B95" s="3547"/>
      <c r="C95" s="3206" t="s">
        <v>3075</v>
      </c>
      <c r="D95" s="3206" t="s">
        <v>3076</v>
      </c>
      <c r="E95" s="3227">
        <v>0.15</v>
      </c>
      <c r="F95" s="3226">
        <v>20</v>
      </c>
    </row>
    <row r="96" spans="1:6" s="801" customFormat="1" ht="13.5">
      <c r="A96" s="3226">
        <v>24</v>
      </c>
      <c r="B96" s="3547"/>
      <c r="C96" s="3206" t="s">
        <v>3077</v>
      </c>
      <c r="D96" s="3206" t="s">
        <v>3078</v>
      </c>
      <c r="E96" s="3227">
        <v>0.1</v>
      </c>
      <c r="F96" s="3226">
        <v>15</v>
      </c>
    </row>
    <row r="97" spans="1:6" s="801" customFormat="1" ht="24">
      <c r="A97" s="3226">
        <v>25</v>
      </c>
      <c r="B97" s="3547"/>
      <c r="C97" s="3206" t="s">
        <v>3079</v>
      </c>
      <c r="D97" s="3206" t="s">
        <v>3080</v>
      </c>
      <c r="E97" s="3227">
        <v>0.1</v>
      </c>
      <c r="F97" s="3226">
        <v>15</v>
      </c>
    </row>
    <row r="98" spans="1:6" s="801" customFormat="1" ht="24">
      <c r="A98" s="3226">
        <v>26</v>
      </c>
      <c r="B98" s="3547"/>
      <c r="C98" s="3206" t="s">
        <v>3081</v>
      </c>
      <c r="D98" s="3206" t="s">
        <v>3082</v>
      </c>
      <c r="E98" s="3227">
        <v>0.1</v>
      </c>
      <c r="F98" s="3226">
        <v>15</v>
      </c>
    </row>
    <row r="99" spans="1:6" s="801" customFormat="1" ht="24">
      <c r="A99" s="3226">
        <v>27</v>
      </c>
      <c r="B99" s="3547"/>
      <c r="C99" s="3206" t="s">
        <v>3083</v>
      </c>
      <c r="D99" s="3206" t="s">
        <v>3084</v>
      </c>
      <c r="E99" s="3227">
        <v>0.1</v>
      </c>
      <c r="F99" s="3226">
        <v>15</v>
      </c>
    </row>
    <row r="100" spans="1:6" s="801" customFormat="1" ht="24">
      <c r="A100" s="3226">
        <v>28</v>
      </c>
      <c r="B100" s="3547"/>
      <c r="C100" s="3206" t="s">
        <v>3085</v>
      </c>
      <c r="D100" s="3206" t="s">
        <v>3086</v>
      </c>
      <c r="E100" s="3227">
        <v>0.1</v>
      </c>
      <c r="F100" s="3226">
        <v>15</v>
      </c>
    </row>
    <row r="101" spans="1:6" s="801" customFormat="1" ht="24">
      <c r="A101" s="3226">
        <v>29</v>
      </c>
      <c r="B101" s="3547"/>
      <c r="C101" s="3206" t="s">
        <v>3087</v>
      </c>
      <c r="D101" s="3206" t="s">
        <v>3088</v>
      </c>
      <c r="E101" s="3227">
        <v>0.1</v>
      </c>
      <c r="F101" s="3226">
        <v>15</v>
      </c>
    </row>
    <row r="102" spans="1:6" s="801" customFormat="1" ht="24">
      <c r="A102" s="3226">
        <v>30</v>
      </c>
      <c r="B102" s="3547"/>
      <c r="C102" s="3206" t="s">
        <v>3089</v>
      </c>
      <c r="D102" s="3206" t="s">
        <v>3090</v>
      </c>
      <c r="E102" s="3227">
        <v>0.1</v>
      </c>
      <c r="F102" s="3226">
        <v>15</v>
      </c>
    </row>
    <row r="103" spans="1:6" s="801" customFormat="1" ht="24">
      <c r="A103" s="3226">
        <v>31</v>
      </c>
      <c r="B103" s="3547"/>
      <c r="C103" s="3206" t="s">
        <v>3091</v>
      </c>
      <c r="D103" s="3206" t="s">
        <v>3092</v>
      </c>
      <c r="E103" s="3227">
        <v>0.1</v>
      </c>
      <c r="F103" s="3226">
        <v>15</v>
      </c>
    </row>
    <row r="104" spans="1:6" s="801" customFormat="1" ht="24">
      <c r="A104" s="3226">
        <v>32</v>
      </c>
      <c r="B104" s="3547"/>
      <c r="C104" s="3206" t="s">
        <v>3093</v>
      </c>
      <c r="D104" s="3206" t="s">
        <v>3094</v>
      </c>
      <c r="E104" s="3227">
        <v>0.1</v>
      </c>
      <c r="F104" s="3226">
        <v>15</v>
      </c>
    </row>
    <row r="105" spans="1:6" s="801" customFormat="1" ht="24">
      <c r="A105" s="3226">
        <v>33</v>
      </c>
      <c r="B105" s="354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24">
      <c r="A107" s="3226">
        <v>35</v>
      </c>
      <c r="B107" s="3552" t="s">
        <v>3099</v>
      </c>
      <c r="C107" s="3226" t="s">
        <v>3100</v>
      </c>
      <c r="D107" s="3206" t="s">
        <v>3101</v>
      </c>
      <c r="E107" s="3227">
        <v>0.15</v>
      </c>
      <c r="F107" s="3226">
        <v>20</v>
      </c>
    </row>
    <row r="108" spans="1:6" s="801" customFormat="1" ht="24">
      <c r="A108" s="3226">
        <v>36</v>
      </c>
      <c r="B108" s="3547"/>
      <c r="C108" s="3226" t="s">
        <v>3102</v>
      </c>
      <c r="D108" s="3206" t="s">
        <v>3103</v>
      </c>
      <c r="E108" s="3227">
        <v>0.15</v>
      </c>
      <c r="F108" s="3226">
        <v>20</v>
      </c>
    </row>
    <row r="109" spans="1:6" s="801" customFormat="1" ht="24">
      <c r="A109" s="3226">
        <v>37</v>
      </c>
      <c r="B109" s="3547"/>
      <c r="C109" s="3226" t="s">
        <v>3104</v>
      </c>
      <c r="D109" s="3206" t="s">
        <v>3105</v>
      </c>
      <c r="E109" s="3227">
        <v>0.15</v>
      </c>
      <c r="F109" s="3226">
        <v>20</v>
      </c>
    </row>
    <row r="110" spans="1:6" s="801" customFormat="1" ht="13.5">
      <c r="A110" s="3226">
        <v>38</v>
      </c>
      <c r="B110" s="3547"/>
      <c r="C110" s="3226" t="s">
        <v>3106</v>
      </c>
      <c r="D110" s="3206" t="s">
        <v>3107</v>
      </c>
      <c r="E110" s="3227">
        <v>0.1</v>
      </c>
      <c r="F110" s="3226">
        <v>15</v>
      </c>
    </row>
    <row r="111" spans="1:6" s="801" customFormat="1" ht="24">
      <c r="A111" s="3226">
        <v>39</v>
      </c>
      <c r="B111" s="354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7" t="s">
        <v>3112</v>
      </c>
      <c r="C113" s="3226" t="s">
        <v>3113</v>
      </c>
      <c r="D113" s="3206" t="s">
        <v>3114</v>
      </c>
      <c r="E113" s="3227">
        <v>0.1</v>
      </c>
      <c r="F113" s="3226">
        <v>15</v>
      </c>
    </row>
    <row r="114" spans="1:6" s="801" customFormat="1" ht="13.5">
      <c r="A114" s="3226">
        <v>42</v>
      </c>
      <c r="B114" s="3557"/>
      <c r="C114" s="3226" t="s">
        <v>3115</v>
      </c>
      <c r="D114" s="3206" t="s">
        <v>3116</v>
      </c>
      <c r="E114" s="3227">
        <v>0.1</v>
      </c>
      <c r="F114" s="3226">
        <v>15</v>
      </c>
    </row>
    <row r="115" spans="1:6" s="801" customFormat="1" ht="24">
      <c r="A115" s="3226">
        <v>43</v>
      </c>
      <c r="B115" s="3557"/>
      <c r="C115" s="3226" t="s">
        <v>3117</v>
      </c>
      <c r="D115" s="3206" t="s">
        <v>3118</v>
      </c>
      <c r="E115" s="3227">
        <v>0.1</v>
      </c>
      <c r="F115" s="3226">
        <v>15</v>
      </c>
    </row>
    <row r="116" spans="1:6" s="801" customFormat="1" ht="24">
      <c r="A116" s="3226">
        <v>44</v>
      </c>
      <c r="B116" s="3552"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2"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2" t="s">
        <v>3129</v>
      </c>
      <c r="C120" s="3226" t="s">
        <v>3130</v>
      </c>
      <c r="D120" s="3206" t="s">
        <v>3131</v>
      </c>
      <c r="E120" s="3227">
        <v>0.1</v>
      </c>
      <c r="F120" s="3226">
        <v>15</v>
      </c>
    </row>
    <row r="121" spans="1:6" s="801" customFormat="1" ht="13.5">
      <c r="A121" s="3226">
        <v>49</v>
      </c>
      <c r="B121" s="3556"/>
      <c r="C121" s="3226" t="s">
        <v>3132</v>
      </c>
      <c r="D121" s="3206" t="s">
        <v>3133</v>
      </c>
      <c r="E121" s="3227">
        <v>0.1</v>
      </c>
      <c r="F121" s="3226">
        <v>15</v>
      </c>
    </row>
    <row r="122" spans="1:6" s="801" customFormat="1" ht="24">
      <c r="A122" s="3226">
        <v>50</v>
      </c>
      <c r="B122" s="3557" t="s">
        <v>3134</v>
      </c>
      <c r="C122" s="3226" t="s">
        <v>3135</v>
      </c>
      <c r="D122" s="3206" t="s">
        <v>3136</v>
      </c>
      <c r="E122" s="3227">
        <v>0.1</v>
      </c>
      <c r="F122" s="3226">
        <v>15</v>
      </c>
    </row>
    <row r="123" spans="1:6" s="801" customFormat="1" ht="24">
      <c r="A123" s="3226">
        <v>51</v>
      </c>
      <c r="B123" s="3557"/>
      <c r="C123" s="3226" t="s">
        <v>3137</v>
      </c>
      <c r="D123" s="3206" t="s">
        <v>3138</v>
      </c>
      <c r="E123" s="3227">
        <v>0.1</v>
      </c>
      <c r="F123" s="3226">
        <v>15</v>
      </c>
    </row>
    <row r="124" spans="1:6" s="801" customFormat="1" ht="24">
      <c r="A124" s="3226">
        <v>52</v>
      </c>
      <c r="B124" s="3557" t="s">
        <v>3139</v>
      </c>
      <c r="C124" s="3226" t="s">
        <v>3140</v>
      </c>
      <c r="D124" s="3206" t="s">
        <v>3141</v>
      </c>
      <c r="E124" s="3227">
        <v>0.1</v>
      </c>
      <c r="F124" s="3226">
        <v>15</v>
      </c>
    </row>
    <row r="125" spans="1:6" s="801" customFormat="1" ht="24">
      <c r="A125" s="3226">
        <v>53</v>
      </c>
      <c r="B125" s="355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7" t="s">
        <v>3147</v>
      </c>
      <c r="C127" s="3226" t="s">
        <v>3148</v>
      </c>
      <c r="D127" s="3206" t="s">
        <v>3149</v>
      </c>
      <c r="E127" s="3227">
        <v>0.1</v>
      </c>
      <c r="F127" s="3226">
        <v>15</v>
      </c>
    </row>
    <row r="128" spans="1:6" ht="13.5">
      <c r="A128" s="3226">
        <v>56</v>
      </c>
      <c r="B128" s="3557"/>
      <c r="C128" s="3226" t="s">
        <v>3150</v>
      </c>
      <c r="D128" s="3206" t="s">
        <v>3151</v>
      </c>
      <c r="E128" s="3227">
        <v>0.1</v>
      </c>
      <c r="F128" s="3226">
        <v>15</v>
      </c>
    </row>
    <row r="129" spans="1:6" ht="24">
      <c r="A129" s="3226">
        <v>57</v>
      </c>
      <c r="B129" s="3557"/>
      <c r="C129" s="3226" t="s">
        <v>3152</v>
      </c>
      <c r="D129" s="3206" t="s">
        <v>3153</v>
      </c>
      <c r="E129" s="3227">
        <v>0.1</v>
      </c>
      <c r="F129" s="3226">
        <v>15</v>
      </c>
    </row>
    <row r="130" spans="1:6" ht="24">
      <c r="A130" s="3226">
        <v>58</v>
      </c>
      <c r="B130" s="3557" t="s">
        <v>3154</v>
      </c>
      <c r="C130" s="3226" t="s">
        <v>3155</v>
      </c>
      <c r="D130" s="3206" t="s">
        <v>3156</v>
      </c>
      <c r="E130" s="3227">
        <v>0.1</v>
      </c>
      <c r="F130" s="3226">
        <v>15</v>
      </c>
    </row>
    <row r="131" spans="1:6" ht="24">
      <c r="A131" s="3226">
        <v>59</v>
      </c>
      <c r="B131" s="3557"/>
      <c r="C131" s="3226" t="s">
        <v>3157</v>
      </c>
      <c r="D131" s="3206" t="s">
        <v>3158</v>
      </c>
      <c r="E131" s="3227">
        <v>0.1</v>
      </c>
      <c r="F131" s="3226">
        <v>15</v>
      </c>
    </row>
    <row r="132" spans="1:6" ht="24">
      <c r="A132" s="3226">
        <v>60</v>
      </c>
      <c r="B132" s="3552"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7" t="s">
        <v>3167</v>
      </c>
      <c r="C135" s="3226" t="s">
        <v>3168</v>
      </c>
      <c r="D135" s="3206" t="s">
        <v>3169</v>
      </c>
      <c r="E135" s="3227">
        <v>0.1</v>
      </c>
      <c r="F135" s="3226">
        <v>15</v>
      </c>
    </row>
    <row r="136" spans="1:6" ht="13.5">
      <c r="A136" s="3226">
        <v>64</v>
      </c>
      <c r="B136" s="355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29"/>
      <c r="B4" s="3236" t="s">
        <v>1354</v>
      </c>
      <c r="C4" s="3236"/>
      <c r="D4" s="3236"/>
      <c r="E4" s="1629"/>
    </row>
    <row r="5" spans="1:5" ht="16.5" thickTop="1">
      <c r="A5" s="1627"/>
      <c r="B5" s="3234" t="s">
        <v>1346</v>
      </c>
      <c r="C5" s="1630" t="s">
        <v>1347</v>
      </c>
      <c r="D5" s="940">
        <f ca="1">结果表!H101</f>
        <v>22245</v>
      </c>
      <c r="E5" s="1627"/>
    </row>
    <row r="6" spans="1:5" ht="15.75">
      <c r="A6" s="1627"/>
      <c r="B6" s="3234"/>
      <c r="C6" s="1630" t="s">
        <v>1348</v>
      </c>
      <c r="D6" s="940" t="str">
        <f ca="1">NUMBERSTRING(INT(D5*10000),2)&amp;"元整"</f>
        <v>贰亿贰仟贰佰肆拾伍万元整</v>
      </c>
      <c r="E6" s="1627"/>
    </row>
    <row r="7" spans="1:5" ht="15.75">
      <c r="A7" s="1627"/>
      <c r="B7" s="3239"/>
      <c r="C7" s="1631" t="s">
        <v>1349</v>
      </c>
      <c r="D7" s="941">
        <f ca="1">结果表!H102</f>
        <v>21600</v>
      </c>
      <c r="E7" s="1627"/>
    </row>
    <row r="8" spans="1:5" ht="15.75">
      <c r="A8" s="1627"/>
      <c r="B8" s="3240" t="str">
        <f>结果表!E103</f>
        <v>2.估价师知悉的法定优先受偿款</v>
      </c>
      <c r="C8" s="1632" t="s">
        <v>1350</v>
      </c>
      <c r="D8" s="941">
        <f>结果表!H103</f>
        <v>0</v>
      </c>
      <c r="E8" s="1627"/>
    </row>
    <row r="9" spans="1:5" ht="15.75">
      <c r="A9" s="1627"/>
      <c r="B9" s="324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3" t="str">
        <f>结果表!E107</f>
        <v>3.房地产抵押价值</v>
      </c>
      <c r="C13" s="1635" t="s">
        <v>1347</v>
      </c>
      <c r="D13" s="943">
        <f ca="1">结果表!H107</f>
        <v>22245</v>
      </c>
      <c r="E13" s="1627"/>
    </row>
    <row r="14" spans="1:5" ht="15.75">
      <c r="A14" s="1627"/>
      <c r="B14" s="3234"/>
      <c r="C14" s="1630" t="s">
        <v>1348</v>
      </c>
      <c r="D14" s="940" t="str">
        <f ca="1">NUMBERSTRING(INT(D13*10000),2)&amp;"元整"</f>
        <v>贰亿贰仟贰佰肆拾伍万元整</v>
      </c>
      <c r="E14" s="1627"/>
    </row>
    <row r="15" spans="1:5" ht="15">
      <c r="A15" s="1627"/>
      <c r="B15" s="3239"/>
      <c r="C15" s="1631" t="s">
        <v>1358</v>
      </c>
      <c r="D15" s="949">
        <f ca="1">结果表!H108</f>
        <v>21600</v>
      </c>
      <c r="E15" s="1627"/>
    </row>
    <row r="16" spans="1:5" ht="15">
      <c r="A16" s="1627"/>
      <c r="B16" s="3240" t="str">
        <f>结果表!E109</f>
        <v>——</v>
      </c>
      <c r="C16" s="1635" t="s">
        <v>1359</v>
      </c>
      <c r="D16" s="1636" t="str">
        <f>结果表!H109</f>
        <v>——</v>
      </c>
      <c r="E16" s="1627"/>
    </row>
    <row r="17" spans="1:5" ht="15.75">
      <c r="A17" s="1627"/>
      <c r="B17" s="3241"/>
      <c r="C17" s="1630" t="s">
        <v>1360</v>
      </c>
      <c r="D17" s="940" t="e">
        <f>NUMBERSTRING(INT(D16*10000),2)&amp;"元整"</f>
        <v>#VALUE!</v>
      </c>
      <c r="E17" s="1627"/>
    </row>
    <row r="18" spans="1:5" ht="15">
      <c r="A18" s="1627"/>
      <c r="B18" s="3242"/>
      <c r="C18" s="1631" t="s">
        <v>1349</v>
      </c>
      <c r="D18" s="949" t="str">
        <f>结果表!H110</f>
        <v>——</v>
      </c>
      <c r="E18" s="1627"/>
    </row>
    <row r="19" spans="1:5" ht="15.75">
      <c r="A19" s="1627"/>
      <c r="B19" s="3233" t="str">
        <f>结果表!E111</f>
        <v>——</v>
      </c>
      <c r="C19" s="1635" t="s">
        <v>1347</v>
      </c>
      <c r="D19" s="941" t="str">
        <f>结果表!H111</f>
        <v>——</v>
      </c>
      <c r="E19" s="1627"/>
    </row>
    <row r="20" spans="1:5" ht="15.75">
      <c r="A20" s="1627"/>
      <c r="B20" s="3234"/>
      <c r="C20" s="1630" t="s">
        <v>1360</v>
      </c>
      <c r="D20" s="940" t="e">
        <f>NUMBERSTRING(INT(D19*10000),2)&amp;"元整"</f>
        <v>#VALUE!</v>
      </c>
      <c r="E20" s="1627"/>
    </row>
    <row r="21" spans="1:5" ht="15.75" thickBot="1">
      <c r="A21" s="1627"/>
      <c r="B21" s="323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31042</v>
      </c>
      <c r="C2" s="2" t="s">
        <v>133</v>
      </c>
      <c r="D2" s="205"/>
      <c r="E2" s="205"/>
      <c r="F2" s="205"/>
      <c r="G2" s="205"/>
    </row>
    <row r="3" spans="1:7" s="206" customFormat="1" ht="18" customHeight="1" thickBot="1">
      <c r="A3" s="209" t="s">
        <v>85</v>
      </c>
      <c r="B3" s="210">
        <f ca="1">ROUND(B2*10000/'数据-汇总表'!E3,0)</f>
        <v>30141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206</v>
      </c>
      <c r="D10" s="935">
        <f>'数据-汇总表'!E6</f>
        <v>10298.76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206</v>
      </c>
      <c r="D19" s="939">
        <f>'数据-汇总表'!E3</f>
        <v>10298.76</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1338</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27902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3435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3090</v>
      </c>
      <c r="D34" s="223"/>
      <c r="E34" s="226"/>
      <c r="F34" s="263">
        <f>IF('数据-取费表'!B24=0,1,'数据-取费表'!N16)</f>
        <v>1</v>
      </c>
      <c r="G34" s="225" t="s">
        <v>116</v>
      </c>
    </row>
    <row r="35" spans="1:7" ht="13.5" customHeight="1">
      <c r="A35" s="869" t="s">
        <v>615</v>
      </c>
      <c r="B35" s="221" t="s">
        <v>60</v>
      </c>
      <c r="C35" s="226">
        <f>ROUND(C34*F35,0)</f>
        <v>93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206</v>
      </c>
      <c r="D37" s="223">
        <f>'数据-汇总表'!E3</f>
        <v>10298.76</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110</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108</v>
      </c>
      <c r="D42" s="244"/>
      <c r="E42" s="244"/>
      <c r="F42" s="245"/>
      <c r="G42" s="3421" t="s">
        <v>121</v>
      </c>
    </row>
    <row r="43" spans="1:7" ht="13.5" customHeight="1">
      <c r="A43" s="869" t="s">
        <v>611</v>
      </c>
      <c r="B43" s="221" t="s">
        <v>851</v>
      </c>
      <c r="C43" s="244">
        <f ca="1">ROUND(IF('数据-取费表'!B22&lt;=1,C39*F22*'数据-取费表'!B21/2,C39*(POWER((1+F22),'数据-取费表'!B21/2)-1)),0)</f>
        <v>2</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526</v>
      </c>
      <c r="D45" s="241">
        <f>C47</f>
        <v>3.0000000000000001E-3</v>
      </c>
      <c r="E45" s="242" t="s">
        <v>129</v>
      </c>
      <c r="F45" s="252"/>
      <c r="G45" s="253" t="s">
        <v>859</v>
      </c>
    </row>
    <row r="46" spans="1:7" s="220" customFormat="1" ht="13.5" customHeight="1">
      <c r="A46" s="869" t="s">
        <v>613</v>
      </c>
      <c r="B46" s="254" t="s">
        <v>852</v>
      </c>
      <c r="C46" s="255">
        <f>ROUND((C33+C39)*F27,0)</f>
        <v>526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4485</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3140</v>
      </c>
      <c r="D51" s="238"/>
      <c r="E51" s="238"/>
      <c r="F51" s="270"/>
      <c r="G51" s="240" t="s">
        <v>64</v>
      </c>
    </row>
    <row r="52" spans="1:7" s="214" customFormat="1" ht="16.5" thickBot="1">
      <c r="A52" s="271" t="s">
        <v>65</v>
      </c>
      <c r="B52" s="272"/>
      <c r="C52" s="273">
        <f ca="1">C31+C51</f>
        <v>31042</v>
      </c>
      <c r="D52" s="272"/>
      <c r="E52" s="272"/>
      <c r="F52" s="272"/>
      <c r="G52" s="274"/>
    </row>
    <row r="55" spans="1:7" ht="15">
      <c r="B55" s="276" t="s">
        <v>66</v>
      </c>
      <c r="C55" s="277"/>
    </row>
    <row r="56" spans="1:7">
      <c r="B56" s="279" t="s">
        <v>67</v>
      </c>
      <c r="C56" s="280">
        <f ca="1">ROUND(C51/C52,3)</f>
        <v>0.10100000000000001</v>
      </c>
    </row>
    <row r="57" spans="1:7">
      <c r="B57" s="279" t="s">
        <v>68</v>
      </c>
      <c r="C57" s="281">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5" t="s">
        <v>658</v>
      </c>
      <c r="B1" s="357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O32" sqref="O3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44753</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44" t="s">
        <v>1362</v>
      </c>
      <c r="E3" s="944" t="s">
        <v>1368</v>
      </c>
      <c r="F3" s="944" t="s">
        <v>1362</v>
      </c>
      <c r="G3" s="944" t="s">
        <v>1363</v>
      </c>
      <c r="H3" s="944" t="s">
        <v>1362</v>
      </c>
      <c r="I3" s="944" t="s">
        <v>1363</v>
      </c>
    </row>
    <row r="4" spans="1:9" ht="15">
      <c r="A4" s="1641" t="str">
        <f>项目基本情况!S2</f>
        <v>北京市房地产</v>
      </c>
      <c r="B4" s="944">
        <f>项目基本情况!C17</f>
        <v>10298.76</v>
      </c>
      <c r="C4" s="944">
        <f>项目基本情况!C18</f>
        <v>0</v>
      </c>
      <c r="D4" s="944" t="e">
        <f ca="1">结果表!D118</f>
        <v>#REF!</v>
      </c>
      <c r="E4" s="944" t="e">
        <f ca="1">结果表!E118</f>
        <v>#REF!</v>
      </c>
      <c r="F4" s="944" t="e">
        <f ca="1">结果表!F118</f>
        <v>#REF!</v>
      </c>
      <c r="G4" s="944" t="e">
        <f ca="1">结果表!G118</f>
        <v>#REF!</v>
      </c>
      <c r="H4" s="944">
        <f ca="1">结果表!H118</f>
        <v>22245</v>
      </c>
      <c r="I4" s="944">
        <f ca="1">结果表!I118</f>
        <v>21600</v>
      </c>
    </row>
    <row r="5" spans="1:9" ht="30" customHeight="1">
      <c r="A5" s="3245" t="s">
        <v>1364</v>
      </c>
      <c r="B5" s="3245"/>
      <c r="C5" s="3245"/>
      <c r="D5" s="3246" t="e">
        <f ca="1">结果表!D119</f>
        <v>#REF!</v>
      </c>
      <c r="E5" s="3246"/>
      <c r="F5" s="3246" t="e">
        <f ca="1">结果表!F119</f>
        <v>#REF!</v>
      </c>
      <c r="G5" s="3246"/>
      <c r="H5" s="3246" t="str">
        <f ca="1">结果表!H119</f>
        <v>贰亿贰仟贰佰肆拾伍万元整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75">
      <c r="A8" s="3247" t="str">
        <f>结果表!A122</f>
        <v>房地产抵押价值</v>
      </c>
      <c r="B8" s="3247"/>
      <c r="C8" s="3247"/>
      <c r="D8" s="3247">
        <f ca="1">结果表!D122</f>
        <v>22245</v>
      </c>
      <c r="E8" s="3247"/>
      <c r="F8" s="3247"/>
      <c r="G8" s="3247"/>
      <c r="H8" s="3247"/>
      <c r="I8" s="3247"/>
    </row>
    <row r="9" spans="1:9" ht="15">
      <c r="A9" s="3245" t="s">
        <v>1364</v>
      </c>
      <c r="B9" s="3245"/>
      <c r="C9" s="3245"/>
      <c r="D9" s="3246" t="str">
        <f ca="1">结果表!D123</f>
        <v>贰亿贰仟贰佰肆拾伍万元整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4" t="s">
        <v>1386</v>
      </c>
      <c r="B1" s="3254"/>
      <c r="C1" s="3254"/>
      <c r="D1" s="3254"/>
    </row>
    <row r="2" spans="1:4" ht="18">
      <c r="A2" s="3255" t="s">
        <v>1370</v>
      </c>
      <c r="B2" s="3255"/>
      <c r="C2" s="3255"/>
      <c r="D2" s="325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5" t="s">
        <v>1376</v>
      </c>
      <c r="B6" s="3255"/>
      <c r="C6" s="3255"/>
      <c r="D6" s="325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6"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8" t="s">
        <v>1393</v>
      </c>
      <c r="B15" s="3263" t="s">
        <v>136</v>
      </c>
      <c r="C15" s="3264"/>
    </row>
    <row r="16" spans="1:7" ht="13.5">
      <c r="A16" s="3269"/>
      <c r="B16" s="3263" t="s">
        <v>69</v>
      </c>
      <c r="C16" s="3264"/>
    </row>
    <row r="17" spans="1:3" ht="13.5">
      <c r="A17" s="3269"/>
      <c r="B17" s="3266" t="s">
        <v>1394</v>
      </c>
      <c r="C17" s="1668" t="s">
        <v>1393</v>
      </c>
    </row>
    <row r="18" spans="1:3" ht="13.5">
      <c r="A18" s="3269"/>
      <c r="B18" s="3266"/>
      <c r="C18" s="1668" t="s">
        <v>1395</v>
      </c>
    </row>
    <row r="19" spans="1:3" ht="13.5">
      <c r="A19" s="3269"/>
      <c r="B19" s="3266"/>
      <c r="C19" s="1668" t="s">
        <v>1396</v>
      </c>
    </row>
    <row r="20" spans="1:3" ht="13.5">
      <c r="A20" s="3270"/>
      <c r="B20" s="3265" t="s">
        <v>1397</v>
      </c>
      <c r="C20" s="3264"/>
    </row>
    <row r="21" spans="1:3" ht="13.5">
      <c r="A21" s="1669" t="s">
        <v>1398</v>
      </c>
      <c r="B21" s="1670"/>
      <c r="C21" s="1671"/>
    </row>
    <row r="22" spans="1:3" ht="13.5">
      <c r="A22" s="3267" t="s">
        <v>1399</v>
      </c>
      <c r="B22" s="3265" t="s">
        <v>1400</v>
      </c>
      <c r="C22" s="3264"/>
    </row>
    <row r="23" spans="1:3" ht="13.5">
      <c r="A23" s="3267"/>
      <c r="B23" s="3265" t="s">
        <v>1401</v>
      </c>
      <c r="C23" s="3264"/>
    </row>
    <row r="24" spans="1:3" ht="13.5">
      <c r="A24" s="3267"/>
      <c r="B24" s="3265" t="s">
        <v>1402</v>
      </c>
      <c r="C24" s="3264"/>
    </row>
    <row r="25" spans="1:3" ht="13.5">
      <c r="A25" s="3267"/>
      <c r="B25" s="3266" t="s">
        <v>1403</v>
      </c>
      <c r="C25" s="1668" t="s">
        <v>1404</v>
      </c>
    </row>
    <row r="26" spans="1:3" ht="13.5">
      <c r="A26" s="3267"/>
      <c r="B26" s="3266"/>
      <c r="C26" s="1668" t="s">
        <v>1405</v>
      </c>
    </row>
    <row r="27" spans="1:3" ht="13.5">
      <c r="A27" s="3267"/>
      <c r="B27" s="3266"/>
      <c r="C27" s="1668" t="s">
        <v>1406</v>
      </c>
    </row>
    <row r="28" spans="1:3" ht="13.5">
      <c r="A28" s="3267"/>
      <c r="B28" s="3266"/>
      <c r="C28" s="1668" t="s">
        <v>1407</v>
      </c>
    </row>
    <row r="29" spans="1:3" ht="13.5">
      <c r="A29" s="3267"/>
      <c r="B29" s="3266"/>
      <c r="C29" s="1668" t="s">
        <v>1408</v>
      </c>
    </row>
    <row r="30" spans="1:3" ht="13.5">
      <c r="A30" s="3267"/>
      <c r="B30" s="3266"/>
      <c r="C30" s="1668" t="s">
        <v>1409</v>
      </c>
    </row>
    <row r="31" spans="1:3" ht="13.5">
      <c r="A31" s="3267"/>
      <c r="B31" s="3266"/>
      <c r="C31" s="1668" t="s">
        <v>1410</v>
      </c>
    </row>
    <row r="32" spans="1:3" ht="13.5">
      <c r="A32" s="3267"/>
      <c r="B32" s="3266"/>
      <c r="C32" s="1668" t="s">
        <v>1411</v>
      </c>
    </row>
    <row r="33" spans="1:3" ht="13.5">
      <c r="A33" s="3267"/>
      <c r="B33" s="326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44764</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2022-07-22T01:27:09Z</dcterms:modified>
</cp:coreProperties>
</file>