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G52" i="43"/>
  <c r="G53" i="43"/>
  <c r="G54" i="43"/>
  <c r="G55" i="43"/>
  <c r="G56" i="43"/>
  <c r="G57" i="43"/>
  <c r="G58" i="43"/>
  <c r="G59" i="43"/>
  <c r="G51" i="43"/>
  <c r="I24" i="43"/>
  <c r="E13" i="4"/>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38" i="15"/>
  <c r="M29" i="15"/>
  <c r="F43" i="67"/>
  <c r="AO13" i="1"/>
  <c r="F41" i="15"/>
  <c r="D2" i="36"/>
  <c r="F13" i="15"/>
  <c r="D34" i="9"/>
  <c r="AO12" i="1"/>
  <c r="L48" i="15"/>
  <c r="B11" i="76"/>
  <c r="M8" i="15"/>
  <c r="F13" i="67"/>
  <c r="C76" i="15"/>
  <c r="F42" i="15"/>
  <c r="E11" i="76"/>
  <c r="F40" i="67"/>
  <c r="AO11" i="1"/>
  <c r="F4" i="73"/>
  <c r="B9" i="76"/>
  <c r="M23" i="67"/>
  <c r="M22" i="15"/>
  <c r="E13" i="76"/>
  <c r="F5" i="73"/>
  <c r="E12" i="76"/>
  <c r="F6" i="67"/>
  <c r="B13" i="76"/>
  <c r="M27" i="15"/>
  <c r="F16" i="15"/>
  <c r="D20" i="9"/>
  <c r="F7" i="67"/>
  <c r="F8" i="15"/>
  <c r="D7" i="73"/>
  <c r="M6" i="67"/>
  <c r="F20" i="31"/>
  <c r="F38" i="67"/>
  <c r="M23" i="15"/>
  <c r="M8" i="67"/>
  <c r="F37" i="15"/>
  <c r="M6" i="15"/>
  <c r="J15" i="15"/>
  <c r="D5" i="73"/>
  <c r="E8" i="76"/>
  <c r="AO10" i="1"/>
  <c r="M28" i="15"/>
  <c r="F40" i="15"/>
  <c r="D2" i="37"/>
  <c r="F3" i="73"/>
  <c r="AO7" i="1"/>
  <c r="M9" i="15"/>
  <c r="D2" i="34"/>
  <c r="E7" i="76"/>
  <c r="D56" i="43" l="1"/>
  <c r="E51" i="43" s="1"/>
  <c r="B49" i="43" s="1"/>
  <c r="C28" i="43" s="1"/>
  <c r="D123" i="43"/>
  <c r="E123" i="43" s="1"/>
  <c r="F123" i="43" s="1"/>
  <c r="G123" i="43" s="1"/>
  <c r="H123" i="43" s="1"/>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Q70" i="15"/>
  <c r="F35" i="67"/>
  <c r="M21" i="67"/>
  <c r="M21" i="15"/>
  <c r="F35" i="15"/>
  <c r="C37" i="15" l="1"/>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62" i="15" s="1"/>
  <c r="Q47" i="15"/>
  <c r="Q53"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N61" i="9"/>
  <c r="N60" i="9"/>
  <c r="D53" i="9"/>
  <c r="D52" i="9"/>
  <c r="C105" i="9"/>
  <c r="I4" i="52"/>
  <c r="H4" i="52"/>
  <c r="C104" i="9"/>
  <c r="D6" i="74"/>
  <c r="C6" i="74"/>
  <c r="P57" i="9"/>
  <c r="N58" i="9"/>
  <c r="N59" i="9"/>
  <c r="D5" i="74"/>
  <c r="D14" i="74"/>
  <c r="B5" i="74"/>
  <c r="C5" i="74"/>
  <c r="B52" i="72"/>
  <c r="B20" i="72"/>
  <c r="G4" i="52"/>
  <c r="M54" i="9"/>
  <c r="D8" i="52"/>
  <c r="B30" i="72"/>
  <c r="E81" i="9"/>
  <c r="N57" i="9"/>
  <c r="B49" i="72"/>
  <c r="C81" i="9"/>
  <c r="C78" i="9"/>
  <c r="C73" i="9"/>
  <c r="B51" i="72"/>
  <c r="B21" i="72"/>
  <c r="D119" i="9"/>
  <c r="D5" i="52"/>
  <c r="M48" i="9"/>
  <c r="H119" i="9"/>
  <c r="H5" i="52"/>
  <c r="D118" i="9"/>
  <c r="D4" i="52"/>
  <c r="B47" i="72"/>
  <c r="H102" i="9"/>
  <c r="D7" i="53"/>
  <c r="F4" i="52"/>
  <c r="G118" i="9"/>
  <c r="F118" i="9"/>
  <c r="F119" i="9"/>
  <c r="F5" i="52"/>
  <c r="B53" i="72"/>
  <c r="D13" i="53"/>
  <c r="D14" i="53"/>
  <c r="B32" i="72"/>
  <c r="D59" i="9"/>
  <c r="M55" i="9"/>
  <c r="E118" i="9"/>
  <c r="E4" i="52"/>
  <c r="B48" i="72"/>
  <c r="C67" i="9"/>
  <c r="C68" i="9"/>
  <c r="D54" i="9"/>
  <c r="H108" i="9"/>
  <c r="D15" i="53"/>
  <c r="B31" i="72"/>
  <c r="C96" i="9"/>
  <c r="E96" i="9"/>
  <c r="E97" i="9"/>
  <c r="C64" i="9"/>
  <c r="C63" i="9"/>
  <c r="G14" i="74"/>
  <c r="B6" i="74"/>
  <c r="C80" i="9"/>
  <c r="E80" i="9"/>
  <c r="D5" i="53"/>
  <c r="D6" i="53"/>
  <c r="B22" i="72"/>
  <c r="C93" i="9"/>
  <c r="C86" i="9"/>
  <c r="D55" i="9"/>
  <c r="M53" i="9"/>
  <c r="H107" i="9"/>
  <c r="D122" i="9"/>
  <c r="D123" i="9"/>
  <c r="D9" i="52"/>
  <c r="C72" i="9"/>
  <c r="C79"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<sst xmlns="http://schemas.openxmlformats.org/spreadsheetml/2006/main" count="7718" uniqueCount="3104">
  <si>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</si>
  <si>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</si>
  <si>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</si>
  <si>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</si>
  <si>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</si>
  <si>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</si>
  <si>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</si>
  <si>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</si>
  <si>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</si>
  <si>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</si>
  <si>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</si>
  <si>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</si>
  <si>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</si>
  <si>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</si>
  <si>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</si>
  <si>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</si>
  <si>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</si>
  <si>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</si>
  <si>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</si>
  <si>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</si>
  <si>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</si>
  <si>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</si>
  <si>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</si>
  <si>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</si>
  <si>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</si>
  <si>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</si>
  <si>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</si>
  <si>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</si>
  <si>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</si>
  <si>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</si>
  <si>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</si>
  <si>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</si>
  <si>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</si>
  <si>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</si>
  <si>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</si>
  <si>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</si>
  <si>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</si>
  <si>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</si>
  <si>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</si>
  <si>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</si>
  <si>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</si>
  <si>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</si>
  <si>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</si>
  <si>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</si>
  <si>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</si>
  <si>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</si>
  <si>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</si>
  <si>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</si>
  <si>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</si>
  <si>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</si>
  <si>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</si>
  <si>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</si>
  <si>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</si>
  <si>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</si>
  <si>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</si>
  <si>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</si>
  <si>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</si>
  <si>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</si>
  <si>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</si>
  <si>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</si>
  <si>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</si>
  <si>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</si>
  <si>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</si>
  <si>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</si>
  <si>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</si>
  <si>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</si>
  <si>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</si>
  <si>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</si>
  <si>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</si>
  <si>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</si>
  <si>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</si>
  <si>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</si>
  <si>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</si>
  <si>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</si>
  <si>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</si>
  <si>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</si>
  <si>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</si>
  <si>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</si>
  <si>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</si>
  <si>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</si>
  <si>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</si>
  <si>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</si>
  <si>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</si>
  <si>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</si>
  <si>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</si>
  <si>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</si>
  <si>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</si>
  <si>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</si>
  <si>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</si>
  <si>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</si>
  <si>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</si>
  <si>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</si>
  <si>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</si>
  <si>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</si>
  <si>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</si>
  <si>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</si>
  <si>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</si>
  <si>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</si>
  <si>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</si>
  <si>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</si>
  <si>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</si>
  <si>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</si>
  <si>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</si>
  <si>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</si>
  <si>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</si>
  <si>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</si>
  <si>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</si>
  <si>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</si>
  <si>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</si>
  <si>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</si>
  <si>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</si>
  <si>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</si>
  <si>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</si>
  <si>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</si>
  <si>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</si>
  <si>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</si>
  <si>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</si>
  <si>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</si>
  <si>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</si>
  <si>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</si>
  <si>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</si>
  <si>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</si>
  <si>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</si>
  <si>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</si>
  <si>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</si>
  <si>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</si>
  <si>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</si>
  <si>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</si>
  <si>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</si>
  <si>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</si>
  <si>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</si>
  <si>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</si>
  <si>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</si>
  <si>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</si>
  <si>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</si>
  <si>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</si>
  <si>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</si>
  <si>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</si>
  <si>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</si>
  <si>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</si>
  <si>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</si>
  <si>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</si>
  <si>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</si>
  <si>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</si>
  <si>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</si>
  <si>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</si>
  <si>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</si>
  <si>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</si>
  <si>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</si>
  <si>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</si>
  <si>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</si>
  <si>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</si>
  <si>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</si>
  <si>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</si>
  <si>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</si>
  <si>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</si>
  <si>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</si>
  <si>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</si>
  <si>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</si>
  <si>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</si>
  <si>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</si>
  <si>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</si>
  <si>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</si>
  <si>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</si>
  <si>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</si>
  <si>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</si>
  <si>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</si>
  <si>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</si>
  <si>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</si>
  <si>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</si>
  <si>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</si>
  <si>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</si>
  <si>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</si>
  <si>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</si>
  <si>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</si>
  <si>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</si>
  <si>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</si>
  <si>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</si>
  <si>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</si>
  <si>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</si>
  <si>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</si>
  <si>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</si>
  <si>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</si>
  <si>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</si>
  <si>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</si>
  <si>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</si>
  <si>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</si>
  <si>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</si>
  <si>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</si>
  <si>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</si>
  <si>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</si>
  <si>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</si>
  <si>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</si>
  <si>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</si>
  <si>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</si>
  <si>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</si>
  <si>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</si>
  <si>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</si>
  <si>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</si>
  <si>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</si>
  <si>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</si>
  <si>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</si>
  <si>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</si>
  <si>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</si>
  <si>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</si>
  <si>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</si>
  <si>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</si>
  <si>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</si>
  <si>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</si>
  <si>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</si>
  <si>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</si>
  <si>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</si>
  <si>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</si>
  <si>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</si>
  <si>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</si>
  <si>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</si>
  <si>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</si>
  <si>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</si>
  <si>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</si>
  <si>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</si>
  <si>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</si>
  <si>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</si>
  <si>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</si>
  <si>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</si>
  <si>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</si>
  <si>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</si>
  <si>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</si>
  <si>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</si>
  <si>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</si>
  <si>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</si>
  <si>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</si>
  <si>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</si>
  <si>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</si>
  <si>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</si>
  <si>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</si>
  <si>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</si>
  <si>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</si>
  <si>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</si>
  <si>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</si>
  <si>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</si>
  <si>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</si>
  <si>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</si>
  <si>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</si>
  <si>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</si>
  <si>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</si>
  <si>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</si>
  <si>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</si>
  <si>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</si>
  <si>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</si>
  <si>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</si>
  <si>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</si>
  <si>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</si>
  <si>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</si>
  <si>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</si>
  <si>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</si>
  <si>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</si>
  <si>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</si>
  <si>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</si>
  <si>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</si>
  <si>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</si>
  <si>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</si>
  <si>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</si>
  <si>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</si>
  <si>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</si>
  <si>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</si>
  <si>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</si>
  <si>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</si>
  <si>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</si>
  <si>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</si>
  <si>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</si>
  <si>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</si>
  <si>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</si>
  <si>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</si>
  <si>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</si>
  <si>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</si>
  <si>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</si>
  <si>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</si>
  <si>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</si>
  <si>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</si>
  <si>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</si>
  <si>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</si>
  <si>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</si>
  <si>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</si>
  <si>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</si>
  <si>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</si>
  <si>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</si>
  <si>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</si>
  <si>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</si>
  <si>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</si>
  <si>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</si>
  <si>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</si>
  <si>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</si>
  <si>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</si>
  <si>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</si>
  <si>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</si>
  <si>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</si>
  <si>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</si>
  <si>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</si>
  <si>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</si>
  <si>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</si>
  <si>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</si>
  <si>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</si>
  <si>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</si>
  <si>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</si>
  <si>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</si>
  <si>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</si>
  <si>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</si>
  <si>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</si>
  <si>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</si>
  <si>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</si>
  <si>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</si>
  <si>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</si>
  <si>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</si>
  <si>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</si>
  <si>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</si>
  <si>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</si>
  <si>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</si>
  <si>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</si>
  <si>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</si>
  <si>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</si>
  <si>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</si>
  <si>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</si>
  <si>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</si>
  <si>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</si>
  <si>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</si>
  <si>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</si>
  <si>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</si>
  <si>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</si>
  <si>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</si>
  <si>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</si>
  <si>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</si>
  <si>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</si>
  <si>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</si>
  <si>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</si>
  <si>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</si>
  <si>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</si>
  <si>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</si>
  <si>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</si>
  <si>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</si>
  <si>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</si>
  <si>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</si>
  <si>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</si>
  <si>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</si>
  <si>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</si>
  <si>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</si>
  <si>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</si>
  <si>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</si>
  <si>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</si>
  <si>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</si>
  <si>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</si>
  <si>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</si>
  <si>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</si>
  <si>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</si>
  <si>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</si>
  <si>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</si>
  <si>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</si>
  <si>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</si>
  <si>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</si>
  <si>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</si>
  <si>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</si>
  <si>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</si>
  <si>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</si>
  <si>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</si>
  <si>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</si>
  <si>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</si>
  <si>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</si>
  <si>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</si>
  <si>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</si>
  <si>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</si>
  <si>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</si>
  <si>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</si>
  <si>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</si>
  <si>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</si>
  <si>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</si>
  <si>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</si>
  <si>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</si>
  <si>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</si>
  <si>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</si>
  <si>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</si>
  <si>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</si>
  <si>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</si>
  <si>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</si>
  <si>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</si>
  <si>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</si>
  <si>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</si>
  <si>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</si>
  <si>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</si>
  <si>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</si>
  <si>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</si>
  <si>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</si>
  <si>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</si>
  <si>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</si>
  <si>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</si>
  <si>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</si>
  <si>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</si>
  <si>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</si>
  <si>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</si>
  <si>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</si>
  <si>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</si>
  <si>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</si>
  <si>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</si>
  <si>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</si>
  <si>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</si>
  <si>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</si>
  <si>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</si>
  <si>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</si>
  <si>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</si>
  <si>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</si>
  <si>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</si>
  <si>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</si>
  <si>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</si>
  <si>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</si>
  <si>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</si>
  <si>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</si>
  <si>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</si>
  <si>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</si>
  <si>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</si>
  <si>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</si>
  <si>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</si>
  <si>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</si>
  <si>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</si>
  <si>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</si>
  <si>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</si>
  <si>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</si>
  <si>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</si>
  <si>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</si>
  <si>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</si>
  <si>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</si>
  <si>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</si>
  <si>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</si>
  <si>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</si>
  <si>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</si>
  <si>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</si>
  <si>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</si>
  <si>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</si>
  <si>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</si>
  <si>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</si>
  <si>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</si>
  <si>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</si>
  <si>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</si>
  <si>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</si>
  <si>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</si>
  <si>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</si>
  <si>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</si>
  <si>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</si>
  <si>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</si>
  <si>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</si>
  <si>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</si>
  <si>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</si>
  <si>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</si>
  <si>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</si>
  <si>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</si>
  <si>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</si>
  <si>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</si>
  <si>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</si>
  <si>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</si>
  <si>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</si>
  <si>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</si>
  <si>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</si>
  <si>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</si>
  <si>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</si>
  <si>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</si>
  <si>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</si>
  <si>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</si>
  <si>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</si>
  <si>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</si>
  <si>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</si>
  <si>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</si>
  <si>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</si>
  <si>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</si>
  <si>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</si>
  <si>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</si>
  <si>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</si>
  <si>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</si>
  <si>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</si>
  <si>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</si>
  <si>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</si>
  <si>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</si>
  <si>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</si>
  <si>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</si>
  <si>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</si>
  <si>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</si>
  <si>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</si>
  <si>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</si>
  <si>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</si>
  <si>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</si>
  <si>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</si>
  <si>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</si>
  <si>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</si>
  <si>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</si>
  <si>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</si>
  <si>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</si>
  <si>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</si>
  <si>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</si>
  <si>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</si>
  <si>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</si>
  <si>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</si>
  <si>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</si>
  <si>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</si>
  <si>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</si>
  <si>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</si>
  <si>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</si>
  <si>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</si>
  <si>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</si>
  <si>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</si>
  <si>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</si>
  <si>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</si>
  <si>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</si>
  <si>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</si>
  <si>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</si>
  <si>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</si>
  <si>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</si>
  <si>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</si>
  <si>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</si>
  <si>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</si>
  <si>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</si>
  <si>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</si>
  <si>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</si>
  <si>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</si>
  <si>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</si>
  <si>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</si>
  <si>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</si>
  <si>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</si>
  <si>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</si>
  <si>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</si>
  <si>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</si>
  <si>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</si>
  <si>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</si>
  <si>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</si>
  <si>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</si>
  <si>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</si>
  <si>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</si>
  <si>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</si>
  <si>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</si>
  <si>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</si>
  <si>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</si>
  <si>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</si>
  <si>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</si>
  <si>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</si>
  <si>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</si>
  <si>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</si>
  <si>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</si>
  <si>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</si>
  <si>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</si>
  <si>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</si>
  <si>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</si>
  <si>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</si>
  <si>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</si>
  <si>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</si>
  <si>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</si>
  <si>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</si>
  <si>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</si>
  <si>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</si>
  <si>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</si>
  <si>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</si>
  <si>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</si>
  <si>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</si>
  <si>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</si>
  <si>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</si>
  <si>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</si>
  <si>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</si>
  <si>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</si>
  <si>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</si>
  <si>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</si>
  <si>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</si>
  <si>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</si>
  <si>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</si>
  <si>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</si>
  <si>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</si>
  <si>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</si>
  <si>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</si>
  <si>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</si>
  <si>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</si>
  <si>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</si>
  <si>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</si>
  <si>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</si>
  <si>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</si>
  <si>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</si>
  <si>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</si>
  <si>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</si>
  <si>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</si>
  <si>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</si>
  <si>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</si>
  <si>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</si>
  <si>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</si>
  <si>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</si>
  <si>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</si>
  <si>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</si>
  <si>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</si>
  <si>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</si>
  <si>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</si>
  <si>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</si>
  <si>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</si>
  <si>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</si>
  <si>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</si>
  <si>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</si>
  <si>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</si>
  <si>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</si>
  <si>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</si>
  <si>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</si>
  <si>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</si>
  <si>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</si>
  <si>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</si>
  <si>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</si>
  <si>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</si>
  <si>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</si>
  <si>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</si>
  <si>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</si>
  <si>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</si>
  <si>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</si>
  <si>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</si>
  <si>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</si>
  <si>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</si>
  <si>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</si>
  <si>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</si>
  <si>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</si>
  <si>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</si>
  <si>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</si>
  <si>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</si>
  <si>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</si>
  <si>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</si>
  <si>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</si>
  <si>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</si>
  <si>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</si>
  <si>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</si>
  <si>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</si>
  <si>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</si>
  <si>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</si>
  <si>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</si>
  <si>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</si>
  <si>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</si>
  <si>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</si>
  <si>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</si>
  <si>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</si>
  <si>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</si>
  <si>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</si>
  <si>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</si>
  <si>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</si>
  <si>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</si>
  <si>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</si>
  <si>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</si>
  <si>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</si>
  <si>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</si>
  <si>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</si>
  <si>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</si>
  <si>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</si>
  <si>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</si>
  <si>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</si>
  <si>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</si>
  <si>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</si>
  <si>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</si>
  <si>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</si>
  <si>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</si>
  <si>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</si>
  <si>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</si>
  <si>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</si>
  <si>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</si>
  <si>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</si>
  <si>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</si>
  <si>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</si>
  <si>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</si>
  <si>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</si>
  <si>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</si>
  <si>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</si>
  <si>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</si>
  <si>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</si>
  <si>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</si>
  <si>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</si>
  <si>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</si>
  <si>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</si>
  <si>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</si>
  <si>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</si>
  <si>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</si>
  <si>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</si>
  <si>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</si>
  <si>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</si>
  <si>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</si>
  <si>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</si>
  <si>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</si>
  <si>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</si>
  <si>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</si>
  <si>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</si>
  <si>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</si>
  <si>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</si>
  <si>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</si>
  <si>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</si>
  <si>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</si>
  <si>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</si>
  <si>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</si>
  <si>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</si>
  <si>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</si>
  <si>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</si>
  <si>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</si>
  <si>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</si>
  <si>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</si>
  <si>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</si>
  <si>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</si>
  <si>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</si>
  <si>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</si>
  <si>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</si>
  <si>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</si>
  <si>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</si>
  <si>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</si>
  <si>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</si>
  <si>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</si>
  <si>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</si>
  <si>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</si>
  <si>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</si>
  <si>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</si>
  <si>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</si>
  <si>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</si>
  <si>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</si>
  <si>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</si>
  <si>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</si>
  <si>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</si>
  <si>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</si>
  <si>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</si>
  <si>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</si>
  <si>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</si>
  <si>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</si>
  <si>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</si>
  <si>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</si>
  <si>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</si>
  <si>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</si>
  <si>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</si>
  <si>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</si>
  <si>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</si>
  <si>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</si>
  <si>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</si>
  <si>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</si>
  <si>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</si>
  <si>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</si>
  <si>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</si>
  <si>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</si>
  <si>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</si>
  <si>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</si>
  <si>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</si>
  <si>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</si>
  <si>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</si>
  <si>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</si>
  <si>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</si>
  <si>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</si>
  <si>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</si>
  <si>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</si>
  <si>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</si>
  <si>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</si>
  <si>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</si>
  <si>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</si>
  <si>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</si>
  <si>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</si>
  <si>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</si>
  <si>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</si>
  <si>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</si>
  <si>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</si>
  <si>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</si>
  <si>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</si>
  <si>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</si>
  <si>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</si>
  <si>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</si>
  <si>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</si>
  <si>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</si>
  <si>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</si>
  <si>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</si>
  <si>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</si>
  <si>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</si>
  <si>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</si>
  <si>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</si>
  <si>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</si>
  <si>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</si>
  <si>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</si>
  <si>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</si>
  <si>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</si>
  <si>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</si>
  <si>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</si>
  <si>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</si>
  <si>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</si>
  <si>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</si>
  <si>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</si>
  <si>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</si>
  <si>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</si>
  <si>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</si>
  <si>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</si>
  <si>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</si>
  <si>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</si>
  <si>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</si>
  <si>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</si>
  <si>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</si>
  <si>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</si>
  <si>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</si>
  <si>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</si>
  <si>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</si>
  <si>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</si>
  <si>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</si>
  <si>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</si>
  <si>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</si>
  <si>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</si>
  <si>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</si>
  <si>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</si>
  <si>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</si>
  <si>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</si>
  <si>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</si>
  <si>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</si>
  <si>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</si>
  <si>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</si>
  <si>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</si>
  <si>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</si>
  <si>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</si>
  <si>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</si>
  <si>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</si>
  <si>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</si>
  <si>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</si>
  <si>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</si>
  <si>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</si>
  <si>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</si>
  <si>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</si>
  <si>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</si>
  <si>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</si>
  <si>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</si>
  <si>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</si>
  <si>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</si>
  <si>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</si>
  <si>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</si>
  <si>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</si>
  <si>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</si>
  <si>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</si>
  <si>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</si>
  <si>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</si>
  <si>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</si>
  <si>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</si>
  <si>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</si>
  <si>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</si>
  <si>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</si>
  <si>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</si>
  <si>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</si>
  <si>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</si>
  <si>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</si>
  <si>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</si>
  <si>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</si>
  <si>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</si>
  <si>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</si>
  <si>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</si>
  <si>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</si>
  <si>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</si>
  <si>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</si>
  <si>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</si>
  <si>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</si>
  <si>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</si>
  <si>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</si>
  <si>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</si>
  <si>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</si>
  <si>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</si>
  <si>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</si>
  <si>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</si>
  <si>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</si>
  <si>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</si>
  <si>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</si>
  <si>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</si>
  <si>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</si>
  <si>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</si>
  <si>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</si>
  <si>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</si>
  <si>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</si>
  <si>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</si>
  <si>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</si>
  <si>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</si>
  <si>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</si>
  <si>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</si>
  <si>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</si>
  <si>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</si>
  <si>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</si>
  <si>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</si>
  <si>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</si>
  <si>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</si>
  <si>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</si>
  <si>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</si>
  <si>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</si>
  <si>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</si>
  <si>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</si>
  <si>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</si>
  <si>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</si>
  <si>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</si>
  <si>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</si>
  <si>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</si>
  <si>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</si>
  <si>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</si>
  <si>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</si>
  <si>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</si>
  <si>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</si>
  <si>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</si>
  <si>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</si>
  <si>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</si>
  <si>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</si>
  <si>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</si>
  <si>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</si>
  <si>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</si>
  <si>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</si>
  <si>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</si>
  <si>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</si>
  <si>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</si>
  <si>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</si>
  <si>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</si>
  <si>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</si>
  <si>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</si>
  <si>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</si>
  <si>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</si>
  <si>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</si>
  <si>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</si>
  <si>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</si>
  <si>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</si>
  <si>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</si>
  <si>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</si>
  <si>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</si>
  <si>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</si>
  <si>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</si>
  <si>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</si>
  <si>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</si>
  <si>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</si>
  <si>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</si>
  <si>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</si>
  <si>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</si>
  <si>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</si>
  <si>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</si>
  <si>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</si>
  <si>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</si>
  <si>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</si>
  <si>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</si>
  <si>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</si>
  <si>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</si>
  <si>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</si>
  <si>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</si>
  <si>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</si>
  <si>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</si>
  <si>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</si>
  <si>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</si>
  <si>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</si>
  <si>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</si>
  <si>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</si>
  <si>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</si>
  <si>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</si>
  <si>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</si>
  <si>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</si>
  <si>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</si>
  <si>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</si>
  <si>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</si>
  <si>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</si>
  <si>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</si>
  <si>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</si>
  <si>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</si>
  <si>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</si>
  <si>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</si>
  <si>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</si>
  <si>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</si>
  <si>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</si>
  <si>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</si>
  <si>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</si>
  <si>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</si>
  <si>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</si>
  <si>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</si>
  <si>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</si>
  <si>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</si>
  <si>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</si>
  <si>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</si>
  <si>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</si>
  <si>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</si>
  <si>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</si>
  <si>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</si>
  <si>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</si>
  <si>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</si>
  <si>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</si>
  <si>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</si>
  <si>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</si>
  <si>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</si>
  <si>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</si>
  <si>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</si>
  <si>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</si>
  <si>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</si>
  <si>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</si>
  <si>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</si>
  <si>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</si>
  <si>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</si>
  <si>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</si>
  <si>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</si>
  <si>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</si>
  <si>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</si>
  <si>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</si>
  <si>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</si>
  <si>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</si>
  <si>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</si>
  <si>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</si>
  <si>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</si>
  <si>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</si>
  <si>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</si>
  <si>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</si>
  <si>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</si>
  <si>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</si>
  <si>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</si>
  <si>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</si>
  <si>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</si>
  <si>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</si>
  <si>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</si>
  <si>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</si>
  <si>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</si>
  <si>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</si>
  <si>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</si>
  <si>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</si>
  <si>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</si>
  <si>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</si>
  <si>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</si>
  <si>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</si>
  <si>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</si>
  <si>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</si>
  <si>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</si>
  <si>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</si>
  <si>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</si>
  <si>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</si>
  <si>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</si>
  <si>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</si>
  <si>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</si>
  <si>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</si>
  <si>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</si>
  <si>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</si>
  <si>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</si>
  <si>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</si>
  <si>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</si>
  <si>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</si>
  <si>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</si>
  <si>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</si>
  <si>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</si>
  <si>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</si>
  <si>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</si>
  <si>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</si>
  <si>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</si>
  <si>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</si>
  <si>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</si>
  <si>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</si>
  <si>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</si>
  <si>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</si>
  <si>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</si>
  <si>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</si>
  <si>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</si>
  <si>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</si>
  <si>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</si>
  <si>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</si>
  <si>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</si>
  <si>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</si>
  <si>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</si>
  <si>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</si>
  <si>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</si>
  <si>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</si>
  <si>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</si>
  <si>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</si>
  <si>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</si>
  <si>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</si>
  <si>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</si>
  <si>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</si>
  <si>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</si>
  <si>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</si>
  <si>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</si>
  <si>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</si>
  <si>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</si>
  <si>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</si>
  <si>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</si>
  <si>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</si>
  <si>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</si>
  <si>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</si>
  <si>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</si>
  <si>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</si>
  <si>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</si>
  <si>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</si>
  <si>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</si>
  <si>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</si>
  <si>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</si>
  <si>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</si>
  <si>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</si>
  <si>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</si>
  <si>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</si>
  <si>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</si>
  <si>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</si>
  <si>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</si>
  <si>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</si>
  <si>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</si>
  <si>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</si>
  <si>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</si>
  <si>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</si>
  <si>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</si>
  <si>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</si>
  <si>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</si>
  <si>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</si>
  <si>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</si>
  <si>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</si>
  <si>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</si>
  <si>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</si>
  <si>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</si>
  <si>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</si>
  <si>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</si>
  <si>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</si>
  <si>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</si>
  <si>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</si>
  <si>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</si>
  <si>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</si>
  <si>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</si>
  <si>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</si>
  <si>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</si>
  <si>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</si>
  <si>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</si>
  <si>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</si>
  <si>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</si>
  <si>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</si>
  <si>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</si>
  <si>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</si>
  <si>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</si>
  <si>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</si>
  <si>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</si>
  <si>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</si>
  <si>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</si>
  <si>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</si>
  <si>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</si>
  <si>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</si>
  <si>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</si>
  <si>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</si>
  <si>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</si>
  <si>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</si>
  <si>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</si>
  <si>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</si>
  <si>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</si>
  <si>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</si>
  <si>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</si>
  <si>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</si>
  <si>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</si>
  <si>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</si>
  <si>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</si>
  <si>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</si>
  <si>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</si>
  <si>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</si>
  <si>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</si>
  <si>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</si>
  <si>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</si>
  <si>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</si>
  <si>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</si>
  <si>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</si>
  <si>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</si>
  <si>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</si>
  <si>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</si>
  <si>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</si>
  <si>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</si>
  <si>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</si>
  <si>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</si>
  <si>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</si>
  <si>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</si>
  <si>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</si>
  <si>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</si>
  <si>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</si>
  <si>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</si>
  <si>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</si>
  <si>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</si>
  <si>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</si>
  <si>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</si>
  <si>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</si>
  <si>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</si>
  <si>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</si>
  <si>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</si>
  <si>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</si>
  <si>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</si>
  <si>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</si>
  <si>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</si>
  <si>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</si>
  <si>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</si>
  <si>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</si>
  <si>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</si>
  <si>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</si>
  <si>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</si>
  <si>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</si>
  <si>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</si>
  <si>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</si>
  <si>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</si>
  <si>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</si>
  <si>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</si>
  <si>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</si>
  <si>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</si>
  <si>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</si>
  <si>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</si>
  <si>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</si>
  <si>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</si>
  <si>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</si>
  <si>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</si>
  <si>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</si>
  <si>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</si>
  <si>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</si>
  <si>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</si>
  <si>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</si>
  <si>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</si>
  <si>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</si>
  <si>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</si>
  <si>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</si>
  <si>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</si>
  <si>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</si>
  <si>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</si>
  <si>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</si>
  <si>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</si>
  <si>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</si>
  <si>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</si>
  <si>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</si>
  <si>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</si>
  <si>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</si>
  <si>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</si>
  <si>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</si>
  <si>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</si>
  <si>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</si>
  <si>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</si>
  <si>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</si>
  <si>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</si>
  <si>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</si>
  <si>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</si>
  <si>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</si>
  <si>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</si>
  <si>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</si>
  <si>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</si>
  <si>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</si>
  <si>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</si>
  <si>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</si>
  <si>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</si>
  <si>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</si>
  <si>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</si>
  <si>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</si>
  <si>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</si>
  <si>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</si>
  <si>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</si>
  <si>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</si>
  <si>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</si>
  <si>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</si>
  <si>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</si>
  <si>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</si>
  <si>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</si>
  <si>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</si>
  <si>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</si>
  <si>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</si>
  <si>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</si>
  <si>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</si>
  <si>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</si>
  <si>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</si>
  <si>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</si>
  <si>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</si>
  <si>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</si>
  <si>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</si>
  <si>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</si>
  <si>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</si>
  <si>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</si>
  <si>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</si>
  <si>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</si>
  <si>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</si>
  <si>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</si>
  <si>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</si>
  <si>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</si>
  <si>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</si>
  <si>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</si>
  <si>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</si>
  <si>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</si>
  <si>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</si>
  <si>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</si>
  <si>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</si>
  <si>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</si>
  <si>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</si>
  <si>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</si>
  <si>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</si>
  <si>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</si>
  <si>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</si>
  <si>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</si>
  <si>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</si>
  <si>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</si>
  <si>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</si>
  <si>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</si>
  <si>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</si>
  <si>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</si>
  <si>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</si>
  <si>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</si>
  <si>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</si>
  <si>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</si>
  <si>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</si>
  <si>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</si>
  <si>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</si>
  <si>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</si>
  <si>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</si>
  <si>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</si>
  <si>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</si>
  <si>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</si>
  <si>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</si>
  <si>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</si>
  <si>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</si>
  <si>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</si>
  <si>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</si>
  <si>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</si>
  <si>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</si>
  <si>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</si>
  <si>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</si>
  <si>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</si>
  <si>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</si>
  <si>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</si>
  <si>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</si>
  <si>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</si>
  <si>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</si>
  <si>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</si>
  <si>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</si>
  <si>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</si>
  <si>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</si>
  <si>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</si>
  <si>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</si>
  <si>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</si>
  <si>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</si>
  <si>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</si>
  <si>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</si>
  <si>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</si>
  <si>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</si>
  <si>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</si>
  <si>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</si>
  <si>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</si>
  <si>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</si>
  <si>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</si>
  <si>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</si>
  <si>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</si>
  <si>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</si>
  <si>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</si>
  <si>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</si>
  <si>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</si>
  <si>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</si>
  <si>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</si>
  <si>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</si>
  <si>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</si>
  <si>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</si>
  <si>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</si>
  <si>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</si>
  <si>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</si>
  <si>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</si>
  <si>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</si>
  <si>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</si>
  <si>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</si>
  <si>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</si>
  <si>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</si>
  <si>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</si>
  <si>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</si>
  <si>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</si>
  <si>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</si>
  <si>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</si>
  <si>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</si>
  <si>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</si>
  <si>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</si>
  <si>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</si>
  <si>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</si>
  <si>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</si>
  <si>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</si>
  <si>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</si>
  <si>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</si>
  <si>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</si>
  <si>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</si>
  <si>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</si>
  <si>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</si>
  <si>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</si>
  <si>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</si>
  <si>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</si>
  <si>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</si>
  <si>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</si>
  <si>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</si>
  <si>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</si>
  <si>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</si>
  <si>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</si>
  <si>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</si>
  <si>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</si>
  <si>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</si>
  <si>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</si>
  <si>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</si>
  <si>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</si>
  <si>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</si>
  <si>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</si>
  <si>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</si>
  <si>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</si>
  <si>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</si>
  <si>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</si>
  <si>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</si>
  <si>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</si>
  <si>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</si>
  <si>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</si>
  <si>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</si>
  <si>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</si>
  <si>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</si>
  <si>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</si>
  <si>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</si>
  <si>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</si>
  <si>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</si>
  <si>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</si>
  <si>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</si>
  <si>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</si>
  <si>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</si>
  <si>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</si>
  <si>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</si>
  <si>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</si>
  <si>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</si>
  <si>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</si>
  <si>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</si>
  <si>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</si>
  <si>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</si>
  <si>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</si>
  <si>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</si>
  <si>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</si>
  <si>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</si>
  <si>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</si>
  <si>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</si>
  <si>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</si>
  <si>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</si>
  <si>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</si>
  <si>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</si>
  <si>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</si>
  <si>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</si>
  <si>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</si>
  <si>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</si>
  <si>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</si>
  <si>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</si>
  <si>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</si>
  <si>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</si>
  <si>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</si>
  <si>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</si>
  <si>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</si>
  <si>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</si>
  <si>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</si>
  <si>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</si>
  <si>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</si>
  <si>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</si>
  <si>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</si>
  <si>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</si>
  <si>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</si>
  <si>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</si>
  <si>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</si>
  <si>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</si>
  <si>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</si>
  <si>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</si>
  <si>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</si>
  <si>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</si>
  <si>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</si>
  <si>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</si>
  <si>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</si>
  <si>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</si>
  <si>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</si>
  <si>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</si>
  <si>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</si>
  <si>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</si>
  <si>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</si>
  <si>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</si>
  <si>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</si>
  <si>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</si>
  <si>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</si>
  <si>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</si>
  <si>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</si>
  <si>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</si>
  <si>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</si>
  <si>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</si>
  <si>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</si>
  <si>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</si>
  <si>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</si>
  <si>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</si>
  <si>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</si>
  <si>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</si>
  <si>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</si>
  <si>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</si>
  <si>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</si>
  <si>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</si>
  <si>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</si>
  <si>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</si>
  <si>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</si>
  <si>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</si>
  <si>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</si>
  <si>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</si>
  <si>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</si>
  <si>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</si>
  <si>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</si>
  <si>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</si>
  <si>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</si>
  <si>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</si>
  <si>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</si>
  <si>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</si>
  <si>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</si>
  <si>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</si>
  <si>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</si>
  <si>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</si>
  <si>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</si>
  <si>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</si>
  <si>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</si>
  <si>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</si>
  <si>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</si>
  <si>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</si>
  <si>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</si>
  <si>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</si>
  <si>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</si>
  <si>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</si>
  <si>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</si>
  <si>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</si>
  <si>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</si>
  <si>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</si>
  <si>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</si>
  <si>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</si>
  <si>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</si>
  <si>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</si>
  <si>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</si>
  <si>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</si>
  <si>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</si>
  <si>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</si>
  <si>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</si>
  <si>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</si>
  <si>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</si>
  <si>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</si>
  <si>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</si>
  <si>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</si>
  <si>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</si>
  <si>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</si>
  <si>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</si>
  <si>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</si>
  <si>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</si>
  <si>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</si>
  <si>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</si>
  <si>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</si>
  <si>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</si>
  <si>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</si>
  <si>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</si>
  <si>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</si>
  <si>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</si>
  <si>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</si>
  <si>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</si>
  <si>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</si>
  <si>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</si>
  <si>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</si>
  <si>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</si>
  <si>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</si>
  <si>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</si>
  <si>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</si>
  <si>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</si>
  <si>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</si>
  <si>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</si>
  <si>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</si>
  <si>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</si>
  <si>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</si>
  <si>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</si>
  <si>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</si>
  <si>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</si>
  <si>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</si>
  <si>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</si>
  <si>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</si>
  <si>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</si>
  <si>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</si>
  <si>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</si>
  <si>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</si>
  <si>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</si>
  <si>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</si>
  <si>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</si>
  <si>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</si>
  <si>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</si>
  <si>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</si>
  <si>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</si>
  <si>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</si>
  <si>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</si>
  <si>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</si>
  <si>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</si>
  <si>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</si>
  <si>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</si>
  <si>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</si>
  <si>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</si>
  <si>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</si>
  <si>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</si>
  <si>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</si>
  <si>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</si>
  <si>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</si>
  <si>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</si>
  <si>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</si>
  <si>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</si>
  <si>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</si>
  <si>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</si>
  <si>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</si>
  <si>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</si>
  <si>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</si>
  <si>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</si>
  <si>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</si>
  <si>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</si>
  <si>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</si>
  <si>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</si>
  <si>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</si>
  <si>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</si>
  <si>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</si>
  <si>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</si>
  <si>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</si>
  <si>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</si>
  <si>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</si>
  <si>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</si>
  <si>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</si>
  <si>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</si>
  <si>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</si>
  <si>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</si>
  <si>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</si>
  <si>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</si>
  <si>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</si>
  <si>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</si>
  <si>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</si>
  <si>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</si>
  <si>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</si>
  <si>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</si>
  <si>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</si>
  <si>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</si>
  <si>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</si>
  <si>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</si>
  <si>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</si>
  <si>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</si>
  <si>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</si>
  <si>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</si>
  <si>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</si>
  <si>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</si>
  <si>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</si>
  <si>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</si>
  <si>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</si>
  <si>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</si>
  <si>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</si>
  <si>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</si>
  <si>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</si>
  <si>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</si>
  <si>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</si>
  <si>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</si>
  <si>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</si>
  <si>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</si>
  <si>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</si>
  <si>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</si>
  <si>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</si>
  <si>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</si>
  <si>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</si>
  <si>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</si>
  <si>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</si>
  <si>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</si>
  <si>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</si>
  <si>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</si>
  <si>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</si>
  <si>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</si>
  <si>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</si>
  <si>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</si>
  <si>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</si>
  <si>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</si>
  <si>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</si>
  <si>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</si>
  <si>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</si>
  <si>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</si>
  <si>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</si>
  <si>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</si>
  <si>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</si>
  <si>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</si>
  <si>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</si>
  <si>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</si>
  <si>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</si>
  <si>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</si>
  <si>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</si>
  <si>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</si>
  <si>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</si>
  <si>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</si>
  <si>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</si>
  <si>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</si>
  <si>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</si>
  <si>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</si>
  <si>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</si>
  <si>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</si>
  <si>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</si>
  <si>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</si>
  <si>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</si>
  <si>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</si>
  <si>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</si>
  <si>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</si>
  <si>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</si>
  <si>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</si>
  <si>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</si>
  <si>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</si>
  <si>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</si>
  <si>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</si>
  <si>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</si>
  <si>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</si>
  <si>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</si>
  <si>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</si>
  <si>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</si>
  <si>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</si>
  <si>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</si>
  <si>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</si>
  <si>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</si>
  <si>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</si>
  <si>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</si>
  <si>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</si>
  <si>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</si>
  <si>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</si>
  <si>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</si>
  <si>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</si>
  <si>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</si>
  <si>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</si>
  <si>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</si>
  <si>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</si>
  <si>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</si>
  <si>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</si>
  <si>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</si>
  <si>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</si>
  <si>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</si>
  <si>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</si>
  <si>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</si>
  <si>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</si>
  <si>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</si>
  <si>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</si>
  <si>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</si>
  <si>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</si>
  <si>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</si>
  <si>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</si>
  <si>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</si>
  <si>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</si>
  <si>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</si>
  <si>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</si>
  <si>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</si>
  <si>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</si>
  <si>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</si>
  <si>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</si>
  <si>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</si>
  <si>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</si>
  <si>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</si>
  <si>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</si>
  <si>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</si>
  <si>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</si>
  <si>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</si>
  <si>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</si>
  <si>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</si>
  <si>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</si>
  <si>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</si>
  <si>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</si>
  <si>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</si>
  <si>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</si>
  <si>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</si>
  <si>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</si>
  <si>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</si>
  <si>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</si>
  <si>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</si>
  <si>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</si>
  <si>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</si>
  <si>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</si>
  <si>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</si>
  <si>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</si>
  <si>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</si>
  <si>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</si>
  <si>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</si>
  <si>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</si>
  <si>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</si>
  <si>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</si>
  <si>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</si>
  <si>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</si>
  <si>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</si>
  <si>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</si>
  <si>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</si>
  <si>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</si>
  <si>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</si>
  <si>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</si>
  <si>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</si>
  <si>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</si>
  <si>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</si>
  <si>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</si>
  <si>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</si>
  <si>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</si>
  <si>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</si>
  <si>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</si>
  <si>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</si>
  <si>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</si>
  <si>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</si>
  <si>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</si>
  <si>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</si>
  <si>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</si>
  <si>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</si>
  <si>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</si>
  <si>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</si>
  <si>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</si>
  <si>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</si>
  <si>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</si>
  <si>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</si>
  <si>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</si>
  <si>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</si>
  <si>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</si>
  <si>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</si>
  <si>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</si>
  <si>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</si>
  <si>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</si>
  <si>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</si>
  <si>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</si>
  <si>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</si>
  <si>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</si>
  <si>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</si>
  <si>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</si>
  <si>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</si>
  <si>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</si>
  <si>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</si>
  <si>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</si>
  <si>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</si>
  <si>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</si>
  <si>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</si>
  <si>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</si>
  <si>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</si>
  <si>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</si>
  <si>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</si>
  <si>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</si>
  <si>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</si>
  <si>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</si>
  <si>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</si>
  <si>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</si>
  <si>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</si>
  <si>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</si>
  <si>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</si>
  <si>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</si>
  <si>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</si>
  <si>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</si>
  <si>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</si>
  <si>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</si>
  <si>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</si>
  <si>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</si>
  <si>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</si>
  <si>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</si>
  <si>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</si>
  <si>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</si>
  <si>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</si>
  <si>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</si>
  <si>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</si>
  <si>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</si>
  <si>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</si>
  <si>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</si>
  <si>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</si>
  <si>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</si>
  <si>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</si>
  <si>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</si>
  <si>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</si>
  <si>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</si>
  <si>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</si>
  <si>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</si>
  <si>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</si>
  <si>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</si>
  <si>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</si>
  <si>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</si>
  <si>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</si>
  <si>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</si>
  <si>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</si>
  <si>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</si>
  <si>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</si>
  <si>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</si>
  <si>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</si>
  <si>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</si>
  <si>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</si>
  <si>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</si>
  <si>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</si>
  <si>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</si>
  <si>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</si>
  <si>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</si>
  <si>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</si>
  <si>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</si>
  <si>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</si>
  <si>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</si>
  <si>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</si>
  <si>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</si>
  <si>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</si>
  <si>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</si>
  <si>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</si>
  <si>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</si>
  <si>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</si>
  <si>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</si>
  <si>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</si>
  <si>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</si>
  <si>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</si>
  <si>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</si>
  <si>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</si>
  <si>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</si>
  <si>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</si>
  <si>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</si>
  <si>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</si>
  <si>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</si>
  <si>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</si>
  <si>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</si>
  <si>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</si>
  <si>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</si>
  <si>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</si>
  <si>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</si>
  <si>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</si>
  <si>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</si>
  <si>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</si>
  <si>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</si>
  <si>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</si>
  <si>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</si>
  <si>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</si>
  <si>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</si>
  <si>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</si>
  <si>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</si>
  <si>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</si>
  <si>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</si>
  <si>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</si>
  <si>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</si>
  <si>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</si>
  <si>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</si>
  <si>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</si>
  <si>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</si>
  <si>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</si>
  <si>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</si>
  <si>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</si>
  <si>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</si>
  <si>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</si>
  <si>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</si>
  <si>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</si>
  <si>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</si>
  <si>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</si>
  <si>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</si>
  <si>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</si>
  <si>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</si>
  <si>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</si>
  <si>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</si>
  <si>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</si>
  <si>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</si>
  <si>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</si>
  <si>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</si>
  <si>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</si>
  <si>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</si>
  <si>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</si>
  <si>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</si>
  <si>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</si>
  <si>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</si>
  <si>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</si>
  <si>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</si>
  <si>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</si>
  <si>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</si>
  <si>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</si>
  <si>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</si>
  <si>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</si>
  <si>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</si>
  <si>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</si>
  <si>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</si>
  <si>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</si>
  <si>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</si>
  <si>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</si>
  <si>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</si>
  <si>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</si>
  <si>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</si>
  <si>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</si>
  <si>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</si>
  <si>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</si>
  <si>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</si>
  <si>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</si>
  <si>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</si>
  <si>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</si>
  <si>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</si>
  <si>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</si>
  <si>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</si>
  <si>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</si>
  <si>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</si>
  <si>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</si>
  <si>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</si>
  <si>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</si>
  <si>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</si>
  <si>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</si>
  <si>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</si>
  <si>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</si>
  <si>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</si>
  <si>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</si>
  <si>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</si>
  <si>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</si>
  <si>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</si>
  <si>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</si>
  <si>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</si>
  <si>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</si>
  <si>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</si>
  <si>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</si>
  <si>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</si>
  <si>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</si>
  <si>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</si>
  <si>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</si>
  <si>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</si>
  <si>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</si>
  <si>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</si>
  <si>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</si>
  <si>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</si>
  <si>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</si>
  <si>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</si>
  <si>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</si>
  <si>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</si>
  <si>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</si>
  <si>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</si>
  <si>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</si>
  <si>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</si>
  <si>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</si>
  <si>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</si>
  <si>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</si>
  <si>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</si>
  <si>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</si>
  <si>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</si>
  <si>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</si>
  <si>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</si>
  <si>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</si>
  <si>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</si>
  <si>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</si>
  <si>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</si>
  <si>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</si>
  <si>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</si>
  <si>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</si>
  <si>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</si>
  <si>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</si>
  <si>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</si>
  <si>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</si>
  <si>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</si>
  <si>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</si>
  <si>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</si>
  <si>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</si>
  <si>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</si>
  <si>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</si>
  <si>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</si>
  <si>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</si>
  <si>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</si>
  <si>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</si>
  <si>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</si>
  <si>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</si>
  <si>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</si>
  <si>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</si>
  <si>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</si>
  <si>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</si>
  <si>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</si>
  <si>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</si>
  <si>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</si>
  <si>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</si>
  <si>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</si>
  <si>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</si>
  <si>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</si>
  <si>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</si>
  <si>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</si>
  <si>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</si>
  <si>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</si>
  <si>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</si>
  <si>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</si>
  <si>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</si>
  <si>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</si>
  <si>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</si>
  <si>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</si>
  <si>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</si>
  <si>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</si>
  <si>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</si>
  <si>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</si>
  <si>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</si>
  <si>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</si>
  <si>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</si>
  <si>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</si>
  <si>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</si>
  <si>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</si>
  <si>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</si>
  <si>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</si>
  <si>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</si>
  <si>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</si>
  <si>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</si>
  <si>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</si>
  <si>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</si>
  <si>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</si>
  <si>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</si>
  <si>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</si>
  <si>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</si>
  <si>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</si>
  <si>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</si>
  <si>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</si>
  <si>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</si>
  <si>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</si>
  <si>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</si>
  <si>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</si>
  <si>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</si>
  <si>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</si>
  <si>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</si>
  <si>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</si>
  <si>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</si>
  <si>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</si>
  <si>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</si>
  <si>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</si>
  <si>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</si>
  <si>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</si>
  <si>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</si>
  <si>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</si>
  <si>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</si>
  <si>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</si>
  <si>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</si>
  <si>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</si>
  <si>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</si>
  <si>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</si>
  <si>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</si>
  <si>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</si>
  <si>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</si>
  <si>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</si>
  <si>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</si>
  <si>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</si>
  <si>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</si>
  <si>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</si>
  <si>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</si>
  <si>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</si>
  <si>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</si>
  <si>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</si>
  <si>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</si>
  <si>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</si>
  <si>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</si>
  <si>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</si>
  <si>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</si>
  <si>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</si>
  <si>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</si>
  <si>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</si>
  <si>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</si>
  <si>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</si>
  <si>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</si>
  <si>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</si>
  <si>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</si>
  <si>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</si>
  <si>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</si>
  <si>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</si>
  <si>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</si>
  <si>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</si>
  <si>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</si>
  <si>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</si>
  <si>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</si>
  <si>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</si>
  <si>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</si>
  <si>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</si>
  <si>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</si>
  <si>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</si>
  <si>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</si>
  <si>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</si>
  <si>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</si>
  <si>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</si>
  <si>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</si>
  <si>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</si>
  <si>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</si>
  <si>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</si>
  <si>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</si>
  <si>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</si>
  <si>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</si>
  <si>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</si>
  <si>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</si>
  <si>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</si>
  <si>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</si>
  <si>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</si>
  <si>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</si>
  <si>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</si>
  <si>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</si>
  <si>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</si>
  <si>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</si>
  <si>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</si>
  <si>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</si>
  <si>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</si>
  <si>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</si>
  <si>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</si>
  <si>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</si>
  <si>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</si>
  <si>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</si>
  <si>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</si>
  <si>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</si>
  <si>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</si>
  <si>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</si>
  <si>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</si>
  <si>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</si>
  <si>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</si>
  <si>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</si>
  <si>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</si>
  <si>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</si>
  <si>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</si>
  <si>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</si>
  <si>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</si>
  <si>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</si>
  <si>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</si>
  <si>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</si>
  <si>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</si>
  <si>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</si>
  <si>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</si>
  <si>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</si>
  <si>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</si>
  <si>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</si>
  <si>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</si>
  <si>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</si>
  <si>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</si>
  <si>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</si>
  <si>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</si>
  <si>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</si>
  <si>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</si>
  <si>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</si>
  <si>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</si>
  <si>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</si>
  <si>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</si>
  <si>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</si>
  <si>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</si>
  <si>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</si>
  <si>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</si>
  <si>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</si>
  <si>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</si>
  <si>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</si>
  <si>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</si>
  <si>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</si>
  <si>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</si>
  <si>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</si>
  <si>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</si>
  <si>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</si>
  <si>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</si>
  <si>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</si>
  <si>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</si>
  <si>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</si>
  <si>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</si>
  <si>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</si>
  <si>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</si>
  <si>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</si>
  <si>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</si>
  <si>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</si>
  <si>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</si>
  <si>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</si>
  <si>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</si>
  <si>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</si>
  <si>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</si>
  <si>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</si>
  <si>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</si>
  <si>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</si>
  <si>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</si>
  <si>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</si>
  <si>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</si>
  <si>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</si>
  <si>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</si>
  <si>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</si>
  <si>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</si>
  <si>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</si>
  <si>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</si>
  <si>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</si>
  <si>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</si>
  <si>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</si>
  <si>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</si>
  <si>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</si>
  <si>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</si>
  <si>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</si>
  <si>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</si>
  <si>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</si>
  <si>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</si>
  <si>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</si>
  <si>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</si>
  <si>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</si>
  <si>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</si>
  <si>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</si>
  <si>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</si>
  <si>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</si>
  <si>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</si>
  <si>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</si>
  <si>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</si>
  <si>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</si>
  <si>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</si>
  <si>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</si>
  <si>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</si>
  <si>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</si>
  <si>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</si>
  <si>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</si>
  <si>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</si>
  <si>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</si>
  <si>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</si>
  <si>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</si>
  <si>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</si>
  <si>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</si>
  <si>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</si>
  <si>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</si>
  <si>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</si>
  <si>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</si>
  <si>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</si>
  <si>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</si>
  <si>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</si>
  <si>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</si>
  <si>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</si>
  <si>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</si>
  <si>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</si>
  <si>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</si>
  <si>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</si>
  <si>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</si>
  <si>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</si>
  <si>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</si>
  <si>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</si>
  <si>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</si>
  <si>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</si>
  <si>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</si>
  <si>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</si>
  <si>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</si>
  <si>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</si>
  <si>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</si>
  <si>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</si>
  <si>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</si>
  <si>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</si>
  <si>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</si>
  <si>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</si>
  <si>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</si>
  <si>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</si>
  <si>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</si>
  <si>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</si>
  <si>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</si>
  <si>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</si>
  <si>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</si>
  <si>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</si>
  <si>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</si>
  <si>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</si>
  <si>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</si>
  <si>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</si>
  <si>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</si>
  <si>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</si>
  <si>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</si>
  <si>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</si>
  <si>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</si>
  <si>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</si>
  <si>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</si>
  <si>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</si>
  <si>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</si>
  <si>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</si>
  <si>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</si>
  <si>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</si>
  <si>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</si>
  <si>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</si>
  <si>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</si>
  <si>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</si>
  <si>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</si>
  <si>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</si>
  <si>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</si>
  <si>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</si>
  <si>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</si>
  <si>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</si>
  <si>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</si>
  <si>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</si>
  <si>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</si>
  <si>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</si>
  <si>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</si>
  <si>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</si>
  <si>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</si>
  <si>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</si>
  <si>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</si>
  <si>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</si>
  <si>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</si>
  <si>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</si>
  <si>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</si>
  <si>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</si>
  <si>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</si>
  <si>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</si>
  <si>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</si>
  <si>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</si>
  <si>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</si>
  <si>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</si>
  <si>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</si>
  <si>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</si>
  <si>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</si>
  <si>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</si>
  <si>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</si>
  <si>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</si>
  <si>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</si>
  <si>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</si>
  <si>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</si>
  <si>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</si>
  <si>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</si>
  <si>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</si>
  <si>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</si>
  <si>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</si>
  <si>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</si>
  <si>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</si>
  <si>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</si>
  <si>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</si>
  <si>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</si>
  <si>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</si>
  <si>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</si>
  <si>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</si>
  <si>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</si>
  <si>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</si>
  <si>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</si>
  <si>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</si>
  <si>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</si>
  <si>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</si>
  <si>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</si>
  <si>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</si>
  <si>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</si>
  <si>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</si>
  <si>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</si>
  <si>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</si>
  <si>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</si>
  <si>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</si>
  <si>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</si>
  <si>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</si>
  <si>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</si>
  <si>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</si>
  <si>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</si>
  <si>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</si>
  <si>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</si>
  <si>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</si>
  <si>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</si>
  <si>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</si>
  <si>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</si>
  <si>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</si>
  <si>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</si>
  <si>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</si>
  <si>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</si>
  <si>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</si>
  <si>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</si>
  <si>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</si>
  <si>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</si>
  <si>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</si>
  <si>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</si>
  <si>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</si>
  <si>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</si>
  <si>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</si>
  <si>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</si>
  <si>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</si>
  <si>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</si>
  <si>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</si>
  <si>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</si>
  <si>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</si>
  <si>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</si>
  <si>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</si>
  <si>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</si>
  <si>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</si>
  <si>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</si>
  <si>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</si>
  <si>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</si>
  <si>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</si>
  <si>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</si>
  <si>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</si>
  <si>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</si>
  <si>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</si>
  <si>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</si>
  <si>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</si>
  <si>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</si>
  <si>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</si>
  <si>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</si>
  <si>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</si>
  <si>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</si>
  <si>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</si>
  <si>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</si>
  <si>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</si>
  <si>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</si>
  <si>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</si>
  <si>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</si>
  <si>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</si>
  <si>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</si>
  <si>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</si>
  <si>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</si>
  <si>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</si>
  <si>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</si>
  <si>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</si>
  <si>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</si>
  <si>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</si>
  <si>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</si>
  <si>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</si>
  <si>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</si>
  <si>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</si>
  <si>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</si>
  <si>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</si>
  <si>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</si>
  <si>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</si>
  <si>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</si>
  <si>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</si>
  <si>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</si>
  <si>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</si>
  <si>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</si>
  <si>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</si>
  <si>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</si>
  <si>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</si>
  <si>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</si>
  <si>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</si>
  <si>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</si>
  <si>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</si>
  <si>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</si>
  <si>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</si>
  <si>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</si>
  <si>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</si>
  <si>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</si>
  <si>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</si>
  <si>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</si>
  <si>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</si>
  <si>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</si>
  <si>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</si>
  <si>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</si>
  <si>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</si>
  <si>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</si>
  <si>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</si>
  <si>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</si>
  <si>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</si>
  <si>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</si>
  <si>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</si>
  <si>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</si>
  <si>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</si>
  <si>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</si>
  <si>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</si>
  <si>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</si>
  <si>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</si>
  <si>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</si>
  <si>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</si>
  <si>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</si>
  <si>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</si>
  <si>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</si>
  <si>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</si>
  <si>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</si>
  <si>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</si>
  <si>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</si>
  <si>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</si>
  <si>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</si>
  <si>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</si>
  <si>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</si>
  <si>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</si>
  <si>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</si>
  <si>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</si>
  <si>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</si>
  <si>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</si>
  <si>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</si>
  <si>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</si>
  <si>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</si>
  <si>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</si>
  <si>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</si>
  <si>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</si>
  <si>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</si>
  <si>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</si>
  <si>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</si>
  <si>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</si>
  <si>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</si>
  <si>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</si>
  <si>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</si>
  <si>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</si>
  <si>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</si>
  <si>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</si>
  <si>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</si>
  <si>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</si>
  <si>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</si>
  <si>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</si>
  <si>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</si>
  <si>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</si>
  <si>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</si>
  <si>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</si>
  <si>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</si>
  <si>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</si>
  <si>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</si>
  <si>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</si>
  <si>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</si>
  <si>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</si>
  <si>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</si>
  <si>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</si>
  <si>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</si>
  <si>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</si>
  <si>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</si>
  <si>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</si>
  <si>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</si>
  <si>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</si>
  <si>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</si>
  <si>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</si>
  <si>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</si>
  <si>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</si>
  <si>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</si>
  <si>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</si>
  <si>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</si>
  <si>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</si>
  <si>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</si>
  <si>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</si>
  <si>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</si>
  <si>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</si>
  <si>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</si>
  <si>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</si>
  <si>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</si>
  <si>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</si>
  <si>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</si>
  <si>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</si>
  <si>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</si>
  <si>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</si>
  <si>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</si>
  <si>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</si>
  <si>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</si>
  <si>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</si>
  <si>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</si>
  <si>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</si>
  <si>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</si>
  <si>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</si>
  <si>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</si>
  <si>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</si>
  <si>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</si>
  <si>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</si>
  <si>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</si>
  <si>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</si>
  <si>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</si>
  <si>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</si>
  <si>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</si>
  <si>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</si>
  <si>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</si>
  <si>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</si>
  <si>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</si>
  <si>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</si>
  <si>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</si>
  <si>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</si>
  <si>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</si>
  <si>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</si>
  <si>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</si>
  <si>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</si>
  <si>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</si>
  <si>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</si>
  <si>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</si>
  <si>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</si>
  <si>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</si>
  <si>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</si>
  <si>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</si>
  <si>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</si>
  <si>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</si>
  <si>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</si>
  <si>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</si>
  <si>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</si>
  <si>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</si>
  <si>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</si>
  <si>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</si>
  <si>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</si>
  <si>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</si>
  <si>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</si>
  <si>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</si>
  <si>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</si>
  <si>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</si>
  <si>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</si>
  <si>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</si>
  <si>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</si>
  <si>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</si>
  <si>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</si>
  <si>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</si>
  <si>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</si>
  <si>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</si>
  <si>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</si>
  <si>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</si>
  <si>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</si>
  <si>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</si>
  <si>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</si>
  <si>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</si>
  <si>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</si>
  <si>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</si>
  <si>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</si>
  <si>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</si>
  <si>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</si>
  <si>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</si>
  <si>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</si>
  <si>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</si>
  <si>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</si>
  <si>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</si>
  <si>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</si>
  <si>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</si>
  <si>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</si>
  <si>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</si>
  <si>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</si>
  <si>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</si>
  <si>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</si>
  <si>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</si>
  <si>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</si>
  <si>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</si>
  <si>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</si>
  <si>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</si>
  <si>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</si>
  <si>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</si>
  <si>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</si>
  <si>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</si>
  <si>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</si>
  <si>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</si>
  <si>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</si>
  <si>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</si>
  <si>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</si>
  <si>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</si>
  <si>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</si>
  <si>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</si>
  <si>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</si>
  <si>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</si>
  <si>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</si>
  <si>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</si>
  <si>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</si>
  <si>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</si>
  <si>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</si>
  <si>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</si>
  <si>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</si>
  <si>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</si>
  <si>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</si>
  <si>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</si>
  <si>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</si>
  <si>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</si>
  <si>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</si>
  <si>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</si>
  <si>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</si>
  <si>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</si>
  <si>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</si>
  <si>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</si>
  <si>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</si>
  <si>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</si>
  <si>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</si>
  <si>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</si>
  <si>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</si>
  <si>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</si>
  <si>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</si>
  <si>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</si>
  <si>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</si>
  <si>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</si>
  <si>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</si>
  <si>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</si>
  <si>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</si>
  <si>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</si>
  <si>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</si>
  <si>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</si>
  <si>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</si>
  <si>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</si>
  <si>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</si>
  <si>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</si>
  <si>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</si>
  <si>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</si>
  <si>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</si>
  <si>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</si>
  <si>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</si>
  <si>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</si>
  <si>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</si>
  <si>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</si>
  <si>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</si>
  <si>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</si>
  <si>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</si>
  <si>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</si>
  <si>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</si>
  <si>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</si>
  <si>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</si>
  <si>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</si>
  <si>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</si>
  <si>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</si>
  <si>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</si>
  <si>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</si>
  <si>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</si>
  <si>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</si>
  <si>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</si>
  <si>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</si>
  <si>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</si>
  <si>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</si>
  <si>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</si>
  <si>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</si>
  <si>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</si>
  <si>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</si>
  <si>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</si>
  <si>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</si>
  <si>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</si>
  <si>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</si>
  <si>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</si>
  <si>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</si>
  <si>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</si>
  <si>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</si>
  <si>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</si>
  <si>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</si>
  <si>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</si>
  <si>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</si>
  <si>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</si>
  <si>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</si>
  <si>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</si>
  <si>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</si>
  <si>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</si>
  <si>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</si>
  <si>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</si>
  <si>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</si>
  <si>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</si>
  <si>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</si>
  <si>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</si>
  <si>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</si>
  <si>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</si>
  <si>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</si>
  <si>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</si>
  <si>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</si>
  <si>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</si>
  <si>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</si>
  <si>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</si>
  <si>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</si>
  <si>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</si>
  <si>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</si>
  <si>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</si>
  <si>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</si>
  <si>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</si>
  <si>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</si>
  <si>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</si>
  <si>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</si>
  <si>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</si>
  <si>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</si>
  <si>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</si>
  <si>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</si>
  <si>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</si>
  <si>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</si>
  <si>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</si>
  <si>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</si>
  <si>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</si>
  <si>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</si>
  <si>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</si>
  <si>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</si>
  <si>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</si>
  <si>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</si>
  <si>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</si>
  <si>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</si>
  <si>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</si>
  <si>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</si>
  <si>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</si>
  <si>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</si>
  <si>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</si>
  <si>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</si>
  <si>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</si>
  <si>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</si>
  <si>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</si>
  <si>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</si>
  <si>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</si>
  <si>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</si>
  <si>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</si>
  <si>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</si>
  <si>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</si>
  <si>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</si>
  <si>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</si>
  <si>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</si>
  <si>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</si>
  <si>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</si>
  <si>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</si>
  <si>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</si>
  <si>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</si>
  <si>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</si>
  <si>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</si>
  <si>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</si>
  <si>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</si>
  <si>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</si>
  <si>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</si>
  <si>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</si>
  <si>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</si>
  <si>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</si>
  <si>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</si>
  <si>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</si>
  <si>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</si>
  <si>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</si>
  <si>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</si>
  <si>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</si>
  <si>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</si>
  <si>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</si>
  <si>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</si>
  <si>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</si>
  <si>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</si>
  <si>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</si>
  <si>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</si>
  <si>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</si>
  <si>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</si>
  <si>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</si>
  <si>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</si>
  <si>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</si>
  <si>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</si>
  <si>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</si>
  <si>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</si>
  <si>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</si>
  <si>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</si>
  <si>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</si>
  <si>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</si>
  <si>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</si>
  <si>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</si>
  <si>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</si>
  <si>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</si>
  <si>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</si>
  <si>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</si>
  <si>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</si>
  <si>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</si>
  <si>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</si>
  <si>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</si>
  <si>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</si>
  <si>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</si>
  <si>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</si>
  <si>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</si>
  <si>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</si>
  <si>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</si>
  <si>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</si>
  <si>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</si>
  <si>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</si>
  <si>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</si>
  <si>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</si>
  <si>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</si>
  <si>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</si>
  <si>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</si>
  <si>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</si>
  <si>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</si>
  <si>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</si>
  <si>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</si>
  <si>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</si>
  <si>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</si>
  <si>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</si>
  <si>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</si>
  <si>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</si>
  <si>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</si>
  <si>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</si>
  <si>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</si>
  <si>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</si>
  <si>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</si>
  <si>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</si>
  <si>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</si>
  <si>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</si>
  <si>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</si>
  <si>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</si>
  <si>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</si>
  <si>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</si>
  <si>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</si>
  <si>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</si>
  <si>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</si>
  <si>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</si>
  <si>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</si>
  <si>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</si>
  <si>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</si>
  <si>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</si>
  <si>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</si>
  <si>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</si>
  <si>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</si>
  <si>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</si>
  <si>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</si>
  <si>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</si>
  <si>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</si>
  <si>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</si>
  <si>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</si>
  <si>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</si>
  <si>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</si>
  <si>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</si>
  <si>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</si>
  <si>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</si>
  <si>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</si>
  <si>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</si>
  <si>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</si>
  <si>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</si>
  <si>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</si>
  <si>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</si>
  <si>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</si>
  <si>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</si>
  <si>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</si>
  <si>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</si>
  <si>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</si>
  <si>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</si>
  <si>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</si>
  <si>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</si>
  <si>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</si>
  <si>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</si>
  <si>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</si>
  <si>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</si>
  <si>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</si>
  <si>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</si>
  <si>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</si>
  <si>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</si>
  <si>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</si>
  <si>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</si>
  <si>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</si>
  <si>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</si>
  <si>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</si>
  <si>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</si>
  <si>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</si>
  <si>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</si>
  <si>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</si>
  <si>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</si>
  <si>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</si>
  <si>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</si>
  <si>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</si>
  <si>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</si>
  <si>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</si>
  <si>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</si>
  <si>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</si>
  <si>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</si>
  <si>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</si>
  <si>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</si>
  <si>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</si>
  <si>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</si>
  <si>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</si>
  <si>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</si>
  <si>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</si>
  <si>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</si>
  <si>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</si>
  <si>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</si>
  <si>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</si>
  <si>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</si>
  <si>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</si>
  <si>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</si>
  <si>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</si>
  <si>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</si>
  <si>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</si>
  <si>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</si>
  <si>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</si>
  <si>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</si>
  <si>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</si>
  <si>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</si>
  <si>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</si>
  <si>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</si>
  <si>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</si>
  <si>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</si>
  <si>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</si>
  <si>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</si>
  <si>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</si>
  <si>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</si>
  <si>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</si>
  <si>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</si>
  <si>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</si>
  <si>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</si>
  <si>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</si>
  <si>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</si>
  <si>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</si>
  <si>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</si>
  <si>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</si>
  <si>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</si>
  <si>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</si>
  <si>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</si>
  <si>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</si>
  <si>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</si>
  <si>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</si>
  <si>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</si>
  <si>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</si>
  <si>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</si>
  <si>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</si>
  <si>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</si>
  <si>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</si>
  <si>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</si>
  <si>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</si>
  <si>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</si>
  <si>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</si>
  <si>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</si>
  <si>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</si>
  <si>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</si>
  <si>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</si>
  <si>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</si>
  <si>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</si>
  <si>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</si>
  <si>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</si>
  <si>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</si>
  <si>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</si>
  <si>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</si>
  <si>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</si>
  <si>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</si>
  <si>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</si>
  <si>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</si>
  <si>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</si>
  <si>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</si>
  <si>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</si>
  <si>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</si>
  <si>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</si>
  <si>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</si>
  <si>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</si>
  <si>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</si>
  <si>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</si>
  <si>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</si>
  <si>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</si>
  <si>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</si>
  <si>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</si>
  <si>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</si>
  <si>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</si>
  <si>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</si>
  <si>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</si>
  <si>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</si>
  <si>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</si>
  <si>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</si>
  <si>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</si>
  <si>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</si>
  <si>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</si>
  <si>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</si>
  <si>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</si>
  <si>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</si>
  <si>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</si>
  <si>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</si>
  <si>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</si>
  <si>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</si>
  <si>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</si>
  <si>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</si>
  <si>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</si>
  <si>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</si>
  <si>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</si>
  <si>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</si>
  <si>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</si>
  <si>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</si>
  <si>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</si>
  <si>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</si>
  <si>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</si>
  <si>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</si>
  <si>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</si>
  <si>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</si>
  <si>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</si>
  <si>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</si>
  <si>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</si>
  <si>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</si>
  <si>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</si>
  <si>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</si>
  <si>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</si>
  <si>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</si>
  <si>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</si>
  <si>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</si>
  <si>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</si>
  <si>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</si>
  <si>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</si>
  <si>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</si>
  <si>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</si>
  <si>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</si>
  <si>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</si>
  <si>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</si>
  <si>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</si>
  <si>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</si>
  <si>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</si>
  <si>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</si>
  <si>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</si>
  <si>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</si>
  <si>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</si>
  <si>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</si>
  <si>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</si>
  <si>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</si>
  <si>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</si>
  <si>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</si>
  <si>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</si>
  <si>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</si>
  <si>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</si>
  <si>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</si>
  <si>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</si>
  <si>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</si>
  <si>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</si>
  <si>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</si>
  <si>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</si>
  <si>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</si>
  <si>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</si>
  <si>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</si>
  <si>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与级别开发程度一致</t>
  </si>
  <si>
    <t>按公示增长率计算</t>
  </si>
  <si>
    <t>中心城区以外</t>
  </si>
  <si>
    <t>一般</t>
  </si>
  <si>
    <t>较好</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</si>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</sst>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13;&#34892;&#39318;&#37117;&#26426;&#22330;&#25903;&#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3">
          <cell r="E13">
            <v>52890</v>
          </cell>
        </row>
      </sheetData>
      <sheetData sheetId="11" refreshError="1"/>
      <sheetData sheetId="12" refreshError="1"/>
      <sheetData sheetId="13">
        <row r="19">
          <cell r="F19">
            <v>1274.76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2022年10月26日</v>
      </c>
    </row>
    <row r="13" spans="1:2" s="2762" customFormat="1">
      <c r="A13" s="2760" t="s">
        <v>742</v>
      </c>
      <c r="B13" s="2761"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44860</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f>[3]项目基本情况!$E$13</f>
        <v>52890</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22</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420</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333</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44860</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44860</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44860</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44860</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44860</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2022年10月26日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44860</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8" t="s">
        <v>2128</v>
      </c>
      <c r="H57" s="2222" t="str">
        <f>项目基本情况!B37</f>
        <v>七级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8"/>
      <c r="H58" s="2222" t="str">
        <f>项目基本情况!B37</f>
        <v>七级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8"/>
      <c r="H59" s="2222" t="str">
        <f>项目基本情况!B37</f>
        <v>七级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七级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七级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8" t="s">
        <v>2128</v>
      </c>
      <c r="H52" s="2222" t="str">
        <f>项目基本情况!B37</f>
        <v>七级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8"/>
      <c r="H53" s="2222" t="str">
        <f>项目基本情况!B37</f>
        <v>七级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8"/>
      <c r="H54" s="2222" t="str">
        <f>项目基本情况!B37</f>
        <v>七级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七级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七级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D34" sqref="D3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1274.76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907</v>
      </c>
      <c r="C2" s="2266" t="s">
        <v>2172</v>
      </c>
      <c r="D2" s="473" t="s">
        <v>2173</v>
      </c>
      <c r="E2" s="2267" t="s">
        <v>886</v>
      </c>
      <c r="F2" s="473" t="s">
        <v>2174</v>
      </c>
      <c r="G2" s="473" t="str">
        <f>IF(E2="商业",项目基本情况!B37,IF(E2="办公",项目基本情况!C37,IF(E2="住宅",项目基本情况!D37,IF(E2="工业",项目基本情况!E37,项目基本情况!F37))))</f>
        <v>七级</v>
      </c>
      <c r="H2" s="473" t="s">
        <v>2175</v>
      </c>
      <c r="I2" s="473" t="str">
        <f>IF(E2="商业",项目基本情况!B38,IF(E2="办公",项目基本情况!C38,IF(E2="住宅",项目基本情况!D38,IF(E2="工业",项目基本情况!E38,项目基本情况!F38))))</f>
        <v>Ⅶ-顺2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10681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7115</v>
      </c>
      <c r="C3" s="2266" t="s">
        <v>2178</v>
      </c>
      <c r="D3" s="473" t="s">
        <v>2179</v>
      </c>
      <c r="E3" s="2267" t="s">
        <v>2823</v>
      </c>
      <c r="F3" s="2270" t="s">
        <v>3095</v>
      </c>
      <c r="G3" s="2271">
        <v>2.5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8419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7115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8740</v>
      </c>
      <c r="D5" s="2274">
        <f>ROUND(C6*C17+C20,0)</f>
        <v>8740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6276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8740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6031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8740</v>
      </c>
      <c r="N7" s="473">
        <f>SUMPRODUCT((因素修正幅度!B190:B233=I2)*(因素修正幅度!C3:G3=E2)*(因素修正幅度!C190:G233))</f>
        <v>0.13</v>
      </c>
      <c r="O7" s="2259"/>
      <c r="P7" s="2259"/>
      <c r="Q7" s="2259"/>
      <c r="R7" s="477">
        <v>6</v>
      </c>
      <c r="S7" s="2269"/>
      <c r="T7" s="477">
        <f t="shared" si="0"/>
        <v>0</v>
      </c>
      <c r="U7" s="2269"/>
      <c r="V7" s="477">
        <f t="shared" si="1"/>
        <v>0</v>
      </c>
      <c r="W7" s="2293" t="s">
        <v>2193</v>
      </c>
      <c r="X7" s="498" t="str">
        <f>G2</f>
        <v>七级</v>
      </c>
      <c r="Y7" s="498" t="s">
        <v>2194</v>
      </c>
      <c r="Z7" s="498">
        <f>G3</f>
        <v>2.5</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3097</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59" t="s">
        <v>2241</v>
      </c>
      <c r="E23" s="2843">
        <v>44197</v>
      </c>
      <c r="F23" s="2359" t="s">
        <v>2242</v>
      </c>
      <c r="G23" s="2842">
        <f>项目基本情况!D3</f>
        <v>44860</v>
      </c>
      <c r="H23" s="2361" t="s">
        <v>3098</v>
      </c>
      <c r="I23" s="2360" t="str">
        <f>IF(H23="季度增幅（自定义）",SUMIF(N25:N28,E2,O25:O28),"")</f>
        <v/>
      </c>
      <c r="J23" s="2982" t="s">
        <v>3099</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f>项目基本情况!E15</f>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1.0162</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907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7112</v>
      </c>
      <c r="D33" s="2420">
        <f>'[3]数据-汇总表'!$F$19</f>
        <v>1274.76</v>
      </c>
      <c r="E33" s="2421">
        <f>ROUND(C33*D33/10000,0)</f>
        <v>907</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1778</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4267</v>
      </c>
      <c r="D37" s="2420"/>
      <c r="E37" s="473">
        <f>ROUND(C37*D37/10000,0)</f>
        <v>0</v>
      </c>
      <c r="F37" s="473">
        <f>SUMIF(修正!A57:A68,G2,修正!B57:B68)</f>
        <v>0.6</v>
      </c>
      <c r="G37" s="473">
        <f>ROUND(IF(E2="工业",C37*$M$42,C37*$M$41),0)</f>
        <v>1067</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2134</v>
      </c>
      <c r="D38" s="2420"/>
      <c r="E38" s="473">
        <f t="shared" ref="E38:E42" si="4">ROUND(C38*D38/10000,0)</f>
        <v>0</v>
      </c>
      <c r="F38" s="473">
        <f>SUMIF(修正!A57:A68,G2,修正!C57:C68)</f>
        <v>0.3</v>
      </c>
      <c r="G38" s="473">
        <f>ROUND(IF(E2="工业",C38*$M$42,C38*$M$41),0)</f>
        <v>534</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1778</v>
      </c>
      <c r="D39" s="2420"/>
      <c r="E39" s="473">
        <f t="shared" si="4"/>
        <v>0</v>
      </c>
      <c r="F39" s="473">
        <f>SUMIF(修正!A57:A68,G2,修正!D57:D68)</f>
        <v>0.25</v>
      </c>
      <c r="G39" s="473">
        <f>ROUND(IF(E2="工业",C39*$M$42,C39*$M$41),0)</f>
        <v>445</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1778</v>
      </c>
      <c r="D40" s="2420"/>
      <c r="E40" s="473">
        <f t="shared" si="4"/>
        <v>0</v>
      </c>
      <c r="F40" s="495">
        <f>SUMIF(修正!A57:A68,G2,修正!E57:E68)</f>
        <v>0.25</v>
      </c>
      <c r="G40" s="473">
        <f>ROUND(IF(E2="工业",C40*$M$42,C40*$M$41),0)</f>
        <v>445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1.0162</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0</v>
      </c>
      <c r="E51" s="2458">
        <f>ROUND(SUM(D51:D59),4)</f>
        <v>1.6199999999999999E-2</v>
      </c>
      <c r="F51" s="2329">
        <f>IF(E2="商业",SUMIF(L1:L12,G2,N1:N12),"——")</f>
        <v>0.13</v>
      </c>
      <c r="G51" s="2459">
        <f>H51</f>
        <v>1.95E-2</v>
      </c>
      <c r="H51" s="2460">
        <f t="shared" ref="H51:H59" si="8">IFERROR(ROUNDDOWN($F$51*I51/2,4),"——")</f>
        <v>1.95E-2</v>
      </c>
      <c r="I51" s="499">
        <v>0.3</v>
      </c>
      <c r="J51" s="493">
        <f t="shared" ref="J51:J59" si="9">K51+$G51</f>
        <v>3.9E-2</v>
      </c>
      <c r="K51" s="493">
        <f t="shared" ref="K51:K59" si="10">$L51+$G51</f>
        <v>1.95E-2</v>
      </c>
      <c r="L51" s="493">
        <v>0</v>
      </c>
      <c r="M51" s="493">
        <f t="shared" ref="M51:N59" si="11">L51-$G51</f>
        <v>-1.95E-2</v>
      </c>
      <c r="N51" s="493">
        <f t="shared" si="11"/>
        <v>-3.9E-2</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0</v>
      </c>
      <c r="E52" s="2461"/>
      <c r="F52" s="2402"/>
      <c r="G52" s="2459">
        <f t="shared" ref="G52:G59" si="12">H52</f>
        <v>1.43E-2</v>
      </c>
      <c r="H52" s="2460">
        <f t="shared" si="8"/>
        <v>1.43E-2</v>
      </c>
      <c r="I52" s="499">
        <v>0.22</v>
      </c>
      <c r="J52" s="493">
        <f t="shared" si="9"/>
        <v>2.86E-2</v>
      </c>
      <c r="K52" s="493">
        <f t="shared" si="10"/>
        <v>1.43E-2</v>
      </c>
      <c r="L52" s="493">
        <v>0</v>
      </c>
      <c r="M52" s="493">
        <f t="shared" si="11"/>
        <v>-1.43E-2</v>
      </c>
      <c r="N52" s="493">
        <f t="shared" si="11"/>
        <v>-2.86E-2</v>
      </c>
    </row>
    <row r="53" spans="1:14" s="2259" customFormat="1" ht="36">
      <c r="A53" s="2462" t="s">
        <v>2814</v>
      </c>
      <c r="B53" s="499">
        <f>估价对象房地状况!C19</f>
        <v>0</v>
      </c>
      <c r="C53" s="2325" t="s">
        <v>3101</v>
      </c>
      <c r="D53" s="499">
        <f t="shared" si="7"/>
        <v>7.7999999999999996E-3</v>
      </c>
      <c r="E53" s="2461"/>
      <c r="F53" s="2402"/>
      <c r="G53" s="2459">
        <f t="shared" si="12"/>
        <v>7.7999999999999996E-3</v>
      </c>
      <c r="H53" s="2460">
        <f t="shared" si="8"/>
        <v>7.7999999999999996E-3</v>
      </c>
      <c r="I53" s="499">
        <v>0.12</v>
      </c>
      <c r="J53" s="493">
        <f t="shared" si="9"/>
        <v>1.5599999999999999E-2</v>
      </c>
      <c r="K53" s="493">
        <f t="shared" si="10"/>
        <v>7.7999999999999996E-3</v>
      </c>
      <c r="L53" s="493">
        <v>0</v>
      </c>
      <c r="M53" s="493">
        <f t="shared" si="11"/>
        <v>-7.7999999999999996E-3</v>
      </c>
      <c r="N53" s="493">
        <f t="shared" si="11"/>
        <v>-1.5599999999999999E-2</v>
      </c>
    </row>
    <row r="54" spans="1:14" s="2259" customFormat="1" ht="36.75">
      <c r="A54" s="2455" t="s">
        <v>2293</v>
      </c>
      <c r="B54" s="2463" t="s">
        <v>2294</v>
      </c>
      <c r="C54" s="2325" t="s">
        <v>3100</v>
      </c>
      <c r="D54" s="499">
        <f t="shared" si="7"/>
        <v>0</v>
      </c>
      <c r="E54" s="2461"/>
      <c r="F54" s="2402"/>
      <c r="G54" s="2459">
        <f t="shared" si="12"/>
        <v>3.2000000000000002E-3</v>
      </c>
      <c r="H54" s="2460">
        <f t="shared" si="8"/>
        <v>3.2000000000000002E-3</v>
      </c>
      <c r="I54" s="499">
        <v>0.05</v>
      </c>
      <c r="J54" s="493">
        <f t="shared" si="9"/>
        <v>6.4000000000000003E-3</v>
      </c>
      <c r="K54" s="493">
        <f t="shared" si="10"/>
        <v>3.2000000000000002E-3</v>
      </c>
      <c r="L54" s="493">
        <v>0</v>
      </c>
      <c r="M54" s="493">
        <f t="shared" si="11"/>
        <v>-3.2000000000000002E-3</v>
      </c>
      <c r="N54" s="493">
        <f t="shared" si="11"/>
        <v>-6.4000000000000003E-3</v>
      </c>
    </row>
    <row r="55" spans="1:14" s="2259" customFormat="1" ht="24">
      <c r="A55" s="2455" t="s">
        <v>2295</v>
      </c>
      <c r="B55" s="499">
        <f>估价对象房地状况!C24</f>
        <v>0</v>
      </c>
      <c r="C55" s="2325" t="s">
        <v>3102</v>
      </c>
      <c r="D55" s="499">
        <f t="shared" si="7"/>
        <v>-5.1999999999999998E-3</v>
      </c>
      <c r="E55" s="2461"/>
      <c r="F55" s="2402"/>
      <c r="G55" s="2459">
        <f t="shared" si="12"/>
        <v>5.1999999999999998E-3</v>
      </c>
      <c r="H55" s="2460">
        <f t="shared" si="8"/>
        <v>5.1999999999999998E-3</v>
      </c>
      <c r="I55" s="499">
        <v>0.08</v>
      </c>
      <c r="J55" s="493">
        <f t="shared" si="9"/>
        <v>1.04E-2</v>
      </c>
      <c r="K55" s="493">
        <f t="shared" si="10"/>
        <v>5.1999999999999998E-3</v>
      </c>
      <c r="L55" s="493">
        <v>0</v>
      </c>
      <c r="M55" s="493">
        <f t="shared" si="11"/>
        <v>-5.1999999999999998E-3</v>
      </c>
      <c r="N55" s="493">
        <f t="shared" si="11"/>
        <v>-1.04E-2</v>
      </c>
    </row>
    <row r="56" spans="1:14" s="2259" customFormat="1" ht="24">
      <c r="A56" s="2455" t="s">
        <v>2296</v>
      </c>
      <c r="B56" s="2464" t="s">
        <v>2297</v>
      </c>
      <c r="C56" s="2325" t="s">
        <v>3101</v>
      </c>
      <c r="D56" s="499">
        <f t="shared" si="7"/>
        <v>3.2000000000000002E-3</v>
      </c>
      <c r="E56" s="2461"/>
      <c r="F56" s="2402"/>
      <c r="G56" s="2459">
        <f t="shared" si="12"/>
        <v>3.2000000000000002E-3</v>
      </c>
      <c r="H56" s="2460">
        <f t="shared" si="8"/>
        <v>3.2000000000000002E-3</v>
      </c>
      <c r="I56" s="499">
        <v>0.05</v>
      </c>
      <c r="J56" s="493">
        <f t="shared" si="9"/>
        <v>6.4000000000000003E-3</v>
      </c>
      <c r="K56" s="493">
        <f t="shared" si="10"/>
        <v>3.2000000000000002E-3</v>
      </c>
      <c r="L56" s="493">
        <v>0</v>
      </c>
      <c r="M56" s="493">
        <f t="shared" si="11"/>
        <v>-3.2000000000000002E-3</v>
      </c>
      <c r="N56" s="493">
        <f t="shared" si="11"/>
        <v>-6.4000000000000003E-3</v>
      </c>
    </row>
    <row r="57" spans="1:14" s="2259" customFormat="1" ht="25.5">
      <c r="A57" s="2465" t="s">
        <v>2298</v>
      </c>
      <c r="B57" s="999" t="str">
        <f>估价对象房地状况!C21</f>
        <v>估价对象所在区域公共配套设施齐备情况</v>
      </c>
      <c r="C57" s="2325" t="s">
        <v>3100</v>
      </c>
      <c r="D57" s="499">
        <f t="shared" si="7"/>
        <v>0</v>
      </c>
      <c r="E57" s="2461"/>
      <c r="F57" s="2402"/>
      <c r="G57" s="2459">
        <f t="shared" si="12"/>
        <v>3.2000000000000002E-3</v>
      </c>
      <c r="H57" s="2460">
        <f t="shared" si="8"/>
        <v>3.2000000000000002E-3</v>
      </c>
      <c r="I57" s="499">
        <v>0.05</v>
      </c>
      <c r="J57" s="493">
        <f t="shared" si="9"/>
        <v>6.4000000000000003E-3</v>
      </c>
      <c r="K57" s="493">
        <f t="shared" si="10"/>
        <v>3.2000000000000002E-3</v>
      </c>
      <c r="L57" s="493">
        <v>0</v>
      </c>
      <c r="M57" s="493">
        <f t="shared" si="11"/>
        <v>-3.2000000000000002E-3</v>
      </c>
      <c r="N57" s="493">
        <f t="shared" si="11"/>
        <v>-6.4000000000000003E-3</v>
      </c>
    </row>
    <row r="58" spans="1:14" s="2259" customFormat="1" ht="24">
      <c r="A58" s="2465" t="s">
        <v>2299</v>
      </c>
      <c r="B58" s="499" t="str">
        <f>估价对象房地状况!C22</f>
        <v>估价对象所在区域基础设施水平</v>
      </c>
      <c r="C58" s="2325" t="s">
        <v>3103</v>
      </c>
      <c r="D58" s="499">
        <f t="shared" si="7"/>
        <v>1.04E-2</v>
      </c>
      <c r="E58" s="2461"/>
      <c r="F58" s="2402"/>
      <c r="G58" s="2459">
        <f t="shared" si="12"/>
        <v>5.1999999999999998E-3</v>
      </c>
      <c r="H58" s="2460">
        <f t="shared" si="8"/>
        <v>5.1999999999999998E-3</v>
      </c>
      <c r="I58" s="499">
        <v>0.08</v>
      </c>
      <c r="J58" s="493">
        <f t="shared" si="9"/>
        <v>1.04E-2</v>
      </c>
      <c r="K58" s="493">
        <f t="shared" si="10"/>
        <v>5.1999999999999998E-3</v>
      </c>
      <c r="L58" s="493">
        <v>0</v>
      </c>
      <c r="M58" s="493">
        <f t="shared" si="11"/>
        <v>-5.1999999999999998E-3</v>
      </c>
      <c r="N58" s="493">
        <f t="shared" si="11"/>
        <v>-1.04E-2</v>
      </c>
    </row>
    <row r="59" spans="1:14" s="2259" customFormat="1" ht="26.25" thickBot="1">
      <c r="A59" s="2466" t="s">
        <v>2300</v>
      </c>
      <c r="B59" s="2467" t="str">
        <f>估价对象房地状况!C20</f>
        <v>区域自然环境：；人文环境；综合评价环境状况一般</v>
      </c>
      <c r="C59" s="2325" t="s">
        <v>3100</v>
      </c>
      <c r="D59" s="499">
        <f t="shared" si="7"/>
        <v>0</v>
      </c>
      <c r="E59" s="487"/>
      <c r="F59" s="2402"/>
      <c r="G59" s="2459">
        <f t="shared" si="12"/>
        <v>3.2000000000000002E-3</v>
      </c>
      <c r="H59" s="2460">
        <f t="shared" si="8"/>
        <v>3.2000000000000002E-3</v>
      </c>
      <c r="I59" s="2468">
        <v>0.05</v>
      </c>
      <c r="J59" s="493">
        <f t="shared" si="9"/>
        <v>6.4000000000000003E-3</v>
      </c>
      <c r="K59" s="493">
        <f t="shared" si="10"/>
        <v>3.2000000000000002E-3</v>
      </c>
      <c r="L59" s="493">
        <v>0</v>
      </c>
      <c r="M59" s="493">
        <f t="shared" si="11"/>
        <v>-3.2000000000000002E-3</v>
      </c>
      <c r="N59" s="493">
        <f t="shared" si="11"/>
        <v>-6.4000000000000003E-3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七级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13"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13"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492"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5" zoomScaleNormal="85" workbookViewId="0">
      <selection activeCell="H18" sqref="H18"/>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907</v>
      </c>
      <c r="C2" s="2543" t="s">
        <v>2332</v>
      </c>
      <c r="D2" s="2543" t="s">
        <v>2333</v>
      </c>
      <c r="E2" s="2544">
        <f ca="1">SUMIF(E6:E13,"&lt;&gt;#ref!",E6:E13)</f>
        <v>1274.76</v>
      </c>
      <c r="F2" s="2542"/>
      <c r="G2" s="2542"/>
      <c r="H2" s="2542"/>
      <c r="I2" s="2542"/>
      <c r="J2" s="2542"/>
      <c r="K2" s="2542"/>
      <c r="L2" s="2542"/>
      <c r="M2" s="2542"/>
      <c r="N2" s="2542"/>
      <c r="O2" s="2542"/>
      <c r="P2" s="2542"/>
    </row>
    <row r="3" spans="1:16" ht="15.75">
      <c r="A3" s="2543" t="s">
        <v>2334</v>
      </c>
      <c r="B3" s="1704">
        <f ca="1">ROUND(B2*10000/E2,0)</f>
        <v>7115</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907</v>
      </c>
      <c r="C6" s="2543" t="s">
        <v>2332</v>
      </c>
      <c r="D6" s="2542"/>
      <c r="E6" s="2544">
        <f ca="1">SUMIF(INDIRECT("'"&amp;A6&amp;"'"&amp;"!C:C"),"建筑面积",INDIRECT("'"&amp;A6&amp;"'"&amp;"!D:D"))</f>
        <v>1274.76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44860</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44860</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44860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2022-10-26T07:46:22Z</dcterms:modified>
</cp:coreProperties>
</file>