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共享文件夹\电子版测算表\1司法房山长阳芭蕾雨悦都\"/>
    </mc:Choice>
  </mc:AlternateContent>
  <xr:revisionPtr revIDLastSave="0" documentId="13_ncr:1_{3B508396-9822-489E-83CE-2EBC74CDE3F2}" xr6:coauthVersionLast="47" xr6:coauthVersionMax="47" xr10:uidLastSave="{00000000-0000-0000-0000-000000000000}"/>
  <bookViews>
    <workbookView xWindow="-120" yWindow="-120" windowWidth="20730" windowHeight="11160" tabRatio="899" firstSheet="13"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租金" sheetId="81" r:id="rId26"/>
    <sheet name="比较法-住宅" sheetId="21" r:id="rId27"/>
    <sheet name="Sheet3" sheetId="86" r:id="rId28"/>
    <sheet name="成交" sheetId="85" r:id="rId29"/>
    <sheet name="法拍" sheetId="82"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G47" i="21" l="1"/>
  <c r="I47" i="21"/>
  <c r="E47" i="21"/>
  <c r="I33" i="21"/>
  <c r="G33" i="21"/>
  <c r="E33" i="21"/>
  <c r="F121" i="82"/>
  <c r="D121" i="82"/>
  <c r="D98" i="82" l="1"/>
  <c r="F74" i="82"/>
  <c r="D74" i="82"/>
  <c r="I7" i="21"/>
  <c r="G7" i="21"/>
  <c r="E7" i="21"/>
  <c r="I6" i="21"/>
  <c r="G6" i="21"/>
  <c r="E6" i="21"/>
  <c r="C5" i="21"/>
  <c r="I5" i="21"/>
  <c r="G5" i="21"/>
  <c r="E5" i="21"/>
  <c r="B59" i="1"/>
  <c r="Q5" i="81"/>
  <c r="Q3" i="81" l="1"/>
  <c r="Q4" i="81"/>
  <c r="Q2" i="81"/>
  <c r="Q8" i="81" s="1"/>
  <c r="F20" i="67"/>
  <c r="D106" i="21"/>
  <c r="F34" i="21"/>
  <c r="AA34" i="21"/>
  <c r="D125" i="21"/>
  <c r="E125" i="21"/>
  <c r="F43" i="21" s="1"/>
  <c r="D113" i="21"/>
  <c r="E113" i="21"/>
  <c r="D110" i="21"/>
  <c r="E110" i="21"/>
  <c r="F110" i="21"/>
  <c r="F36" i="21"/>
  <c r="AA36" i="21" s="1"/>
  <c r="D123" i="21"/>
  <c r="F42" i="21"/>
  <c r="AA42" i="21" s="1"/>
  <c r="D101" i="21"/>
  <c r="E101" i="21" s="1"/>
  <c r="F101" i="21" s="1"/>
  <c r="F32" i="21"/>
  <c r="AA32" i="21" s="1"/>
  <c r="H34" i="21"/>
  <c r="AB34" i="21" s="1"/>
  <c r="T47" i="21"/>
  <c r="H36" i="21"/>
  <c r="AB36" i="21" s="1"/>
  <c r="H42" i="21"/>
  <c r="AB42" i="21" s="1"/>
  <c r="H32" i="21"/>
  <c r="AB32" i="21"/>
  <c r="E106" i="21"/>
  <c r="F106" i="21" s="1"/>
  <c r="J34" i="21"/>
  <c r="AC34" i="21" s="1"/>
  <c r="J36" i="21"/>
  <c r="AC36" i="21" s="1"/>
  <c r="J42" i="21"/>
  <c r="AC42" i="21" s="1"/>
  <c r="J32" i="21"/>
  <c r="W32" i="21" s="1"/>
  <c r="C17" i="9"/>
  <c r="F51" i="82"/>
  <c r="D51" i="82"/>
  <c r="D28" i="82"/>
  <c r="D3" i="82"/>
  <c r="D5" i="9"/>
  <c r="D17" i="9" s="1"/>
  <c r="O19" i="1"/>
  <c r="O21" i="1" s="1"/>
  <c r="N6" i="1" s="1"/>
  <c r="Y6" i="1" s="1"/>
  <c r="F19" i="6"/>
  <c r="D3" i="4"/>
  <c r="C60" i="78"/>
  <c r="D60" i="78" s="1"/>
  <c r="B51" i="78"/>
  <c r="B54" i="78" s="1"/>
  <c r="D54" i="78" s="1"/>
  <c r="D53" i="78"/>
  <c r="D52" i="78"/>
  <c r="D51" i="78" s="1"/>
  <c r="B56" i="78"/>
  <c r="B62" i="78"/>
  <c r="G14" i="73"/>
  <c r="F14" i="73"/>
  <c r="E14" i="73"/>
  <c r="AB30" i="79"/>
  <c r="AA30" i="79"/>
  <c r="Z30" i="79"/>
  <c r="N30" i="79"/>
  <c r="M30" i="79"/>
  <c r="P30" i="79" s="1"/>
  <c r="L30" i="79"/>
  <c r="I30" i="79"/>
  <c r="AD30" i="79"/>
  <c r="AC5" i="79"/>
  <c r="AB5" i="79"/>
  <c r="AA5" i="79"/>
  <c r="AD5" i="79"/>
  <c r="Z5" i="79"/>
  <c r="Y5" i="79"/>
  <c r="O5" i="79"/>
  <c r="N5" i="79"/>
  <c r="M5" i="79"/>
  <c r="P5" i="79"/>
  <c r="L5" i="79"/>
  <c r="K5" i="79"/>
  <c r="I5" i="79"/>
  <c r="AC6" i="79"/>
  <c r="AB6" i="79"/>
  <c r="AA6" i="79"/>
  <c r="AD6" i="79" s="1"/>
  <c r="Z6" i="79"/>
  <c r="Y6" i="79"/>
  <c r="O6" i="79"/>
  <c r="N6" i="79"/>
  <c r="M6" i="79"/>
  <c r="L6" i="79"/>
  <c r="K6" i="79"/>
  <c r="I6" i="79"/>
  <c r="AB31" i="79"/>
  <c r="AA31" i="79"/>
  <c r="Z31" i="79"/>
  <c r="N31" i="79"/>
  <c r="M31" i="79"/>
  <c r="P31" i="79"/>
  <c r="L31" i="79"/>
  <c r="I31" i="79"/>
  <c r="I32" i="79"/>
  <c r="I33" i="79"/>
  <c r="AD32" i="79" s="1"/>
  <c r="I34" i="79"/>
  <c r="I35" i="79"/>
  <c r="I36" i="79"/>
  <c r="I37" i="79"/>
  <c r="I38" i="79"/>
  <c r="I39" i="79"/>
  <c r="I40" i="79"/>
  <c r="I41" i="79"/>
  <c r="I42" i="79"/>
  <c r="I43" i="79"/>
  <c r="I44" i="79"/>
  <c r="G15" i="73"/>
  <c r="F15" i="73"/>
  <c r="E15" i="73"/>
  <c r="G16" i="73"/>
  <c r="F16" i="73"/>
  <c r="E16" i="73"/>
  <c r="AB32" i="79"/>
  <c r="AA32" i="79"/>
  <c r="Z32" i="79"/>
  <c r="N32" i="79"/>
  <c r="M32" i="79"/>
  <c r="P32" i="79"/>
  <c r="L32" i="79"/>
  <c r="I45" i="79"/>
  <c r="AC7" i="79"/>
  <c r="AB7" i="79"/>
  <c r="AA7" i="79"/>
  <c r="AD7" i="79" s="1"/>
  <c r="Z7" i="79"/>
  <c r="Y7" i="79"/>
  <c r="O7" i="79"/>
  <c r="N7" i="79"/>
  <c r="M7" i="79"/>
  <c r="P7" i="79" s="1"/>
  <c r="L7" i="79"/>
  <c r="K7" i="79"/>
  <c r="I7" i="79"/>
  <c r="I10" i="79"/>
  <c r="N34" i="79"/>
  <c r="M34" i="79"/>
  <c r="P34" i="79"/>
  <c r="L34" i="79"/>
  <c r="N35" i="79"/>
  <c r="M35" i="79"/>
  <c r="L35" i="79"/>
  <c r="O9" i="79"/>
  <c r="N9" i="79"/>
  <c r="M9" i="79"/>
  <c r="P9" i="79"/>
  <c r="L9" i="79"/>
  <c r="K9" i="79"/>
  <c r="O10" i="79"/>
  <c r="N10" i="79"/>
  <c r="M10" i="79"/>
  <c r="P10" i="79"/>
  <c r="L10" i="79"/>
  <c r="K10" i="79"/>
  <c r="P35" i="79"/>
  <c r="G17" i="73"/>
  <c r="F17" i="73"/>
  <c r="E17" i="73"/>
  <c r="L36" i="79"/>
  <c r="M36" i="79"/>
  <c r="N36" i="79"/>
  <c r="L37" i="79"/>
  <c r="M37" i="79"/>
  <c r="P37" i="79" s="1"/>
  <c r="N37" i="79"/>
  <c r="L38" i="79"/>
  <c r="M38" i="79"/>
  <c r="N38" i="79"/>
  <c r="I11" i="79"/>
  <c r="I12" i="79"/>
  <c r="I13" i="79"/>
  <c r="K11" i="79"/>
  <c r="L11" i="79"/>
  <c r="M11" i="79"/>
  <c r="P11" i="79"/>
  <c r="N11" i="79"/>
  <c r="O11" i="79"/>
  <c r="K12" i="79"/>
  <c r="L12" i="79"/>
  <c r="M12" i="79"/>
  <c r="P12" i="79"/>
  <c r="N12" i="79"/>
  <c r="O12" i="79"/>
  <c r="K13" i="79"/>
  <c r="L13" i="79"/>
  <c r="M13" i="79"/>
  <c r="P13" i="79"/>
  <c r="N13" i="79"/>
  <c r="O13" i="79"/>
  <c r="B10" i="74"/>
  <c r="AH5" i="71"/>
  <c r="AG5" i="71"/>
  <c r="AE5" i="71"/>
  <c r="AF5" i="7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c r="AD7" i="71"/>
  <c r="AB7" i="71"/>
  <c r="AA7" i="71"/>
  <c r="Y7" i="71"/>
  <c r="Z7" i="71" s="1"/>
  <c r="X7" i="71"/>
  <c r="Q7" i="71"/>
  <c r="P7" i="71"/>
  <c r="O7" i="71"/>
  <c r="N7" i="71"/>
  <c r="B3" i="78"/>
  <c r="F13" i="1"/>
  <c r="G13" i="1" s="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S6" i="43" s="1"/>
  <c r="AB46" i="79"/>
  <c r="AA46" i="79"/>
  <c r="Z46" i="79"/>
  <c r="W46" i="79"/>
  <c r="N46" i="79"/>
  <c r="M46" i="79"/>
  <c r="P46" i="79"/>
  <c r="L46" i="79"/>
  <c r="I46" i="79"/>
  <c r="AD46" i="79" s="1"/>
  <c r="AB45" i="79"/>
  <c r="AA45" i="79"/>
  <c r="Z45" i="79"/>
  <c r="N45" i="79"/>
  <c r="U45" i="79"/>
  <c r="M45" i="79"/>
  <c r="L45" i="79"/>
  <c r="AB44" i="79"/>
  <c r="AA44" i="79"/>
  <c r="Z44" i="79"/>
  <c r="N44" i="79"/>
  <c r="U44" i="79" s="1"/>
  <c r="M44" i="79"/>
  <c r="L44" i="79"/>
  <c r="AB43" i="79"/>
  <c r="AA43" i="79"/>
  <c r="Z43" i="79"/>
  <c r="N43" i="79"/>
  <c r="M43" i="79"/>
  <c r="L43" i="79"/>
  <c r="AB42" i="79"/>
  <c r="AB28" i="79" s="1"/>
  <c r="AA42" i="79"/>
  <c r="Z42" i="79"/>
  <c r="N42" i="79"/>
  <c r="M42" i="79"/>
  <c r="L42" i="79"/>
  <c r="AB41" i="79"/>
  <c r="AA41" i="79"/>
  <c r="Z41" i="79"/>
  <c r="N41" i="79"/>
  <c r="M41" i="79"/>
  <c r="L41" i="79"/>
  <c r="S41" i="79" s="1"/>
  <c r="AB40" i="79"/>
  <c r="AA40" i="79"/>
  <c r="Z40" i="79"/>
  <c r="N40" i="79"/>
  <c r="U40" i="79"/>
  <c r="M40" i="79"/>
  <c r="L40" i="79"/>
  <c r="S40" i="79" s="1"/>
  <c r="AB39" i="79"/>
  <c r="AA39" i="79"/>
  <c r="Z39" i="79"/>
  <c r="N39" i="79"/>
  <c r="M39" i="79"/>
  <c r="L39" i="79"/>
  <c r="AB33" i="79"/>
  <c r="AA33" i="79"/>
  <c r="AA28" i="79" s="1"/>
  <c r="AD28" i="79" s="1"/>
  <c r="Z33" i="79"/>
  <c r="N33" i="79"/>
  <c r="M33" i="79"/>
  <c r="L33" i="79"/>
  <c r="G28" i="79"/>
  <c r="F28" i="79"/>
  <c r="I28" i="79"/>
  <c r="E28" i="79"/>
  <c r="AC21" i="79"/>
  <c r="AB21" i="79"/>
  <c r="AA21" i="79"/>
  <c r="AD21" i="79" s="1"/>
  <c r="Z21" i="79"/>
  <c r="Y21" i="79"/>
  <c r="W21" i="79"/>
  <c r="M21" i="79"/>
  <c r="P21" i="79"/>
  <c r="O21" i="79"/>
  <c r="N21" i="79"/>
  <c r="L21" i="79"/>
  <c r="K21" i="79"/>
  <c r="I21" i="79"/>
  <c r="AC20" i="79"/>
  <c r="AB20" i="79"/>
  <c r="AA20" i="79"/>
  <c r="AD20" i="79" s="1"/>
  <c r="Z20" i="79"/>
  <c r="Z3" i="79" s="1"/>
  <c r="Y20" i="79"/>
  <c r="O20" i="79"/>
  <c r="V20" i="79" s="1"/>
  <c r="N20" i="79"/>
  <c r="M20" i="79"/>
  <c r="L20" i="79"/>
  <c r="S20" i="79"/>
  <c r="K20" i="79"/>
  <c r="R20" i="79"/>
  <c r="I20" i="79"/>
  <c r="AC19" i="79"/>
  <c r="AB19" i="79"/>
  <c r="AA19" i="79"/>
  <c r="AD19" i="79" s="1"/>
  <c r="Z19" i="79"/>
  <c r="Y19" i="79"/>
  <c r="O19" i="79"/>
  <c r="N19" i="79"/>
  <c r="M19" i="79"/>
  <c r="L19" i="79"/>
  <c r="K19" i="79"/>
  <c r="R19" i="79" s="1"/>
  <c r="I19" i="79"/>
  <c r="AC18" i="79"/>
  <c r="AB18" i="79"/>
  <c r="AA18" i="79"/>
  <c r="Z18" i="79"/>
  <c r="Y18" i="79"/>
  <c r="O18" i="79"/>
  <c r="V18" i="79" s="1"/>
  <c r="N18" i="79"/>
  <c r="M18" i="79"/>
  <c r="L18" i="79"/>
  <c r="K18" i="79"/>
  <c r="I18" i="79"/>
  <c r="AA17" i="79"/>
  <c r="AD17" i="79" s="1"/>
  <c r="AC17" i="79"/>
  <c r="AB17" i="79"/>
  <c r="Z17" i="79"/>
  <c r="Y17" i="79"/>
  <c r="O17" i="79"/>
  <c r="N17" i="79"/>
  <c r="M17" i="79"/>
  <c r="L17" i="79"/>
  <c r="S17" i="79"/>
  <c r="K17" i="79"/>
  <c r="I17" i="79"/>
  <c r="AC16" i="79"/>
  <c r="AB16" i="79"/>
  <c r="AA16" i="79"/>
  <c r="AD16" i="79"/>
  <c r="Z16" i="79"/>
  <c r="Y16" i="79"/>
  <c r="O16" i="79"/>
  <c r="N16" i="79"/>
  <c r="M16" i="79"/>
  <c r="L16" i="79"/>
  <c r="S16" i="79" s="1"/>
  <c r="K16" i="79"/>
  <c r="I16" i="79"/>
  <c r="AC15" i="79"/>
  <c r="AB15" i="79"/>
  <c r="AA15" i="79"/>
  <c r="AD15" i="79"/>
  <c r="Z15" i="79"/>
  <c r="Y15" i="79"/>
  <c r="O15" i="79"/>
  <c r="N15" i="79"/>
  <c r="M15" i="79"/>
  <c r="L15" i="79"/>
  <c r="S15" i="79" s="1"/>
  <c r="K15" i="79"/>
  <c r="I15" i="79"/>
  <c r="AC14" i="79"/>
  <c r="AB14" i="79"/>
  <c r="AA14" i="79"/>
  <c r="AD14" i="79"/>
  <c r="Z14" i="79"/>
  <c r="Y14" i="79"/>
  <c r="O14" i="79"/>
  <c r="N14" i="79"/>
  <c r="M14" i="79"/>
  <c r="L14" i="79"/>
  <c r="K14" i="79"/>
  <c r="I14" i="79"/>
  <c r="AC8" i="79"/>
  <c r="AB8" i="79"/>
  <c r="AB3" i="79" s="1"/>
  <c r="AA8" i="79"/>
  <c r="AD8" i="79"/>
  <c r="Z8" i="79"/>
  <c r="Y8" i="79"/>
  <c r="O8" i="79"/>
  <c r="N8" i="79"/>
  <c r="M8" i="79"/>
  <c r="L8" i="79"/>
  <c r="K8" i="79"/>
  <c r="I8"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0" i="79"/>
  <c r="T6" i="79"/>
  <c r="W6" i="79" s="1"/>
  <c r="V15" i="79"/>
  <c r="V19" i="79"/>
  <c r="S19" i="79"/>
  <c r="U17" i="79"/>
  <c r="U43" i="79"/>
  <c r="AD44" i="79"/>
  <c r="U42" i="79"/>
  <c r="Y3" i="79"/>
  <c r="S18" i="79"/>
  <c r="S34" i="79"/>
  <c r="U41" i="79"/>
  <c r="S43" i="79"/>
  <c r="K3" i="79"/>
  <c r="T15" i="79"/>
  <c r="W15" i="79" s="1"/>
  <c r="S7" i="79"/>
  <c r="P8" i="79"/>
  <c r="T36" i="79"/>
  <c r="W36" i="79" s="1"/>
  <c r="T37" i="79"/>
  <c r="W37" i="79" s="1"/>
  <c r="T45" i="79"/>
  <c r="W45" i="79" s="1"/>
  <c r="U37" i="79"/>
  <c r="S10" i="79"/>
  <c r="U10" i="79"/>
  <c r="P18" i="79"/>
  <c r="V13" i="79"/>
  <c r="P16" i="79"/>
  <c r="T16" i="79"/>
  <c r="W16" i="79" s="1"/>
  <c r="P20" i="79"/>
  <c r="T20" i="79"/>
  <c r="W20" i="79"/>
  <c r="P14" i="79"/>
  <c r="T11" i="79"/>
  <c r="W11" i="79" s="1"/>
  <c r="S8" i="79"/>
  <c r="U11" i="79"/>
  <c r="P17" i="79"/>
  <c r="P15" i="79"/>
  <c r="E93" i="43"/>
  <c r="B91" i="43"/>
  <c r="N1" i="43"/>
  <c r="M2" i="43"/>
  <c r="N2" i="43"/>
  <c r="M3" i="43"/>
  <c r="N3" i="43"/>
  <c r="M4" i="43"/>
  <c r="N4" i="43"/>
  <c r="M5" i="43"/>
  <c r="N5" i="43"/>
  <c r="F93" i="43"/>
  <c r="H100" i="43" s="1"/>
  <c r="N10" i="43"/>
  <c r="N11" i="43"/>
  <c r="M6" i="43"/>
  <c r="N6" i="43"/>
  <c r="M7" i="43"/>
  <c r="N7" i="43"/>
  <c r="M8" i="43"/>
  <c r="N8" i="43"/>
  <c r="M9" i="43"/>
  <c r="N9" i="43"/>
  <c r="M10" i="43"/>
  <c r="M11" i="43"/>
  <c r="M12" i="43"/>
  <c r="E21" i="43"/>
  <c r="G18" i="43"/>
  <c r="P33" i="79"/>
  <c r="P40" i="79"/>
  <c r="P42" i="79"/>
  <c r="P44" i="79"/>
  <c r="P39" i="79"/>
  <c r="P41" i="79"/>
  <c r="P43" i="79"/>
  <c r="P45" i="79"/>
  <c r="E25" i="78"/>
  <c r="E24" i="78"/>
  <c r="F23" i="78"/>
  <c r="G23" i="78" s="1"/>
  <c r="E23" i="78"/>
  <c r="E22" i="78"/>
  <c r="G22" i="78" s="1"/>
  <c r="F12" i="78"/>
  <c r="B18" i="78" s="1"/>
  <c r="F11" i="78"/>
  <c r="H99" i="43"/>
  <c r="B15" i="78"/>
  <c r="G19" i="73"/>
  <c r="F19" i="73"/>
  <c r="E19" i="73"/>
  <c r="G20" i="73"/>
  <c r="F20" i="73"/>
  <c r="E20" i="73"/>
  <c r="G21" i="73"/>
  <c r="F21" i="73"/>
  <c r="E21" i="73"/>
  <c r="G13" i="73"/>
  <c r="F13" i="73"/>
  <c r="E13" i="73"/>
  <c r="AH8" i="71"/>
  <c r="AG8" i="71"/>
  <c r="AE8" i="71"/>
  <c r="AF8" i="71" s="1"/>
  <c r="AD8" i="71"/>
  <c r="Q8" i="71"/>
  <c r="P8" i="71"/>
  <c r="O8" i="71"/>
  <c r="N8" i="71"/>
  <c r="R43" i="77"/>
  <c r="R40" i="77"/>
  <c r="R41" i="77" s="1"/>
  <c r="F36" i="77"/>
  <c r="R34" i="77"/>
  <c r="R33" i="77"/>
  <c r="C30" i="77"/>
  <c r="R27" i="77"/>
  <c r="M24" i="77"/>
  <c r="R23" i="77"/>
  <c r="C23" i="77"/>
  <c r="D23" i="77"/>
  <c r="R22" i="77"/>
  <c r="R21" i="77"/>
  <c r="R24" i="77" s="1"/>
  <c r="N19" i="77"/>
  <c r="R18" i="77"/>
  <c r="D18" i="77"/>
  <c r="R17" i="77"/>
  <c r="D17" i="77"/>
  <c r="R16" i="77"/>
  <c r="R19" i="77" s="1"/>
  <c r="D16" i="77"/>
  <c r="D15" i="77"/>
  <c r="M14" i="77"/>
  <c r="N14" i="77"/>
  <c r="D14" i="77"/>
  <c r="R13" i="77"/>
  <c r="R12" i="77"/>
  <c r="D12" i="77"/>
  <c r="D11" i="77" s="1"/>
  <c r="E11" i="77" s="1"/>
  <c r="E7" i="77" s="1"/>
  <c r="C27" i="77" s="1"/>
  <c r="R11" i="77"/>
  <c r="R10" i="77"/>
  <c r="D10" i="77"/>
  <c r="R9" i="77"/>
  <c r="D9" i="77"/>
  <c r="R8" i="77"/>
  <c r="R7" i="77"/>
  <c r="R4" i="77"/>
  <c r="R3" i="77"/>
  <c r="C29" i="77"/>
  <c r="R14" i="77"/>
  <c r="R25" i="77" s="1"/>
  <c r="D26" i="77"/>
  <c r="E23" i="77"/>
  <c r="E26" i="77" s="1"/>
  <c r="AH9" i="71"/>
  <c r="AG9" i="71"/>
  <c r="AE9" i="71"/>
  <c r="AF9" i="71"/>
  <c r="AD9" i="71"/>
  <c r="Q9" i="71"/>
  <c r="P9" i="71"/>
  <c r="O9" i="71"/>
  <c r="N9" i="71"/>
  <c r="E38" i="77"/>
  <c r="E39" i="77" s="1"/>
  <c r="E29" i="77"/>
  <c r="AH10" i="71"/>
  <c r="AG10" i="71"/>
  <c r="AE10" i="71"/>
  <c r="AF10" i="71" s="1"/>
  <c r="AD10" i="71"/>
  <c r="Q10" i="71"/>
  <c r="P10" i="71"/>
  <c r="O10" i="71"/>
  <c r="N10" i="71"/>
  <c r="E24" i="43"/>
  <c r="P32" i="43" s="1"/>
  <c r="Q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C7" i="68" s="1"/>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c r="A20" i="62"/>
  <c r="B66" i="72" s="1"/>
  <c r="A22" i="51"/>
  <c r="A21" i="51"/>
  <c r="B16" i="72"/>
  <c r="A20" i="51"/>
  <c r="B15" i="72"/>
  <c r="A15" i="62"/>
  <c r="B61" i="72"/>
  <c r="A14" i="62"/>
  <c r="B60" i="72"/>
  <c r="A13" i="62"/>
  <c r="B59" i="72"/>
  <c r="A19" i="62"/>
  <c r="B65" i="72"/>
  <c r="A12" i="62"/>
  <c r="B58" i="72"/>
  <c r="A120" i="9"/>
  <c r="H2" i="52"/>
  <c r="A1" i="52"/>
  <c r="A3" i="53"/>
  <c r="Q26" i="71"/>
  <c r="P26" i="71"/>
  <c r="O26" i="71"/>
  <c r="N26"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s="1"/>
  <c r="B44" i="72"/>
  <c r="B42" i="72"/>
  <c r="B69" i="72"/>
  <c r="B68" i="72"/>
  <c r="B63" i="72"/>
  <c r="B62" i="72"/>
  <c r="B10" i="72"/>
  <c r="B51" i="10"/>
  <c r="C8" i="68"/>
  <c r="B49" i="48"/>
  <c r="B5" i="72"/>
  <c r="D89" i="71"/>
  <c r="F88" i="71"/>
  <c r="F87" i="71" s="1"/>
  <c r="F86" i="71" s="1"/>
  <c r="E88" i="71"/>
  <c r="E87" i="71"/>
  <c r="E86" i="71" s="1"/>
  <c r="C88" i="71"/>
  <c r="D88" i="71"/>
  <c r="B88" i="71"/>
  <c r="B87" i="71" s="1"/>
  <c r="B86" i="71" s="1"/>
  <c r="D85" i="71"/>
  <c r="F84" i="71"/>
  <c r="F83" i="71" s="1"/>
  <c r="F82" i="71" s="1"/>
  <c r="E84" i="71"/>
  <c r="E83" i="71"/>
  <c r="E82" i="71" s="1"/>
  <c r="C84" i="71"/>
  <c r="D84" i="71"/>
  <c r="B84" i="71"/>
  <c r="B83" i="71" s="1"/>
  <c r="B82" i="71" s="1"/>
  <c r="D81" i="71"/>
  <c r="Q80" i="71"/>
  <c r="P80" i="71"/>
  <c r="O80" i="71"/>
  <c r="N80" i="71"/>
  <c r="F80" i="71"/>
  <c r="V80" i="71" s="1"/>
  <c r="E80" i="71"/>
  <c r="U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c r="C68" i="71"/>
  <c r="T68" i="71" s="1"/>
  <c r="B68" i="71"/>
  <c r="B67" i="71"/>
  <c r="D65" i="71"/>
  <c r="Q64" i="71"/>
  <c r="P64" i="71"/>
  <c r="O64" i="71"/>
  <c r="N64" i="71"/>
  <c r="Q63" i="71"/>
  <c r="P63" i="71"/>
  <c r="O63" i="71"/>
  <c r="N63" i="71"/>
  <c r="Q62" i="71"/>
  <c r="P62" i="71"/>
  <c r="O62" i="71"/>
  <c r="C63" i="71" s="1"/>
  <c r="C64" i="71" s="1"/>
  <c r="N62" i="71"/>
  <c r="Q61" i="71"/>
  <c r="F62" i="71"/>
  <c r="F63" i="71"/>
  <c r="F64" i="71" s="1"/>
  <c r="V64" i="71" s="1"/>
  <c r="P61" i="71"/>
  <c r="E62" i="71"/>
  <c r="O61" i="71"/>
  <c r="C62" i="71"/>
  <c r="D62" i="71" s="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O53" i="71"/>
  <c r="C54" i="71" s="1"/>
  <c r="C55" i="71" s="1"/>
  <c r="Q53" i="71"/>
  <c r="F54" i="71"/>
  <c r="P53" i="71"/>
  <c r="E54" i="71" s="1"/>
  <c r="E55" i="71" s="1"/>
  <c r="E56" i="71" s="1"/>
  <c r="N53" i="71"/>
  <c r="B54" i="71"/>
  <c r="B55" i="71"/>
  <c r="B56" i="71" s="1"/>
  <c r="S56" i="71" s="1"/>
  <c r="D53" i="71"/>
  <c r="Q52" i="71"/>
  <c r="P52" i="71"/>
  <c r="O52" i="71"/>
  <c r="N52" i="71"/>
  <c r="Q51" i="71"/>
  <c r="P51" i="71"/>
  <c r="O51" i="71"/>
  <c r="N51" i="71"/>
  <c r="Q50" i="71"/>
  <c r="P50" i="71"/>
  <c r="O50" i="71"/>
  <c r="N50" i="71"/>
  <c r="Q49" i="71"/>
  <c r="F50" i="71" s="1"/>
  <c r="F51" i="71" s="1"/>
  <c r="F52" i="71" s="1"/>
  <c r="P49" i="71"/>
  <c r="E50" i="71"/>
  <c r="E51" i="71"/>
  <c r="E52" i="71" s="1"/>
  <c r="U52" i="71" s="1"/>
  <c r="O49" i="71"/>
  <c r="C50" i="71"/>
  <c r="N49" i="71"/>
  <c r="B50" i="71"/>
  <c r="B51" i="71"/>
  <c r="B52" i="71"/>
  <c r="S52" i="71" s="1"/>
  <c r="D49" i="71"/>
  <c r="T48" i="71"/>
  <c r="Q48" i="71"/>
  <c r="P48" i="71"/>
  <c r="O48" i="71"/>
  <c r="N48" i="71"/>
  <c r="D48" i="71"/>
  <c r="Q47" i="71"/>
  <c r="P47" i="71"/>
  <c r="O47" i="71"/>
  <c r="N47" i="71"/>
  <c r="Q46" i="71"/>
  <c r="P46" i="71"/>
  <c r="O46" i="71"/>
  <c r="N46" i="71"/>
  <c r="B47" i="71" s="1"/>
  <c r="Q45" i="71"/>
  <c r="F46" i="71"/>
  <c r="F47" i="71"/>
  <c r="F48" i="71"/>
  <c r="V48" i="71" s="1"/>
  <c r="P45" i="71"/>
  <c r="E46" i="71"/>
  <c r="E47" i="71"/>
  <c r="E48" i="71" s="1"/>
  <c r="U48" i="71" s="1"/>
  <c r="O45" i="71"/>
  <c r="C46" i="71"/>
  <c r="N45" i="71"/>
  <c r="B46" i="71"/>
  <c r="B48" i="71"/>
  <c r="S48" i="71" s="1"/>
  <c r="D45" i="71"/>
  <c r="Q44" i="71"/>
  <c r="P44" i="71"/>
  <c r="O44" i="71"/>
  <c r="N44" i="71"/>
  <c r="Q43" i="71"/>
  <c r="P43" i="71"/>
  <c r="O43" i="71"/>
  <c r="N43" i="71"/>
  <c r="Q42" i="71"/>
  <c r="P42" i="71"/>
  <c r="O42" i="71"/>
  <c r="N42" i="71"/>
  <c r="Q41" i="71"/>
  <c r="F42" i="71"/>
  <c r="F43" i="71" s="1"/>
  <c r="F44" i="71" s="1"/>
  <c r="V44" i="71" s="1"/>
  <c r="P41" i="71"/>
  <c r="E42" i="71" s="1"/>
  <c r="O41" i="71"/>
  <c r="C42" i="71"/>
  <c r="D42" i="71"/>
  <c r="N41" i="71"/>
  <c r="B42" i="71" s="1"/>
  <c r="B43" i="71" s="1"/>
  <c r="B44" i="71" s="1"/>
  <c r="S44" i="71" s="1"/>
  <c r="D41" i="71"/>
  <c r="Q40" i="71"/>
  <c r="P40" i="71"/>
  <c r="O40" i="71"/>
  <c r="N40" i="71"/>
  <c r="Q39" i="71"/>
  <c r="AB39" i="71"/>
  <c r="P39" i="71"/>
  <c r="AA39" i="71" s="1"/>
  <c r="O39" i="71"/>
  <c r="N39" i="71"/>
  <c r="X39" i="71"/>
  <c r="Q38" i="71"/>
  <c r="AB38" i="71"/>
  <c r="P38" i="71"/>
  <c r="AA38" i="71" s="1"/>
  <c r="O38" i="71"/>
  <c r="N38" i="71"/>
  <c r="Q37" i="71"/>
  <c r="P37" i="71"/>
  <c r="P36" i="71"/>
  <c r="AA36" i="71"/>
  <c r="O37" i="71"/>
  <c r="N37" i="71"/>
  <c r="B38" i="71" s="1"/>
  <c r="B39" i="71" s="1"/>
  <c r="B40" i="71" s="1"/>
  <c r="S40" i="71" s="1"/>
  <c r="D37" i="71"/>
  <c r="Q36" i="71"/>
  <c r="O36" i="71"/>
  <c r="N36" i="71"/>
  <c r="X36" i="71" s="1"/>
  <c r="Q35" i="71"/>
  <c r="Q31" i="71"/>
  <c r="Q32" i="71"/>
  <c r="Q33" i="71"/>
  <c r="F34" i="71" s="1"/>
  <c r="F35" i="71" s="1"/>
  <c r="F36" i="71" s="1"/>
  <c r="V36" i="71" s="1"/>
  <c r="Q34" i="71"/>
  <c r="P35" i="71"/>
  <c r="AA35" i="71" s="1"/>
  <c r="O35" i="71"/>
  <c r="N35" i="71"/>
  <c r="P34" i="71"/>
  <c r="O34" i="71"/>
  <c r="N34" i="71"/>
  <c r="N33" i="71"/>
  <c r="B34" i="71" s="1"/>
  <c r="B35" i="71" s="1"/>
  <c r="B36" i="71" s="1"/>
  <c r="S36" i="71" s="1"/>
  <c r="P33" i="71"/>
  <c r="E34" i="71" s="1"/>
  <c r="E35" i="71" s="1"/>
  <c r="E36" i="71" s="1"/>
  <c r="U36" i="71" s="1"/>
  <c r="O33" i="71"/>
  <c r="D33" i="71"/>
  <c r="P32" i="71"/>
  <c r="O32" i="71"/>
  <c r="N32" i="71"/>
  <c r="P31" i="71"/>
  <c r="O31" i="71"/>
  <c r="N31" i="71"/>
  <c r="N28" i="71"/>
  <c r="N29" i="71"/>
  <c r="B30" i="71" s="1"/>
  <c r="B31" i="71" s="1"/>
  <c r="B32" i="71" s="1"/>
  <c r="S32" i="71" s="1"/>
  <c r="N30" i="71"/>
  <c r="Q30" i="71"/>
  <c r="P30" i="71"/>
  <c r="O30" i="71"/>
  <c r="Q29" i="71"/>
  <c r="P29" i="71"/>
  <c r="O29" i="71"/>
  <c r="D29" i="71"/>
  <c r="O28" i="71"/>
  <c r="Y28" i="71" s="1"/>
  <c r="Z28" i="71" s="1"/>
  <c r="E30" i="71"/>
  <c r="E38" i="71"/>
  <c r="E39" i="71" s="1"/>
  <c r="E40" i="71" s="1"/>
  <c r="U40" i="71" s="1"/>
  <c r="AA37" i="71"/>
  <c r="C30" i="71"/>
  <c r="C34" i="71"/>
  <c r="C35" i="71" s="1"/>
  <c r="C36" i="71" s="1"/>
  <c r="D34" i="71"/>
  <c r="C38" i="71"/>
  <c r="X38" i="71"/>
  <c r="V52" i="71"/>
  <c r="B28" i="71"/>
  <c r="B27" i="71" s="1"/>
  <c r="B26" i="71" s="1"/>
  <c r="C31" i="71"/>
  <c r="D31" i="71" s="1"/>
  <c r="D30" i="71"/>
  <c r="C43" i="71"/>
  <c r="C44" i="71" s="1"/>
  <c r="D44" i="71" s="1"/>
  <c r="P28" i="71"/>
  <c r="AA28" i="71" s="1"/>
  <c r="U56" i="71"/>
  <c r="E63" i="71"/>
  <c r="E64" i="71" s="1"/>
  <c r="U64" i="71" s="1"/>
  <c r="U68" i="71"/>
  <c r="E67" i="71"/>
  <c r="P67" i="71" s="1"/>
  <c r="Q28" i="71"/>
  <c r="D54" i="71"/>
  <c r="Q67" i="71"/>
  <c r="O68" i="71"/>
  <c r="D68" i="71"/>
  <c r="C67" i="71"/>
  <c r="Q68" i="71"/>
  <c r="C71" i="71"/>
  <c r="E71" i="71"/>
  <c r="E70" i="71" s="1"/>
  <c r="D72" i="71"/>
  <c r="C75" i="71"/>
  <c r="E75" i="71"/>
  <c r="E74" i="71" s="1"/>
  <c r="D76" i="71"/>
  <c r="E79" i="71"/>
  <c r="E78" i="71" s="1"/>
  <c r="D80" i="71"/>
  <c r="C83" i="71"/>
  <c r="C87" i="71"/>
  <c r="S28" i="71"/>
  <c r="F28" i="71"/>
  <c r="F27" i="71" s="1"/>
  <c r="F26" i="71"/>
  <c r="AA3" i="71"/>
  <c r="D63" i="71"/>
  <c r="D83" i="71"/>
  <c r="C82" i="71"/>
  <c r="D82" i="71" s="1"/>
  <c r="D75" i="71"/>
  <c r="C74" i="71"/>
  <c r="D74" i="71"/>
  <c r="D71" i="71"/>
  <c r="C70" i="71"/>
  <c r="D70" i="71" s="1"/>
  <c r="C56" i="71"/>
  <c r="D56" i="71" s="1"/>
  <c r="D55" i="71"/>
  <c r="E66" i="71"/>
  <c r="P65" i="71" s="1"/>
  <c r="D43" i="71"/>
  <c r="C32" i="71"/>
  <c r="T32" i="71" s="1"/>
  <c r="T5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c r="G102" i="39" s="1"/>
  <c r="F29" i="39"/>
  <c r="AA29" i="39" s="1"/>
  <c r="Q18" i="36"/>
  <c r="Z18" i="36"/>
  <c r="D66" i="36"/>
  <c r="E66" i="36" s="1"/>
  <c r="F66" i="36"/>
  <c r="G66" i="36" s="1"/>
  <c r="H18" i="36"/>
  <c r="AB18" i="36" s="1"/>
  <c r="F18" i="36"/>
  <c r="AA18" i="36" s="1"/>
  <c r="C18" i="36"/>
  <c r="Q18" i="35"/>
  <c r="Z18" i="35"/>
  <c r="D68" i="35"/>
  <c r="E68" i="35" s="1"/>
  <c r="F68" i="35" s="1"/>
  <c r="G68" i="35" s="1"/>
  <c r="F18" i="35"/>
  <c r="S18" i="35"/>
  <c r="AA18" i="35"/>
  <c r="C18" i="35"/>
  <c r="Q21" i="37"/>
  <c r="Z21" i="37" s="1"/>
  <c r="D77" i="37"/>
  <c r="E77" i="37" s="1"/>
  <c r="F77" i="37" s="1"/>
  <c r="G77" i="37" s="1"/>
  <c r="C21" i="37"/>
  <c r="Q21" i="34"/>
  <c r="Z21" i="34"/>
  <c r="D84" i="34"/>
  <c r="E84" i="34" s="1"/>
  <c r="F84" i="34" s="1"/>
  <c r="G84" i="34" s="1"/>
  <c r="F21" i="34"/>
  <c r="S21" i="34" s="1"/>
  <c r="AA21" i="34"/>
  <c r="C21" i="34"/>
  <c r="Q21" i="33"/>
  <c r="Z21" i="33"/>
  <c r="D83" i="33"/>
  <c r="E83" i="33" s="1"/>
  <c r="F83" i="33" s="1"/>
  <c r="G83" i="33" s="1"/>
  <c r="C21" i="33"/>
  <c r="C21" i="21"/>
  <c r="Q21" i="21"/>
  <c r="Z21" i="21"/>
  <c r="H19" i="21"/>
  <c r="AB19" i="21" s="1"/>
  <c r="D83" i="21"/>
  <c r="E83" i="21" s="1"/>
  <c r="F83" i="21" s="1"/>
  <c r="G83" i="21" s="1"/>
  <c r="F21" i="21"/>
  <c r="AA21" i="21" s="1"/>
  <c r="D81" i="21"/>
  <c r="G20" i="20"/>
  <c r="C25" i="40"/>
  <c r="B88" i="43"/>
  <c r="C22" i="20"/>
  <c r="B100" i="43"/>
  <c r="B77" i="43"/>
  <c r="B57" i="43"/>
  <c r="B68" i="43"/>
  <c r="C29" i="39"/>
  <c r="S25" i="40"/>
  <c r="S18" i="36"/>
  <c r="H25" i="40"/>
  <c r="AB25" i="40"/>
  <c r="J25" i="40"/>
  <c r="H29" i="39"/>
  <c r="AB29" i="39"/>
  <c r="J29" i="39"/>
  <c r="W29" i="39" s="1"/>
  <c r="J18" i="36"/>
  <c r="AC18" i="36" s="1"/>
  <c r="H18" i="35"/>
  <c r="AB18" i="35" s="1"/>
  <c r="J18" i="35"/>
  <c r="H21" i="37"/>
  <c r="U21" i="37" s="1"/>
  <c r="F21" i="37"/>
  <c r="AA21" i="37" s="1"/>
  <c r="H21" i="34"/>
  <c r="AB21" i="34" s="1"/>
  <c r="H21" i="33"/>
  <c r="U21" i="33"/>
  <c r="F21" i="33"/>
  <c r="AA21" i="33" s="1"/>
  <c r="H1" i="69"/>
  <c r="AC25" i="40"/>
  <c r="W25" i="40"/>
  <c r="U25" i="40"/>
  <c r="U29" i="39"/>
  <c r="W18" i="36"/>
  <c r="AB21" i="37"/>
  <c r="AB21" i="33"/>
  <c r="AC18" i="35"/>
  <c r="W18" i="35"/>
  <c r="J21" i="37"/>
  <c r="W21" i="37" s="1"/>
  <c r="J21" i="34"/>
  <c r="W21" i="34" s="1"/>
  <c r="J21" i="33"/>
  <c r="W21" i="33"/>
  <c r="H21" i="21"/>
  <c r="U21" i="21" s="1"/>
  <c r="F38" i="69"/>
  <c r="E37" i="69"/>
  <c r="F36" i="69"/>
  <c r="F35" i="69"/>
  <c r="F21" i="69"/>
  <c r="F40" i="69" s="1"/>
  <c r="F20" i="69"/>
  <c r="F39" i="69"/>
  <c r="E10" i="69"/>
  <c r="E9" i="69"/>
  <c r="C7" i="69"/>
  <c r="AC21" i="37"/>
  <c r="AC21" i="33"/>
  <c r="J21" i="21"/>
  <c r="W21" i="21" s="1"/>
  <c r="F38" i="68"/>
  <c r="E37" i="68"/>
  <c r="F36" i="68"/>
  <c r="F35" i="68"/>
  <c r="F21" i="68"/>
  <c r="F40" i="68"/>
  <c r="F20" i="68"/>
  <c r="F39" i="68" s="1"/>
  <c r="E10" i="68"/>
  <c r="E9" i="68"/>
  <c r="Q72" i="67"/>
  <c r="Q59" i="67"/>
  <c r="Q58" i="67"/>
  <c r="Q51" i="67"/>
  <c r="J50" i="67"/>
  <c r="M47" i="67"/>
  <c r="D46" i="67"/>
  <c r="F33" i="67"/>
  <c r="F61" i="67" s="1"/>
  <c r="F23" i="67"/>
  <c r="D24" i="67"/>
  <c r="F21" i="67"/>
  <c r="M19" i="67"/>
  <c r="F18" i="67"/>
  <c r="F17" i="67"/>
  <c r="F15" i="67"/>
  <c r="S2" i="4"/>
  <c r="C51" i="10" s="1"/>
  <c r="A13" i="51"/>
  <c r="B11" i="72"/>
  <c r="S1" i="4"/>
  <c r="B1" i="4"/>
  <c r="AA8" i="71"/>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A7" i="1"/>
  <c r="B7" i="1"/>
  <c r="E7" i="1" s="1"/>
  <c r="A8" i="1"/>
  <c r="B8" i="1" s="1"/>
  <c r="E8" i="1" s="1"/>
  <c r="A9" i="1"/>
  <c r="A10" i="1"/>
  <c r="A11" i="1"/>
  <c r="B11" i="1"/>
  <c r="E11" i="1" s="1"/>
  <c r="A12" i="1"/>
  <c r="A13" i="1"/>
  <c r="B13" i="1"/>
  <c r="E13" i="1" s="1"/>
  <c r="A6" i="1"/>
  <c r="F3" i="35"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B110" i="3"/>
  <c r="BA110" i="3" s="1"/>
  <c r="BC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B91" i="3"/>
  <c r="BC91" i="3"/>
  <c r="BA91" i="3" s="1"/>
  <c r="AZ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M83" i="3"/>
  <c r="BN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B79" i="3"/>
  <c r="BA79" i="3" s="1"/>
  <c r="BC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G65" i="3" s="1"/>
  <c r="H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B38" i="3"/>
  <c r="BC38" i="3"/>
  <c r="BD38" i="3"/>
  <c r="BE38" i="3"/>
  <c r="BF38" i="3"/>
  <c r="BG38" i="3"/>
  <c r="BH38" i="3"/>
  <c r="BI38" i="3"/>
  <c r="BJ38" i="3"/>
  <c r="BK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B27" i="3"/>
  <c r="BC27" i="3"/>
  <c r="BD27" i="3"/>
  <c r="BE27" i="3"/>
  <c r="BF27" i="3"/>
  <c r="BG27" i="3"/>
  <c r="BH27" i="3"/>
  <c r="BI27" i="3"/>
  <c r="BJ27" i="3"/>
  <c r="BK27" i="3"/>
  <c r="BA27" i="3"/>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B205" i="3"/>
  <c r="BC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B169" i="3"/>
  <c r="BC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M167" i="3"/>
  <c r="BN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B166" i="3"/>
  <c r="BC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A160" i="3" s="1"/>
  <c r="BC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B154" i="3"/>
  <c r="BC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M141" i="3"/>
  <c r="BL141" i="3" s="1"/>
  <c r="BN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M123" i="3"/>
  <c r="BL123" i="3" s="1"/>
  <c r="BN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B122" i="3"/>
  <c r="BA122" i="3" s="1"/>
  <c r="BC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L118" i="3" s="1"/>
  <c r="BN118" i="3"/>
  <c r="BK118" i="3"/>
  <c r="BJ118" i="3"/>
  <c r="BI118" i="3"/>
  <c r="BH118" i="3"/>
  <c r="BG118" i="3"/>
  <c r="BF118" i="3"/>
  <c r="BE118" i="3"/>
  <c r="BD118" i="3"/>
  <c r="BC118" i="3"/>
  <c r="BB118" i="3"/>
  <c r="BA118" i="3"/>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M300" i="3"/>
  <c r="BL300" i="3" s="1"/>
  <c r="BN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B298" i="3"/>
  <c r="BA298" i="3" s="1"/>
  <c r="BC298" i="3"/>
  <c r="AX298" i="3"/>
  <c r="AW298" i="3"/>
  <c r="AV298" i="3"/>
  <c r="AC298" i="3"/>
  <c r="H298" i="3"/>
  <c r="BT297" i="3"/>
  <c r="BS297" i="3"/>
  <c r="BR297" i="3"/>
  <c r="BQ297" i="3"/>
  <c r="BP297" i="3"/>
  <c r="BO297" i="3"/>
  <c r="BM297" i="3"/>
  <c r="BL297" i="3" s="1"/>
  <c r="BN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M295" i="3"/>
  <c r="BN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M287" i="3"/>
  <c r="BN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M285" i="3"/>
  <c r="BL285" i="3" s="1"/>
  <c r="BN285" i="3"/>
  <c r="BK285" i="3"/>
  <c r="BJ285" i="3"/>
  <c r="BI285" i="3"/>
  <c r="BH285" i="3"/>
  <c r="BG285" i="3"/>
  <c r="BF285" i="3"/>
  <c r="BE285" i="3"/>
  <c r="BD285" i="3"/>
  <c r="BC285" i="3"/>
  <c r="BB285" i="3"/>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M282" i="3"/>
  <c r="BN282" i="3"/>
  <c r="BL282" i="3"/>
  <c r="BK282" i="3"/>
  <c r="BJ282" i="3"/>
  <c r="BI282" i="3"/>
  <c r="BH282" i="3"/>
  <c r="BG282" i="3"/>
  <c r="BF282" i="3"/>
  <c r="BE282" i="3"/>
  <c r="BD282" i="3"/>
  <c r="BA282" i="3" s="1"/>
  <c r="AZ282" i="3" s="1"/>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B280" i="3"/>
  <c r="BC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B278" i="3"/>
  <c r="BA278" i="3" s="1"/>
  <c r="BC278" i="3"/>
  <c r="AX278" i="3"/>
  <c r="AW278" i="3"/>
  <c r="AV278" i="3"/>
  <c r="AC278" i="3"/>
  <c r="H278" i="3"/>
  <c r="BT277" i="3"/>
  <c r="BS277" i="3"/>
  <c r="BR277" i="3"/>
  <c r="BQ277" i="3"/>
  <c r="BP277" i="3"/>
  <c r="BO277" i="3"/>
  <c r="BM277" i="3"/>
  <c r="BL277" i="3" s="1"/>
  <c r="BN277" i="3"/>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L274" i="3" s="1"/>
  <c r="BN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B272" i="3"/>
  <c r="BA272" i="3" s="1"/>
  <c r="BC272" i="3"/>
  <c r="AX272" i="3"/>
  <c r="AW272" i="3"/>
  <c r="AV272" i="3"/>
  <c r="AC272" i="3"/>
  <c r="H272" i="3"/>
  <c r="BT271" i="3"/>
  <c r="BS271" i="3"/>
  <c r="BR271" i="3"/>
  <c r="BQ271" i="3"/>
  <c r="BP271" i="3"/>
  <c r="BO271" i="3"/>
  <c r="BM271" i="3"/>
  <c r="BL271" i="3" s="1"/>
  <c r="BN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B269" i="3"/>
  <c r="BA269" i="3" s="1"/>
  <c r="BC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B267" i="3"/>
  <c r="BC267" i="3"/>
  <c r="BA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M264" i="3"/>
  <c r="BN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B262" i="3"/>
  <c r="BA262" i="3" s="1"/>
  <c r="AZ262" i="3" s="1"/>
  <c r="BC262" i="3"/>
  <c r="AX262" i="3"/>
  <c r="AW262" i="3"/>
  <c r="AV262" i="3"/>
  <c r="AC262" i="3"/>
  <c r="H262" i="3"/>
  <c r="G262" i="3"/>
  <c r="BT261" i="3"/>
  <c r="BS261" i="3"/>
  <c r="BR261" i="3"/>
  <c r="BQ261" i="3"/>
  <c r="BP261" i="3"/>
  <c r="BO261" i="3"/>
  <c r="BM261" i="3"/>
  <c r="BL261" i="3" s="1"/>
  <c r="BN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B259" i="3"/>
  <c r="BC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M256" i="3"/>
  <c r="BL256" i="3" s="1"/>
  <c r="BN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B254" i="3"/>
  <c r="BA254" i="3" s="1"/>
  <c r="BC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B252" i="3"/>
  <c r="BC252" i="3"/>
  <c r="BA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M249" i="3"/>
  <c r="BN249" i="3"/>
  <c r="BL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M247" i="3"/>
  <c r="BN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M244" i="3"/>
  <c r="BN244" i="3"/>
  <c r="BL244" i="3"/>
  <c r="BK244" i="3"/>
  <c r="BJ244" i="3"/>
  <c r="BI244" i="3"/>
  <c r="BH244" i="3"/>
  <c r="BG244" i="3"/>
  <c r="BF244" i="3"/>
  <c r="BE244" i="3"/>
  <c r="BD244" i="3"/>
  <c r="BA244" i="3" s="1"/>
  <c r="AZ244" i="3" s="1"/>
  <c r="BC244" i="3"/>
  <c r="BB244" i="3"/>
  <c r="AX244" i="3"/>
  <c r="AW244" i="3"/>
  <c r="AV244" i="3"/>
  <c r="AC244" i="3"/>
  <c r="H244" i="3"/>
  <c r="G244" i="3" s="1"/>
  <c r="BT243" i="3"/>
  <c r="BS243" i="3"/>
  <c r="BR243" i="3"/>
  <c r="BQ243" i="3"/>
  <c r="BP243" i="3"/>
  <c r="BO243" i="3"/>
  <c r="BL243" i="3" s="1"/>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B242" i="3"/>
  <c r="BC242" i="3"/>
  <c r="BA242" i="3"/>
  <c r="AX242" i="3"/>
  <c r="AW242" i="3"/>
  <c r="AV242" i="3"/>
  <c r="AC242" i="3"/>
  <c r="H242" i="3"/>
  <c r="BT241" i="3"/>
  <c r="BS241" i="3"/>
  <c r="BR241" i="3"/>
  <c r="BQ241" i="3"/>
  <c r="BP241" i="3"/>
  <c r="BO241" i="3"/>
  <c r="BL241" i="3" s="1"/>
  <c r="BM241" i="3"/>
  <c r="BN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L239" i="3" s="1"/>
  <c r="BN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B237" i="3"/>
  <c r="BA237" i="3" s="1"/>
  <c r="BC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M234" i="3"/>
  <c r="BL234" i="3" s="1"/>
  <c r="BN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B230" i="3"/>
  <c r="BA230" i="3" s="1"/>
  <c r="BC230" i="3"/>
  <c r="AX230" i="3"/>
  <c r="AW230" i="3"/>
  <c r="AV230" i="3"/>
  <c r="AC230" i="3"/>
  <c r="H230" i="3"/>
  <c r="BT229" i="3"/>
  <c r="BS229" i="3"/>
  <c r="BR229" i="3"/>
  <c r="BQ229" i="3"/>
  <c r="BP229" i="3"/>
  <c r="BO229" i="3"/>
  <c r="BM229" i="3"/>
  <c r="BL229" i="3" s="1"/>
  <c r="BN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L228" i="3" s="1"/>
  <c r="BN228" i="3"/>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B227" i="3"/>
  <c r="BA227" i="3" s="1"/>
  <c r="BC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B224" i="3"/>
  <c r="BC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B222" i="3"/>
  <c r="BC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B219" i="3"/>
  <c r="BA219" i="3" s="1"/>
  <c r="BC219" i="3"/>
  <c r="AX219" i="3"/>
  <c r="AW219" i="3"/>
  <c r="AV219" i="3"/>
  <c r="AC219" i="3"/>
  <c r="H219" i="3"/>
  <c r="BT218" i="3"/>
  <c r="BS218" i="3"/>
  <c r="BR218" i="3"/>
  <c r="BQ218" i="3"/>
  <c r="BP218" i="3"/>
  <c r="BO218" i="3"/>
  <c r="BM218" i="3"/>
  <c r="BN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B216" i="3"/>
  <c r="BC216" i="3"/>
  <c r="BA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M213" i="3"/>
  <c r="BN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B211" i="3"/>
  <c r="BA211" i="3" s="1"/>
  <c r="AZ211" i="3" s="1"/>
  <c r="BC211" i="3"/>
  <c r="AX211" i="3"/>
  <c r="AW211" i="3"/>
  <c r="AV211" i="3"/>
  <c r="AC211" i="3"/>
  <c r="H211" i="3"/>
  <c r="BT210" i="3"/>
  <c r="BS210" i="3"/>
  <c r="BR210" i="3"/>
  <c r="BQ210" i="3"/>
  <c r="BP210" i="3"/>
  <c r="BO210" i="3"/>
  <c r="BM210" i="3"/>
  <c r="BN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B208" i="3"/>
  <c r="BC208" i="3"/>
  <c r="AX208" i="3"/>
  <c r="AW208" i="3"/>
  <c r="AV208" i="3"/>
  <c r="AC208" i="3"/>
  <c r="H208" i="3"/>
  <c r="BT397" i="3"/>
  <c r="BS397" i="3"/>
  <c r="BR397" i="3"/>
  <c r="BQ397" i="3"/>
  <c r="BP397" i="3"/>
  <c r="BO397" i="3"/>
  <c r="BM397" i="3"/>
  <c r="BL397" i="3" s="1"/>
  <c r="BN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K396" i="3"/>
  <c r="BJ396" i="3"/>
  <c r="BI396" i="3"/>
  <c r="BH396" i="3"/>
  <c r="BG396" i="3"/>
  <c r="BF396" i="3"/>
  <c r="BE396" i="3"/>
  <c r="BD396" i="3"/>
  <c r="BA396" i="3" s="1"/>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B395" i="3"/>
  <c r="BA395" i="3" s="1"/>
  <c r="AZ395" i="3" s="1"/>
  <c r="BC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B386" i="3"/>
  <c r="BC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A368" i="3" s="1"/>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B367" i="3"/>
  <c r="BC367" i="3"/>
  <c r="BA367" i="3" s="1"/>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L353" i="3" s="1"/>
  <c r="BN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B350" i="3"/>
  <c r="BA350" i="3" s="1"/>
  <c r="BC350" i="3"/>
  <c r="AX350" i="3"/>
  <c r="AW350" i="3"/>
  <c r="AV350" i="3"/>
  <c r="AC350" i="3"/>
  <c r="H350" i="3"/>
  <c r="BT349" i="3"/>
  <c r="BS349" i="3"/>
  <c r="BR349" i="3"/>
  <c r="BQ349" i="3"/>
  <c r="BP349" i="3"/>
  <c r="BO349" i="3"/>
  <c r="BN349" i="3"/>
  <c r="BM349" i="3"/>
  <c r="BK349" i="3"/>
  <c r="BJ349" i="3"/>
  <c r="BI349" i="3"/>
  <c r="BH349" i="3"/>
  <c r="BG349" i="3"/>
  <c r="BF349" i="3"/>
  <c r="BE349" i="3"/>
  <c r="BD349" i="3"/>
  <c r="BB349" i="3"/>
  <c r="BA349" i="3" s="1"/>
  <c r="BC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L346" i="3" s="1"/>
  <c r="BN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L332" i="3" s="1"/>
  <c r="BN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B488" i="3"/>
  <c r="BA488" i="3" s="1"/>
  <c r="AZ488" i="3" s="1"/>
  <c r="BC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B484" i="3"/>
  <c r="BA484" i="3" s="1"/>
  <c r="BC484" i="3"/>
  <c r="AX484" i="3"/>
  <c r="AW484" i="3"/>
  <c r="AV484" i="3"/>
  <c r="AC484" i="3"/>
  <c r="H484" i="3"/>
  <c r="G484" i="3" s="1"/>
  <c r="BT483" i="3"/>
  <c r="BS483" i="3"/>
  <c r="BR483" i="3"/>
  <c r="BQ483" i="3"/>
  <c r="BP483" i="3"/>
  <c r="BO483" i="3"/>
  <c r="BM483" i="3"/>
  <c r="BL483" i="3" s="1"/>
  <c r="BN483" i="3"/>
  <c r="BB483" i="3"/>
  <c r="BC483" i="3"/>
  <c r="BA483" i="3" s="1"/>
  <c r="AZ483" i="3" s="1"/>
  <c r="BD483" i="3"/>
  <c r="BE483" i="3"/>
  <c r="BF483" i="3"/>
  <c r="BG483" i="3"/>
  <c r="BH483" i="3"/>
  <c r="BI483" i="3"/>
  <c r="BJ483" i="3"/>
  <c r="BK483" i="3"/>
  <c r="AX483" i="3"/>
  <c r="AW483" i="3"/>
  <c r="AV483" i="3"/>
  <c r="AC483" i="3"/>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M468" i="3"/>
  <c r="BL468" i="3" s="1"/>
  <c r="BN468" i="3"/>
  <c r="BK468" i="3"/>
  <c r="BJ468" i="3"/>
  <c r="BI468" i="3"/>
  <c r="BH468" i="3"/>
  <c r="BG468" i="3"/>
  <c r="BF468" i="3"/>
  <c r="BE468" i="3"/>
  <c r="BD468" i="3"/>
  <c r="BC468" i="3"/>
  <c r="BA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B465" i="3"/>
  <c r="BC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M461" i="3"/>
  <c r="BN461" i="3"/>
  <c r="BL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M457" i="3"/>
  <c r="BN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B455" i="3"/>
  <c r="BA455" i="3" s="1"/>
  <c r="AZ455" i="3" s="1"/>
  <c r="BC455" i="3"/>
  <c r="AX455" i="3"/>
  <c r="AW455" i="3"/>
  <c r="AV455" i="3"/>
  <c r="AC455" i="3"/>
  <c r="G455" i="3" s="1"/>
  <c r="H455" i="3"/>
  <c r="BT454" i="3"/>
  <c r="BS454" i="3"/>
  <c r="BR454" i="3"/>
  <c r="BQ454" i="3"/>
  <c r="BP454" i="3"/>
  <c r="BO454" i="3"/>
  <c r="BM454" i="3"/>
  <c r="BL454" i="3" s="1"/>
  <c r="BN454" i="3"/>
  <c r="BK454" i="3"/>
  <c r="BJ454" i="3"/>
  <c r="BI454" i="3"/>
  <c r="BH454" i="3"/>
  <c r="BG454" i="3"/>
  <c r="BF454" i="3"/>
  <c r="BE454" i="3"/>
  <c r="BD454" i="3"/>
  <c r="BB454" i="3"/>
  <c r="BA454" i="3" s="1"/>
  <c r="BC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M450" i="3"/>
  <c r="BL450" i="3" s="1"/>
  <c r="BN450" i="3"/>
  <c r="BK450" i="3"/>
  <c r="BJ450" i="3"/>
  <c r="BI450" i="3"/>
  <c r="BH450" i="3"/>
  <c r="BG450" i="3"/>
  <c r="BF450" i="3"/>
  <c r="BE450" i="3"/>
  <c r="BD450" i="3"/>
  <c r="BB450" i="3"/>
  <c r="BC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B447" i="3"/>
  <c r="BC447" i="3"/>
  <c r="AX447" i="3"/>
  <c r="AW447" i="3"/>
  <c r="AV447" i="3"/>
  <c r="AC447" i="3"/>
  <c r="H447" i="3"/>
  <c r="G447" i="3" s="1"/>
  <c r="BT446" i="3"/>
  <c r="BS446" i="3"/>
  <c r="BR446" i="3"/>
  <c r="BQ446" i="3"/>
  <c r="BP446" i="3"/>
  <c r="BO446" i="3"/>
  <c r="BL446" i="3" s="1"/>
  <c r="BM446" i="3"/>
  <c r="BN446" i="3"/>
  <c r="BK446" i="3"/>
  <c r="BJ446" i="3"/>
  <c r="BI446" i="3"/>
  <c r="BH446" i="3"/>
  <c r="BG446" i="3"/>
  <c r="BF446" i="3"/>
  <c r="BE446" i="3"/>
  <c r="BD446" i="3"/>
  <c r="BB446" i="3"/>
  <c r="BA446" i="3" s="1"/>
  <c r="BC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M442" i="3"/>
  <c r="BL442" i="3" s="1"/>
  <c r="BN442" i="3"/>
  <c r="BK442" i="3"/>
  <c r="BJ442" i="3"/>
  <c r="BI442" i="3"/>
  <c r="BH442" i="3"/>
  <c r="BG442" i="3"/>
  <c r="BF442" i="3"/>
  <c r="BE442" i="3"/>
  <c r="BD442" i="3"/>
  <c r="BB442" i="3"/>
  <c r="BC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B440" i="3"/>
  <c r="BC440" i="3"/>
  <c r="BA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M436" i="3"/>
  <c r="BL436" i="3" s="1"/>
  <c r="BN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B433" i="3"/>
  <c r="BC433" i="3"/>
  <c r="BA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B430" i="3"/>
  <c r="BA430" i="3" s="1"/>
  <c r="AZ430" i="3" s="1"/>
  <c r="BC430" i="3"/>
  <c r="AX430" i="3"/>
  <c r="AW430" i="3"/>
  <c r="AV430" i="3"/>
  <c r="AC430" i="3"/>
  <c r="H430" i="3"/>
  <c r="G430" i="3" s="1"/>
  <c r="BT429" i="3"/>
  <c r="BS429" i="3"/>
  <c r="BR429" i="3"/>
  <c r="BQ429" i="3"/>
  <c r="BP429" i="3"/>
  <c r="BO429" i="3"/>
  <c r="BM429" i="3"/>
  <c r="BL429" i="3" s="1"/>
  <c r="BN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B427" i="3"/>
  <c r="BA427" i="3" s="1"/>
  <c r="AZ427" i="3" s="1"/>
  <c r="BC427" i="3"/>
  <c r="AX427" i="3"/>
  <c r="AW427" i="3"/>
  <c r="AV427" i="3"/>
  <c r="AC427" i="3"/>
  <c r="H427" i="3"/>
  <c r="G427" i="3" s="1"/>
  <c r="BT426" i="3"/>
  <c r="BS426" i="3"/>
  <c r="BR426" i="3"/>
  <c r="BQ426" i="3"/>
  <c r="BP426" i="3"/>
  <c r="BO426" i="3"/>
  <c r="BM426" i="3"/>
  <c r="BL426" i="3" s="1"/>
  <c r="BN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B423" i="3"/>
  <c r="BC423" i="3"/>
  <c r="BA423" i="3" s="1"/>
  <c r="AZ423" i="3" s="1"/>
  <c r="AX423" i="3"/>
  <c r="AW423" i="3"/>
  <c r="AV423" i="3"/>
  <c r="AC423" i="3"/>
  <c r="H423" i="3"/>
  <c r="G423" i="3"/>
  <c r="BT422" i="3"/>
  <c r="BS422" i="3"/>
  <c r="BR422" i="3"/>
  <c r="BQ422" i="3"/>
  <c r="BP422" i="3"/>
  <c r="BO422" i="3"/>
  <c r="BM422" i="3"/>
  <c r="BN422" i="3"/>
  <c r="BL422" i="3" s="1"/>
  <c r="BK422" i="3"/>
  <c r="BJ422" i="3"/>
  <c r="BI422" i="3"/>
  <c r="BH422" i="3"/>
  <c r="BG422" i="3"/>
  <c r="BF422" i="3"/>
  <c r="BE422" i="3"/>
  <c r="BD422" i="3"/>
  <c r="BB422" i="3"/>
  <c r="BC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M418" i="3"/>
  <c r="BN418" i="3"/>
  <c r="BL418" i="3"/>
  <c r="BK418" i="3"/>
  <c r="BJ418" i="3"/>
  <c r="BI418" i="3"/>
  <c r="BH418" i="3"/>
  <c r="BG418" i="3"/>
  <c r="BF418" i="3"/>
  <c r="BE418" i="3"/>
  <c r="BD418" i="3"/>
  <c r="BB418" i="3"/>
  <c r="BA418" i="3" s="1"/>
  <c r="AZ418" i="3" s="1"/>
  <c r="BC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B416" i="3"/>
  <c r="BC416" i="3"/>
  <c r="BA416" i="3"/>
  <c r="AZ416" i="3" s="1"/>
  <c r="AX416" i="3"/>
  <c r="AW416" i="3"/>
  <c r="AV416" i="3"/>
  <c r="AC416" i="3"/>
  <c r="G416" i="3" s="1"/>
  <c r="H416" i="3"/>
  <c r="BT415" i="3"/>
  <c r="BS415" i="3"/>
  <c r="BR415" i="3"/>
  <c r="BQ415" i="3"/>
  <c r="BP415" i="3"/>
  <c r="BO415" i="3"/>
  <c r="BM415" i="3"/>
  <c r="BN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B412" i="3"/>
  <c r="BC412" i="3"/>
  <c r="BA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B409" i="3"/>
  <c r="BA409" i="3" s="1"/>
  <c r="AZ409" i="3" s="1"/>
  <c r="BC409" i="3"/>
  <c r="AX409" i="3"/>
  <c r="AW409" i="3"/>
  <c r="AV409" i="3"/>
  <c r="AC409" i="3"/>
  <c r="H409" i="3"/>
  <c r="G409" i="3" s="1"/>
  <c r="BT408" i="3"/>
  <c r="BS408" i="3"/>
  <c r="BR408" i="3"/>
  <c r="BQ408" i="3"/>
  <c r="BP408" i="3"/>
  <c r="BO408" i="3"/>
  <c r="BM408" i="3"/>
  <c r="BL408" i="3" s="1"/>
  <c r="BN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M405" i="3"/>
  <c r="BL405" i="3" s="1"/>
  <c r="BN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M401" i="3"/>
  <c r="BL401" i="3" s="1"/>
  <c r="BN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B399" i="3"/>
  <c r="BA399" i="3" s="1"/>
  <c r="AZ399" i="3" s="1"/>
  <c r="BC399" i="3"/>
  <c r="AX399" i="3"/>
  <c r="AW399" i="3"/>
  <c r="AV399" i="3"/>
  <c r="AC399" i="3"/>
  <c r="H399" i="3"/>
  <c r="G399" i="3" s="1"/>
  <c r="BT398" i="3"/>
  <c r="BS398" i="3"/>
  <c r="BR398" i="3"/>
  <c r="BQ398" i="3"/>
  <c r="BP398" i="3"/>
  <c r="BO398" i="3"/>
  <c r="BM398" i="3"/>
  <c r="BL398" i="3" s="1"/>
  <c r="BN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s="1"/>
  <c r="F33" i="9"/>
  <c r="B13" i="53"/>
  <c r="B29" i="72" s="1"/>
  <c r="R35" i="4"/>
  <c r="Q35" i="4"/>
  <c r="P35" i="4"/>
  <c r="O35" i="4"/>
  <c r="N35" i="4"/>
  <c r="M35" i="4"/>
  <c r="L35" i="4"/>
  <c r="K34" i="4"/>
  <c r="T34" i="4" s="1"/>
  <c r="H15" i="4"/>
  <c r="G15" i="4"/>
  <c r="F12" i="1"/>
  <c r="G12" i="1" s="1"/>
  <c r="F15" i="4"/>
  <c r="F11" i="1"/>
  <c r="D15" i="4"/>
  <c r="F7" i="1"/>
  <c r="G7" i="1" s="1"/>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s="1"/>
  <c r="BM16" i="3"/>
  <c r="BM17" i="3"/>
  <c r="BO13" i="3"/>
  <c r="BO14" i="3"/>
  <c r="BO16" i="3"/>
  <c r="BO17" i="3"/>
  <c r="BN13" i="3"/>
  <c r="BN14" i="3"/>
  <c r="BN16" i="3"/>
  <c r="BP16" i="3"/>
  <c r="BL16" i="3"/>
  <c r="BN17" i="3"/>
  <c r="BP13" i="3"/>
  <c r="BP14" i="3"/>
  <c r="BP17" i="3"/>
  <c r="E19" i="6"/>
  <c r="C33" i="21" s="1"/>
  <c r="E20" i="6"/>
  <c r="E21" i="6"/>
  <c r="K8" i="1"/>
  <c r="M8" i="1" s="1"/>
  <c r="F23" i="15"/>
  <c r="D24" i="15"/>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I55" i="9"/>
  <c r="F55" i="9"/>
  <c r="O53" i="9"/>
  <c r="D89" i="9"/>
  <c r="C89" i="9"/>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A551" i="3" s="1"/>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N5"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AZ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J35" i="39" s="1"/>
  <c r="AC35" i="39" s="1"/>
  <c r="B111" i="39"/>
  <c r="J30" i="36"/>
  <c r="H30" i="36"/>
  <c r="AB30" i="36" s="1"/>
  <c r="F30" i="36"/>
  <c r="AA30" i="36" s="1"/>
  <c r="C26" i="35"/>
  <c r="C79" i="35"/>
  <c r="J31" i="35"/>
  <c r="H31" i="35"/>
  <c r="F31" i="35"/>
  <c r="AA31" i="35" s="1"/>
  <c r="D87" i="35"/>
  <c r="E87" i="35" s="1"/>
  <c r="F87" i="35"/>
  <c r="G87" i="35" s="1"/>
  <c r="H87" i="35" s="1"/>
  <c r="I87" i="35" s="1"/>
  <c r="J87" i="35" s="1"/>
  <c r="K87" i="35"/>
  <c r="L87" i="35" s="1"/>
  <c r="M87" i="35" s="1"/>
  <c r="H34" i="37"/>
  <c r="AB34" i="37" s="1"/>
  <c r="D101" i="37"/>
  <c r="F34" i="37"/>
  <c r="S34" i="37" s="1"/>
  <c r="D99" i="37"/>
  <c r="E99" i="37"/>
  <c r="F99" i="37" s="1"/>
  <c r="G99" i="37" s="1"/>
  <c r="H99" i="37" s="1"/>
  <c r="I99" i="37"/>
  <c r="J99" i="37"/>
  <c r="K99" i="37" s="1"/>
  <c r="L99" i="37" s="1"/>
  <c r="M99" i="37" s="1"/>
  <c r="H42" i="34"/>
  <c r="J42" i="34"/>
  <c r="W42" i="34" s="1"/>
  <c r="F42" i="34"/>
  <c r="J38" i="34"/>
  <c r="W38" i="34" s="1"/>
  <c r="D114" i="34"/>
  <c r="F38" i="34"/>
  <c r="S38" i="34"/>
  <c r="D112" i="34"/>
  <c r="E112" i="34" s="1"/>
  <c r="F112" i="34"/>
  <c r="G112" i="34" s="1"/>
  <c r="H112" i="34" s="1"/>
  <c r="I112" i="34" s="1"/>
  <c r="J112" i="34" s="1"/>
  <c r="K112" i="34" s="1"/>
  <c r="L112" i="34" s="1"/>
  <c r="M112" i="34" s="1"/>
  <c r="F40" i="33"/>
  <c r="S40" i="33" s="1"/>
  <c r="J41" i="33"/>
  <c r="AC41" i="33" s="1"/>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c r="K80" i="39" s="1"/>
  <c r="L80" i="39" s="1"/>
  <c r="M80" i="39" s="1"/>
  <c r="D76" i="40"/>
  <c r="E76" i="40" s="1"/>
  <c r="F76" i="40"/>
  <c r="G76" i="40" s="1"/>
  <c r="H76" i="40" s="1"/>
  <c r="I76" i="40"/>
  <c r="J76" i="40" s="1"/>
  <c r="K76" i="40" s="1"/>
  <c r="L76" i="40" s="1"/>
  <c r="M76" i="40" s="1"/>
  <c r="B120" i="40"/>
  <c r="H40" i="40" s="1"/>
  <c r="AB40" i="40" s="1"/>
  <c r="B118" i="40"/>
  <c r="B116" i="40"/>
  <c r="F38" i="40"/>
  <c r="S38" i="40" s="1"/>
  <c r="D115" i="40"/>
  <c r="E115" i="40" s="1"/>
  <c r="F115" i="40"/>
  <c r="G115" i="40"/>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J31" i="40" s="1"/>
  <c r="AC31" i="40" s="1"/>
  <c r="D100" i="40"/>
  <c r="E100" i="40"/>
  <c r="F100" i="40"/>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J27" i="40" s="1"/>
  <c r="D92" i="40"/>
  <c r="E92" i="40"/>
  <c r="F92" i="40"/>
  <c r="G92" i="40"/>
  <c r="D90" i="40"/>
  <c r="E90" i="40"/>
  <c r="F90" i="40"/>
  <c r="G90" i="40"/>
  <c r="D88" i="40"/>
  <c r="E88" i="40"/>
  <c r="D86" i="40"/>
  <c r="E86" i="40"/>
  <c r="F86" i="40" s="1"/>
  <c r="G86" i="40" s="1"/>
  <c r="D84" i="40"/>
  <c r="E84" i="40" s="1"/>
  <c r="F84" i="40" s="1"/>
  <c r="G84" i="40" s="1"/>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s="1"/>
  <c r="H38" i="40"/>
  <c r="AB38" i="40"/>
  <c r="Q37" i="40"/>
  <c r="Z37" i="40" s="1"/>
  <c r="Q36" i="40"/>
  <c r="Z36" i="40" s="1"/>
  <c r="Q35" i="40"/>
  <c r="Z35" i="40" s="1"/>
  <c r="Q34" i="40"/>
  <c r="Z34" i="40" s="1"/>
  <c r="J34" i="40"/>
  <c r="AC34" i="40" s="1"/>
  <c r="H34" i="40"/>
  <c r="AB34" i="40" s="1"/>
  <c r="F34" i="40"/>
  <c r="AA34" i="40" s="1"/>
  <c r="Q33" i="40"/>
  <c r="Z33" i="40"/>
  <c r="Q32" i="40"/>
  <c r="Z32" i="40" s="1"/>
  <c r="Q31" i="40"/>
  <c r="Z31" i="40" s="1"/>
  <c r="Q30" i="40"/>
  <c r="Z30" i="40" s="1"/>
  <c r="Q28" i="40"/>
  <c r="Z28" i="40" s="1"/>
  <c r="Q27" i="40"/>
  <c r="Z27" i="40" s="1"/>
  <c r="Q23" i="40"/>
  <c r="Z23" i="40"/>
  <c r="Q21" i="40"/>
  <c r="Z21" i="40" s="1"/>
  <c r="Q19" i="40"/>
  <c r="Z19" i="40"/>
  <c r="Q17" i="40"/>
  <c r="Z17" i="40" s="1"/>
  <c r="Q15" i="40"/>
  <c r="Z15" i="40" s="1"/>
  <c r="Q14" i="40"/>
  <c r="Z14" i="40" s="1"/>
  <c r="Q13" i="40"/>
  <c r="Z13" i="40"/>
  <c r="Q12" i="40"/>
  <c r="Z12" i="40" s="1"/>
  <c r="Q11" i="40"/>
  <c r="Z11" i="40" s="1"/>
  <c r="Q10" i="40"/>
  <c r="Z10" i="40" s="1"/>
  <c r="Q9" i="40"/>
  <c r="Z9" i="40"/>
  <c r="J9" i="40"/>
  <c r="W9" i="40" s="1"/>
  <c r="H9" i="40"/>
  <c r="AB9" i="40" s="1"/>
  <c r="F9" i="40"/>
  <c r="S9" i="40" s="1"/>
  <c r="J8" i="40"/>
  <c r="AC8" i="40" s="1"/>
  <c r="H8" i="40"/>
  <c r="AB8" i="40" s="1"/>
  <c r="F8" i="40"/>
  <c r="AA8" i="40"/>
  <c r="J38" i="39"/>
  <c r="W38" i="39" s="1"/>
  <c r="H38" i="39"/>
  <c r="AB38" i="39"/>
  <c r="F38" i="39"/>
  <c r="AA38" i="39" s="1"/>
  <c r="D123" i="39"/>
  <c r="E123" i="39"/>
  <c r="F123" i="39"/>
  <c r="G123" i="39" s="1"/>
  <c r="H123" i="39"/>
  <c r="I123" i="39" s="1"/>
  <c r="J123" i="39" s="1"/>
  <c r="K123" i="39" s="1"/>
  <c r="L123" i="39" s="1"/>
  <c r="M123" i="39" s="1"/>
  <c r="D119" i="39"/>
  <c r="E119" i="39" s="1"/>
  <c r="F119" i="39"/>
  <c r="G119" i="39" s="1"/>
  <c r="H119" i="39" s="1"/>
  <c r="I119" i="39" s="1"/>
  <c r="J119" i="39" s="1"/>
  <c r="K119" i="39" s="1"/>
  <c r="L119" i="39" s="1"/>
  <c r="M119" i="39" s="1"/>
  <c r="B113" i="39"/>
  <c r="J37" i="39" s="1"/>
  <c r="D108" i="39"/>
  <c r="E108" i="39" s="1"/>
  <c r="F108" i="39" s="1"/>
  <c r="G108" i="39" s="1"/>
  <c r="F34" i="39"/>
  <c r="AA34" i="39"/>
  <c r="D106" i="39"/>
  <c r="E106" i="39"/>
  <c r="D104" i="39"/>
  <c r="E104" i="39"/>
  <c r="F104" i="39" s="1"/>
  <c r="G104" i="39" s="1"/>
  <c r="H104" i="39" s="1"/>
  <c r="I104" i="39" s="1"/>
  <c r="J104" i="39" s="1"/>
  <c r="K104" i="39" s="1"/>
  <c r="L104" i="39" s="1"/>
  <c r="M104" i="39" s="1"/>
  <c r="D100" i="39"/>
  <c r="E100" i="39" s="1"/>
  <c r="F100" i="39" s="1"/>
  <c r="D98" i="39"/>
  <c r="E98" i="39" s="1"/>
  <c r="F98" i="39" s="1"/>
  <c r="G98" i="39"/>
  <c r="Q39" i="39"/>
  <c r="Z39" i="39" s="1"/>
  <c r="Q40" i="39"/>
  <c r="Z40" i="39" s="1"/>
  <c r="Q41" i="39"/>
  <c r="Z41" i="39" s="1"/>
  <c r="Q42" i="39"/>
  <c r="Z42" i="39" s="1"/>
  <c r="Q43" i="39"/>
  <c r="Z43" i="39" s="1"/>
  <c r="Q44" i="39"/>
  <c r="Z44" i="39"/>
  <c r="Q45" i="39"/>
  <c r="Z45" i="39" s="1"/>
  <c r="Q38" i="39"/>
  <c r="Z38" i="39"/>
  <c r="Q36" i="39"/>
  <c r="Z36" i="39" s="1"/>
  <c r="Q37" i="39"/>
  <c r="Z37" i="39" s="1"/>
  <c r="B130" i="39"/>
  <c r="B128" i="39"/>
  <c r="J44" i="39" s="1"/>
  <c r="H44" i="39"/>
  <c r="B126" i="39"/>
  <c r="J43" i="39" s="1"/>
  <c r="D125" i="39"/>
  <c r="E125" i="39"/>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c r="D96" i="39"/>
  <c r="J23" i="39"/>
  <c r="AC23" i="39" s="1"/>
  <c r="D94" i="39"/>
  <c r="E94" i="39"/>
  <c r="F94" i="39" s="1"/>
  <c r="D92" i="39"/>
  <c r="E92" i="39"/>
  <c r="F92" i="39"/>
  <c r="G92" i="39" s="1"/>
  <c r="D90" i="39"/>
  <c r="E90" i="39"/>
  <c r="F90" i="39"/>
  <c r="G90" i="39" s="1"/>
  <c r="D88" i="39"/>
  <c r="E88" i="39"/>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c r="Q32" i="39"/>
  <c r="Z32" i="39" s="1"/>
  <c r="Q31" i="39"/>
  <c r="Z31" i="39" s="1"/>
  <c r="Q27" i="39"/>
  <c r="Z27" i="39" s="1"/>
  <c r="Q25" i="39"/>
  <c r="Z25" i="39"/>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F9" i="39"/>
  <c r="AA9" i="39" s="1"/>
  <c r="J8" i="39"/>
  <c r="AC8" i="39" s="1"/>
  <c r="H8" i="39"/>
  <c r="U8" i="39"/>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F79" i="37" s="1"/>
  <c r="G79" i="37" s="1"/>
  <c r="D75" i="37"/>
  <c r="E75" i="37"/>
  <c r="D73" i="37"/>
  <c r="E73" i="37" s="1"/>
  <c r="F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Q30" i="37"/>
  <c r="Z30" i="37" s="1"/>
  <c r="J30" i="37"/>
  <c r="AC30" i="37"/>
  <c r="H30" i="37"/>
  <c r="AB30" i="37" s="1"/>
  <c r="F30" i="37"/>
  <c r="AA30" i="37"/>
  <c r="Q29" i="37"/>
  <c r="Z29" i="37" s="1"/>
  <c r="H29" i="37"/>
  <c r="AB29" i="37"/>
  <c r="Q28" i="37"/>
  <c r="Z28" i="37" s="1"/>
  <c r="Q27" i="37"/>
  <c r="Z27" i="37" s="1"/>
  <c r="Q26" i="37"/>
  <c r="Z26" i="37" s="1"/>
  <c r="Q25" i="37"/>
  <c r="Z25" i="37" s="1"/>
  <c r="J25" i="37"/>
  <c r="AC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c r="F8" i="37"/>
  <c r="S8" i="37" s="1"/>
  <c r="J31" i="36"/>
  <c r="AC31" i="36"/>
  <c r="H31" i="36"/>
  <c r="AB31" i="36" s="1"/>
  <c r="F31" i="36"/>
  <c r="S31" i="36"/>
  <c r="M86" i="36"/>
  <c r="L86" i="36"/>
  <c r="K86" i="36"/>
  <c r="J86" i="36"/>
  <c r="I86" i="36"/>
  <c r="H86" i="36"/>
  <c r="G86" i="36"/>
  <c r="F86" i="36"/>
  <c r="E86" i="36"/>
  <c r="D86" i="36"/>
  <c r="C86" i="36"/>
  <c r="D85" i="36"/>
  <c r="H29" i="36"/>
  <c r="D81" i="36"/>
  <c r="E81" i="36"/>
  <c r="F81" i="36"/>
  <c r="G81" i="36"/>
  <c r="H81" i="36" s="1"/>
  <c r="I81" i="36"/>
  <c r="J81" i="36" s="1"/>
  <c r="K81" i="36" s="1"/>
  <c r="L81" i="36" s="1"/>
  <c r="M81" i="36" s="1"/>
  <c r="F79" i="36"/>
  <c r="E79" i="36"/>
  <c r="D79" i="36"/>
  <c r="C79" i="36"/>
  <c r="B93" i="36"/>
  <c r="B91" i="36"/>
  <c r="F32" i="36"/>
  <c r="B95" i="36"/>
  <c r="H34" i="36" s="1"/>
  <c r="D83" i="36"/>
  <c r="E83" i="36"/>
  <c r="F83" i="36" s="1"/>
  <c r="G83" i="36" s="1"/>
  <c r="H83" i="36" s="1"/>
  <c r="I83" i="36" s="1"/>
  <c r="J83" i="36" s="1"/>
  <c r="K83" i="36" s="1"/>
  <c r="L83" i="36" s="1"/>
  <c r="M83" i="36" s="1"/>
  <c r="D78" i="36"/>
  <c r="E78" i="36"/>
  <c r="F78" i="36" s="1"/>
  <c r="G78" i="36"/>
  <c r="H78" i="36" s="1"/>
  <c r="I78" i="36"/>
  <c r="J78" i="36" s="1"/>
  <c r="K78" i="36" s="1"/>
  <c r="L78" i="36" s="1"/>
  <c r="M78" i="36" s="1"/>
  <c r="B75" i="36"/>
  <c r="B73" i="36"/>
  <c r="J24" i="36" s="1"/>
  <c r="B71" i="36"/>
  <c r="H23" i="36"/>
  <c r="AB23" i="36" s="1"/>
  <c r="D70" i="36"/>
  <c r="H22" i="36"/>
  <c r="AB22" i="36" s="1"/>
  <c r="D68" i="36"/>
  <c r="E68" i="36"/>
  <c r="F68" i="36"/>
  <c r="G68" i="36" s="1"/>
  <c r="D64" i="36"/>
  <c r="E64" i="36"/>
  <c r="F64" i="36"/>
  <c r="G64" i="36" s="1"/>
  <c r="J16" i="36"/>
  <c r="W16" i="36" s="1"/>
  <c r="D62" i="36"/>
  <c r="E62" i="36" s="1"/>
  <c r="F62" i="36"/>
  <c r="G62" i="36"/>
  <c r="B59" i="36"/>
  <c r="B57" i="36"/>
  <c r="J12" i="36"/>
  <c r="B55" i="36"/>
  <c r="H11" i="36" s="1"/>
  <c r="C51" i="36"/>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s="1"/>
  <c r="Q23" i="36"/>
  <c r="Z23" i="36"/>
  <c r="J23" i="36"/>
  <c r="AC23" i="36" s="1"/>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AC24" i="35" s="1"/>
  <c r="B73" i="35"/>
  <c r="H23" i="35" s="1"/>
  <c r="U23" i="35" s="1"/>
  <c r="J23" i="35"/>
  <c r="AC23" i="35" s="1"/>
  <c r="B57" i="35"/>
  <c r="F11" i="35" s="1"/>
  <c r="B61" i="35"/>
  <c r="J13" i="35" s="1"/>
  <c r="B59" i="35"/>
  <c r="F12" i="35"/>
  <c r="B131" i="34"/>
  <c r="B129" i="34"/>
  <c r="B127" i="34"/>
  <c r="B99" i="34"/>
  <c r="B97" i="34"/>
  <c r="H31" i="34" s="1"/>
  <c r="B95" i="34"/>
  <c r="F30" i="34" s="1"/>
  <c r="B93" i="34"/>
  <c r="B75" i="34"/>
  <c r="B73" i="34"/>
  <c r="B71" i="34"/>
  <c r="B130" i="33"/>
  <c r="B128" i="33"/>
  <c r="B126" i="33"/>
  <c r="B98" i="33"/>
  <c r="B96" i="33"/>
  <c r="B94" i="33"/>
  <c r="H29" i="33" s="1"/>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c r="D66" i="35"/>
  <c r="E66" i="35"/>
  <c r="F66" i="35" s="1"/>
  <c r="G66" i="35"/>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s="1"/>
  <c r="I120" i="34"/>
  <c r="J120" i="34" s="1"/>
  <c r="K120" i="34"/>
  <c r="L120" i="34" s="1"/>
  <c r="M120" i="34" s="1"/>
  <c r="D90" i="34"/>
  <c r="E90" i="34" s="1"/>
  <c r="F90" i="34" s="1"/>
  <c r="G90" i="34"/>
  <c r="H90" i="34"/>
  <c r="I90" i="34" s="1"/>
  <c r="J90" i="34" s="1"/>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c r="I107" i="34"/>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c r="D92" i="34"/>
  <c r="E92" i="34"/>
  <c r="F92" i="34" s="1"/>
  <c r="G92" i="34" s="1"/>
  <c r="H92" i="34"/>
  <c r="I92" i="34"/>
  <c r="J92" i="34" s="1"/>
  <c r="K92" i="34" s="1"/>
  <c r="L92" i="34" s="1"/>
  <c r="M92" i="34" s="1"/>
  <c r="B91" i="34"/>
  <c r="B89" i="34"/>
  <c r="D88" i="34"/>
  <c r="E88" i="34" s="1"/>
  <c r="F88" i="34"/>
  <c r="G88" i="34"/>
  <c r="H88" i="34" s="1"/>
  <c r="I88" i="34" s="1"/>
  <c r="J88" i="34"/>
  <c r="K88" i="34" s="1"/>
  <c r="L88" i="34" s="1"/>
  <c r="M88" i="34" s="1"/>
  <c r="D86" i="34"/>
  <c r="E86" i="34"/>
  <c r="F86" i="34" s="1"/>
  <c r="G86" i="34" s="1"/>
  <c r="D82" i="34"/>
  <c r="E82" i="34" s="1"/>
  <c r="F82" i="34"/>
  <c r="G82" i="34" s="1"/>
  <c r="D80" i="34"/>
  <c r="E80" i="34" s="1"/>
  <c r="F80" i="34" s="1"/>
  <c r="G80" i="34" s="1"/>
  <c r="D78" i="34"/>
  <c r="E78" i="34"/>
  <c r="F78" i="34"/>
  <c r="G78" i="34" s="1"/>
  <c r="D70" i="34"/>
  <c r="E70" i="34"/>
  <c r="M68" i="34"/>
  <c r="L68" i="34"/>
  <c r="K68" i="34"/>
  <c r="J68" i="34"/>
  <c r="I68" i="34"/>
  <c r="H68" i="34"/>
  <c r="G68" i="34"/>
  <c r="F68" i="34"/>
  <c r="E68" i="34"/>
  <c r="D68" i="34"/>
  <c r="C68" i="34"/>
  <c r="C64" i="34"/>
  <c r="F9" i="34"/>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AB34" i="34" s="1"/>
  <c r="F34" i="34"/>
  <c r="AA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c r="Q11" i="34"/>
  <c r="Z11" i="34" s="1"/>
  <c r="Q10" i="34"/>
  <c r="Z10" i="34"/>
  <c r="F10" i="34"/>
  <c r="AA10" i="34" s="1"/>
  <c r="Q9" i="34"/>
  <c r="Z9" i="34"/>
  <c r="J9" i="34"/>
  <c r="AC9" i="34" s="1"/>
  <c r="H9" i="34"/>
  <c r="J8" i="34"/>
  <c r="AC8" i="34"/>
  <c r="H8" i="34"/>
  <c r="U8" i="34"/>
  <c r="F8" i="34"/>
  <c r="D121" i="33"/>
  <c r="E121" i="33" s="1"/>
  <c r="F109" i="33"/>
  <c r="E109" i="33"/>
  <c r="D109" i="33"/>
  <c r="C109" i="33"/>
  <c r="D91" i="33"/>
  <c r="E91" i="33"/>
  <c r="B88" i="33"/>
  <c r="J26" i="33" s="1"/>
  <c r="C23" i="33"/>
  <c r="C19" i="33"/>
  <c r="C17" i="33"/>
  <c r="C15" i="33"/>
  <c r="C15" i="21"/>
  <c r="D125" i="33"/>
  <c r="D123" i="33"/>
  <c r="E123" i="33" s="1"/>
  <c r="D117" i="33"/>
  <c r="E117" i="33"/>
  <c r="F117" i="33"/>
  <c r="G117" i="33"/>
  <c r="D115" i="33"/>
  <c r="E115" i="33"/>
  <c r="F115" i="33"/>
  <c r="G115" i="33"/>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Q41" i="33"/>
  <c r="Z41" i="33" s="1"/>
  <c r="Q40" i="33"/>
  <c r="Z40" i="33"/>
  <c r="J40" i="33"/>
  <c r="H40" i="33"/>
  <c r="AB40" i="33"/>
  <c r="AA40" i="33"/>
  <c r="Q39" i="33"/>
  <c r="Z39" i="33" s="1"/>
  <c r="J39" i="33"/>
  <c r="W39" i="33" s="1"/>
  <c r="AC39" i="33"/>
  <c r="Q38" i="33"/>
  <c r="Z38" i="33" s="1"/>
  <c r="J38" i="33"/>
  <c r="AC38" i="33"/>
  <c r="H38" i="33"/>
  <c r="AB38" i="33" s="1"/>
  <c r="F38" i="33"/>
  <c r="Q37" i="33"/>
  <c r="Z37" i="33" s="1"/>
  <c r="Q36" i="33"/>
  <c r="Z36" i="33"/>
  <c r="Q35" i="33"/>
  <c r="Z35" i="33" s="1"/>
  <c r="H35" i="33"/>
  <c r="AB35" i="33"/>
  <c r="Q34" i="33"/>
  <c r="Z34" i="33" s="1"/>
  <c r="Q33" i="33"/>
  <c r="Z33" i="33"/>
  <c r="J33" i="33"/>
  <c r="AC33" i="33" s="1"/>
  <c r="H33" i="33"/>
  <c r="F33" i="33"/>
  <c r="AA33" i="33" s="1"/>
  <c r="Q32" i="33"/>
  <c r="Z32" i="33"/>
  <c r="Q31" i="33"/>
  <c r="Z31" i="33" s="1"/>
  <c r="Q30" i="33"/>
  <c r="Z30" i="33"/>
  <c r="Q29" i="33"/>
  <c r="Z29" i="33" s="1"/>
  <c r="Q28" i="33"/>
  <c r="Z28" i="33"/>
  <c r="Q27" i="33"/>
  <c r="Z27" i="33" s="1"/>
  <c r="Q26" i="33"/>
  <c r="Z26" i="33" s="1"/>
  <c r="Q25" i="33"/>
  <c r="Z25" i="33" s="1"/>
  <c r="Q23" i="33"/>
  <c r="Z23" i="33"/>
  <c r="Q19" i="33"/>
  <c r="Z19" i="33" s="1"/>
  <c r="Q17" i="33"/>
  <c r="Z17" i="33"/>
  <c r="Q15" i="33"/>
  <c r="Z15" i="33" s="1"/>
  <c r="F15" i="33"/>
  <c r="AA15" i="33"/>
  <c r="Q14" i="33"/>
  <c r="Z14" i="33" s="1"/>
  <c r="Q13" i="33"/>
  <c r="Z13" i="33" s="1"/>
  <c r="Q12" i="33"/>
  <c r="Z12" i="33" s="1"/>
  <c r="H12" i="33"/>
  <c r="U12" i="33"/>
  <c r="Q11" i="33"/>
  <c r="Z11" i="33" s="1"/>
  <c r="Q10" i="33"/>
  <c r="Z10" i="33"/>
  <c r="Q9" i="33"/>
  <c r="Z9" i="33" s="1"/>
  <c r="J9" i="33"/>
  <c r="AC9" i="33" s="1"/>
  <c r="H9" i="33"/>
  <c r="AB9" i="33" s="1"/>
  <c r="F9" i="33"/>
  <c r="AA9" i="33" s="1"/>
  <c r="J8" i="33"/>
  <c r="AC8" i="33" s="1"/>
  <c r="H8" i="33"/>
  <c r="AB8" i="33"/>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s="1"/>
  <c r="B97" i="43"/>
  <c r="C21" i="20"/>
  <c r="B99" i="43"/>
  <c r="C20" i="20"/>
  <c r="B101" i="43" s="1"/>
  <c r="B79" i="43"/>
  <c r="C18" i="20"/>
  <c r="B94" i="43"/>
  <c r="C17" i="20"/>
  <c r="B61" i="43"/>
  <c r="C16" i="20"/>
  <c r="C17" i="39"/>
  <c r="C15" i="20"/>
  <c r="B72" i="43"/>
  <c r="E54" i="21"/>
  <c r="F54" i="21" s="1"/>
  <c r="I54" i="21"/>
  <c r="J54" i="21" s="1"/>
  <c r="G54" i="21"/>
  <c r="H54" i="21" s="1"/>
  <c r="E123" i="21"/>
  <c r="F123" i="21" s="1"/>
  <c r="G123" i="21" s="1"/>
  <c r="H123" i="21" s="1"/>
  <c r="I123" i="21" s="1"/>
  <c r="J123" i="21"/>
  <c r="K123" i="21" s="1"/>
  <c r="L123" i="21" s="1"/>
  <c r="M123" i="21" s="1"/>
  <c r="D119" i="21"/>
  <c r="E119" i="21" s="1"/>
  <c r="F40" i="21"/>
  <c r="AA40" i="21" s="1"/>
  <c r="D117" i="21"/>
  <c r="E117" i="21"/>
  <c r="D115" i="21"/>
  <c r="E115" i="21" s="1"/>
  <c r="F115" i="21"/>
  <c r="G115" i="21" s="1"/>
  <c r="H115" i="21" s="1"/>
  <c r="I115" i="21" s="1"/>
  <c r="J115" i="21" s="1"/>
  <c r="K115" i="21" s="1"/>
  <c r="L115" i="21" s="1"/>
  <c r="M115" i="21" s="1"/>
  <c r="D108" i="21"/>
  <c r="E108" i="21"/>
  <c r="F108" i="21"/>
  <c r="G108" i="21" s="1"/>
  <c r="H108" i="21" s="1"/>
  <c r="I108" i="21" s="1"/>
  <c r="J108" i="21" s="1"/>
  <c r="K108" i="21" s="1"/>
  <c r="L108" i="21" s="1"/>
  <c r="M108" i="21" s="1"/>
  <c r="G106" i="21"/>
  <c r="H106" i="21" s="1"/>
  <c r="I106" i="21"/>
  <c r="J106" i="21"/>
  <c r="K106" i="21" s="1"/>
  <c r="L106" i="21" s="1"/>
  <c r="M106" i="21" s="1"/>
  <c r="D89" i="21"/>
  <c r="E89" i="21"/>
  <c r="F89" i="21" s="1"/>
  <c r="G89" i="21" s="1"/>
  <c r="H89" i="21" s="1"/>
  <c r="I89" i="21" s="1"/>
  <c r="J89" i="21" s="1"/>
  <c r="K89" i="21"/>
  <c r="D67" i="21"/>
  <c r="E67" i="21"/>
  <c r="F67" i="21"/>
  <c r="G67" i="21"/>
  <c r="H67" i="21"/>
  <c r="I67" i="21"/>
  <c r="J67" i="21"/>
  <c r="K67" i="21"/>
  <c r="L67" i="21"/>
  <c r="M67" i="21"/>
  <c r="C67" i="21"/>
  <c r="D69" i="21"/>
  <c r="E69" i="21" s="1"/>
  <c r="D111" i="21"/>
  <c r="E111" i="21"/>
  <c r="F111" i="21"/>
  <c r="C111" i="21"/>
  <c r="D79" i="21"/>
  <c r="D85" i="21"/>
  <c r="F19" i="21"/>
  <c r="S19" i="21" s="1"/>
  <c r="E81" i="21"/>
  <c r="F81" i="21"/>
  <c r="G81" i="21"/>
  <c r="D77" i="21"/>
  <c r="E77" i="21"/>
  <c r="F77" i="21"/>
  <c r="G77" i="21"/>
  <c r="B130" i="21"/>
  <c r="B128" i="21"/>
  <c r="J45" i="21"/>
  <c r="W45" i="21"/>
  <c r="B126" i="21"/>
  <c r="B98" i="21"/>
  <c r="F31" i="21" s="1"/>
  <c r="H31" i="21"/>
  <c r="B96" i="21"/>
  <c r="H30" i="21" s="1"/>
  <c r="AB30" i="21" s="1"/>
  <c r="B94" i="21"/>
  <c r="J29" i="21"/>
  <c r="B92" i="21"/>
  <c r="H28" i="21" s="1"/>
  <c r="AB28" i="21" s="1"/>
  <c r="B90" i="21"/>
  <c r="J27" i="21" s="1"/>
  <c r="AC27" i="21" s="1"/>
  <c r="B74" i="21"/>
  <c r="B72" i="21"/>
  <c r="F13" i="2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AC38" i="21" s="1"/>
  <c r="Q38" i="21"/>
  <c r="Z38" i="21"/>
  <c r="Q39" i="21"/>
  <c r="Z39" i="21" s="1"/>
  <c r="Q40" i="21"/>
  <c r="Z40" i="21" s="1"/>
  <c r="Q41" i="21"/>
  <c r="Z41" i="21" s="1"/>
  <c r="Q42" i="21"/>
  <c r="Z42" i="21" s="1"/>
  <c r="Q43" i="21"/>
  <c r="Z43" i="21"/>
  <c r="Q44" i="21"/>
  <c r="Z44" i="21" s="1"/>
  <c r="Q45" i="21"/>
  <c r="Z45" i="21"/>
  <c r="Q46" i="21"/>
  <c r="Z46" i="21" s="1"/>
  <c r="P47" i="21"/>
  <c r="R47" i="21"/>
  <c r="V47" i="21"/>
  <c r="P48" i="21"/>
  <c r="P49" i="21"/>
  <c r="F8" i="21"/>
  <c r="S8" i="2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F5" i="3" s="1"/>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U34" i="21"/>
  <c r="H38" i="21"/>
  <c r="AB38" i="21" s="1"/>
  <c r="F38" i="21"/>
  <c r="AA38" i="21"/>
  <c r="H35" i="21"/>
  <c r="AB35" i="21"/>
  <c r="J8" i="21"/>
  <c r="AC8" i="21" s="1"/>
  <c r="H8" i="21"/>
  <c r="U8" i="21"/>
  <c r="H10" i="21"/>
  <c r="AB10" i="21" s="1"/>
  <c r="H39" i="21"/>
  <c r="U39" i="21" s="1"/>
  <c r="F35" i="21"/>
  <c r="AA35" i="21" s="1"/>
  <c r="J10" i="21"/>
  <c r="AC10" i="21"/>
  <c r="J19" i="21"/>
  <c r="AB41" i="21"/>
  <c r="S41" i="21"/>
  <c r="AA41" i="21"/>
  <c r="J45" i="39"/>
  <c r="W45" i="39"/>
  <c r="AC44" i="39"/>
  <c r="F36" i="39"/>
  <c r="S36" i="39"/>
  <c r="H36" i="39"/>
  <c r="AB36" i="39"/>
  <c r="J36" i="39"/>
  <c r="AC36" i="39" s="1"/>
  <c r="W40" i="39"/>
  <c r="U30" i="37"/>
  <c r="E103" i="37"/>
  <c r="F103" i="37"/>
  <c r="G103" i="37"/>
  <c r="H103" i="37" s="1"/>
  <c r="I103" i="37"/>
  <c r="J103" i="37" s="1"/>
  <c r="K103" i="37" s="1"/>
  <c r="L103" i="37" s="1"/>
  <c r="M103" i="37" s="1"/>
  <c r="F39" i="37"/>
  <c r="S39" i="37" s="1"/>
  <c r="F29" i="36"/>
  <c r="AA29" i="36"/>
  <c r="F16" i="36"/>
  <c r="AA16" i="36" s="1"/>
  <c r="J33" i="36"/>
  <c r="AC33" i="36"/>
  <c r="H22" i="35"/>
  <c r="AB22" i="35"/>
  <c r="AC27" i="35"/>
  <c r="W28" i="35"/>
  <c r="U31" i="35"/>
  <c r="S31" i="35"/>
  <c r="U34" i="35"/>
  <c r="F36" i="34"/>
  <c r="J35" i="34"/>
  <c r="W9" i="34"/>
  <c r="U34" i="34"/>
  <c r="H39" i="33"/>
  <c r="AB39" i="33"/>
  <c r="F26" i="33"/>
  <c r="S26" i="33" s="1"/>
  <c r="AA26" i="33"/>
  <c r="U35" i="33"/>
  <c r="W33" i="33"/>
  <c r="H39" i="37"/>
  <c r="S27" i="35"/>
  <c r="F11" i="40"/>
  <c r="AA11" i="40"/>
  <c r="H11" i="40"/>
  <c r="AB11" i="40"/>
  <c r="AA9" i="40"/>
  <c r="U38" i="40"/>
  <c r="W31" i="40"/>
  <c r="U34" i="40"/>
  <c r="F42" i="39"/>
  <c r="AA42" i="39"/>
  <c r="F41" i="39"/>
  <c r="S41" i="39" s="1"/>
  <c r="H40" i="39"/>
  <c r="H39" i="39"/>
  <c r="U39" i="39" s="1"/>
  <c r="S34" i="39"/>
  <c r="H34" i="39"/>
  <c r="U34" i="39" s="1"/>
  <c r="F31" i="39"/>
  <c r="AA31" i="39"/>
  <c r="H19" i="39"/>
  <c r="AB19" i="39"/>
  <c r="F19" i="39"/>
  <c r="AA19" i="39" s="1"/>
  <c r="H17" i="39"/>
  <c r="AB17" i="39" s="1"/>
  <c r="F17" i="39"/>
  <c r="AA17" i="39" s="1"/>
  <c r="J23" i="40"/>
  <c r="AC23" i="40"/>
  <c r="F21" i="40"/>
  <c r="AA21" i="40" s="1"/>
  <c r="J21" i="40"/>
  <c r="W21" i="40"/>
  <c r="H42" i="39"/>
  <c r="J34" i="39"/>
  <c r="AC34" i="39"/>
  <c r="H108" i="39"/>
  <c r="I108" i="39" s="1"/>
  <c r="J108" i="39" s="1"/>
  <c r="K108" i="39" s="1"/>
  <c r="L108" i="39" s="1"/>
  <c r="M108" i="39" s="1"/>
  <c r="H27" i="39"/>
  <c r="U27" i="39"/>
  <c r="J19" i="39"/>
  <c r="AC19" i="39" s="1"/>
  <c r="J17" i="39"/>
  <c r="J27" i="39"/>
  <c r="AC27" i="39"/>
  <c r="F27" i="39"/>
  <c r="C25" i="39"/>
  <c r="H11" i="39"/>
  <c r="S40" i="39"/>
  <c r="C15" i="39"/>
  <c r="H32" i="33"/>
  <c r="AB32" i="33" s="1"/>
  <c r="H11" i="21"/>
  <c r="U11" i="21" s="1"/>
  <c r="H37" i="40"/>
  <c r="U37" i="40" s="1"/>
  <c r="H36" i="40"/>
  <c r="AB36" i="40"/>
  <c r="F35" i="40"/>
  <c r="AA35" i="40" s="1"/>
  <c r="H23" i="40"/>
  <c r="AB23" i="40"/>
  <c r="H17" i="40"/>
  <c r="U17" i="40" s="1"/>
  <c r="J15" i="40"/>
  <c r="W15" i="40"/>
  <c r="J11" i="40"/>
  <c r="W11" i="40" s="1"/>
  <c r="AB8" i="39"/>
  <c r="AB12" i="35"/>
  <c r="AB12" i="36"/>
  <c r="W32" i="40"/>
  <c r="F37" i="39"/>
  <c r="AA37" i="39" s="1"/>
  <c r="J34" i="36"/>
  <c r="W34" i="36"/>
  <c r="U30" i="36"/>
  <c r="J30" i="35"/>
  <c r="W30" i="35"/>
  <c r="H30" i="35"/>
  <c r="AB30" i="35" s="1"/>
  <c r="F22" i="35"/>
  <c r="AA22" i="35"/>
  <c r="H10" i="35"/>
  <c r="U10" i="35" s="1"/>
  <c r="W30" i="36"/>
  <c r="H16" i="36"/>
  <c r="AB16" i="36" s="1"/>
  <c r="E85" i="36"/>
  <c r="F85" i="36"/>
  <c r="G85" i="36"/>
  <c r="H85" i="36" s="1"/>
  <c r="I85" i="36"/>
  <c r="J85" i="36" s="1"/>
  <c r="K85" i="36" s="1"/>
  <c r="L85" i="36" s="1"/>
  <c r="M85" i="36" s="1"/>
  <c r="J29" i="36"/>
  <c r="AC29" i="36" s="1"/>
  <c r="F12" i="36"/>
  <c r="F34" i="36"/>
  <c r="S34" i="36" s="1"/>
  <c r="F14" i="35"/>
  <c r="AA14" i="35"/>
  <c r="F23" i="35"/>
  <c r="AA23" i="35" s="1"/>
  <c r="J32" i="35"/>
  <c r="AC32" i="35"/>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c r="J33" i="37"/>
  <c r="AC33" i="37"/>
  <c r="U42" i="34"/>
  <c r="H40" i="34"/>
  <c r="U40" i="34"/>
  <c r="E114" i="34"/>
  <c r="F114" i="34" s="1"/>
  <c r="G114" i="34" s="1"/>
  <c r="H114" i="34" s="1"/>
  <c r="H36" i="34"/>
  <c r="U36" i="34" s="1"/>
  <c r="F37" i="34"/>
  <c r="AA37" i="34"/>
  <c r="S35" i="34"/>
  <c r="F28" i="34"/>
  <c r="AA28" i="34"/>
  <c r="F25" i="34"/>
  <c r="S25" i="34"/>
  <c r="H23" i="34"/>
  <c r="U23" i="34"/>
  <c r="J23" i="34"/>
  <c r="F19" i="34"/>
  <c r="S19" i="34" s="1"/>
  <c r="H17" i="34"/>
  <c r="U17" i="34"/>
  <c r="F15" i="34"/>
  <c r="AA15" i="34"/>
  <c r="J15" i="34"/>
  <c r="H15" i="34"/>
  <c r="AB15" i="34"/>
  <c r="W8" i="34"/>
  <c r="J28" i="34"/>
  <c r="W28" i="34"/>
  <c r="F41" i="33"/>
  <c r="S41" i="33" s="1"/>
  <c r="AA41" i="33"/>
  <c r="E113" i="33"/>
  <c r="F32" i="33"/>
  <c r="AA32" i="33"/>
  <c r="J19" i="33"/>
  <c r="AC19" i="33"/>
  <c r="J15" i="33"/>
  <c r="AC15" i="33"/>
  <c r="F11" i="33"/>
  <c r="AA11" i="33"/>
  <c r="U40" i="33"/>
  <c r="F37" i="40"/>
  <c r="AA37" i="40" s="1"/>
  <c r="F36" i="40"/>
  <c r="AA36" i="40" s="1"/>
  <c r="H28" i="40"/>
  <c r="U28" i="40"/>
  <c r="F23" i="40"/>
  <c r="AA23" i="40" s="1"/>
  <c r="F17" i="40"/>
  <c r="AA17" i="40"/>
  <c r="J17" i="40"/>
  <c r="W17" i="40" s="1"/>
  <c r="F15" i="40"/>
  <c r="S15" i="40"/>
  <c r="H15" i="40"/>
  <c r="AB15" i="40" s="1"/>
  <c r="AC11" i="40"/>
  <c r="S12" i="36"/>
  <c r="AA12" i="36"/>
  <c r="F29" i="35"/>
  <c r="S29" i="35"/>
  <c r="H29" i="35"/>
  <c r="AB29" i="35" s="1"/>
  <c r="H33" i="37"/>
  <c r="F33" i="37"/>
  <c r="AA33" i="37"/>
  <c r="J43" i="34"/>
  <c r="AB42" i="34"/>
  <c r="J40" i="34"/>
  <c r="I114" i="34"/>
  <c r="J114" i="34" s="1"/>
  <c r="K114" i="34" s="1"/>
  <c r="L114" i="34" s="1"/>
  <c r="M114" i="34" s="1"/>
  <c r="H38" i="34"/>
  <c r="J36" i="34"/>
  <c r="W36" i="34"/>
  <c r="H37" i="34"/>
  <c r="U37" i="34" s="1"/>
  <c r="H25" i="34"/>
  <c r="AB25" i="34"/>
  <c r="J25" i="34"/>
  <c r="AB23" i="34"/>
  <c r="F23" i="34"/>
  <c r="AA23" i="34"/>
  <c r="J19" i="34"/>
  <c r="AC19" i="34" s="1"/>
  <c r="F17" i="34"/>
  <c r="AA17" i="34"/>
  <c r="J17" i="34"/>
  <c r="AB17" i="34"/>
  <c r="F113" i="33"/>
  <c r="G113" i="33" s="1"/>
  <c r="H113" i="33"/>
  <c r="I113" i="33" s="1"/>
  <c r="J113" i="33" s="1"/>
  <c r="K113" i="33" s="1"/>
  <c r="L113" i="33" s="1"/>
  <c r="M113" i="33"/>
  <c r="H37" i="33"/>
  <c r="AB37" i="33" s="1"/>
  <c r="H15" i="33"/>
  <c r="AB15" i="33"/>
  <c r="H11" i="33"/>
  <c r="F28" i="40"/>
  <c r="AA28" i="40"/>
  <c r="AA29" i="35"/>
  <c r="AA42" i="34"/>
  <c r="S42" i="34"/>
  <c r="AC38" i="34"/>
  <c r="AA38" i="34"/>
  <c r="J37" i="34"/>
  <c r="AC37" i="34"/>
  <c r="J11" i="33"/>
  <c r="W11" i="33"/>
  <c r="S28" i="34"/>
  <c r="J44" i="34"/>
  <c r="F44" i="34"/>
  <c r="AA44" i="34"/>
  <c r="J10" i="35"/>
  <c r="AC10" i="35"/>
  <c r="F28" i="21"/>
  <c r="AA28" i="21" s="1"/>
  <c r="J28" i="21"/>
  <c r="W28" i="21" s="1"/>
  <c r="F30" i="21"/>
  <c r="S30" i="21"/>
  <c r="J30" i="21"/>
  <c r="AC30" i="21" s="1"/>
  <c r="J44" i="21"/>
  <c r="AC44" i="21"/>
  <c r="H44" i="21"/>
  <c r="U44" i="21" s="1"/>
  <c r="F44" i="21"/>
  <c r="AA44" i="21" s="1"/>
  <c r="H46" i="21"/>
  <c r="U46" i="21" s="1"/>
  <c r="J46" i="21"/>
  <c r="F46" i="21"/>
  <c r="F119" i="21"/>
  <c r="G119" i="21"/>
  <c r="H119" i="21"/>
  <c r="I119" i="21" s="1"/>
  <c r="J119" i="21" s="1"/>
  <c r="K119" i="21" s="1"/>
  <c r="L119" i="21" s="1"/>
  <c r="M119" i="21" s="1"/>
  <c r="H26" i="33"/>
  <c r="H28" i="33"/>
  <c r="U28" i="33" s="1"/>
  <c r="F28" i="33"/>
  <c r="AA28" i="33"/>
  <c r="J28" i="33"/>
  <c r="W28" i="33" s="1"/>
  <c r="F33" i="35"/>
  <c r="S33" i="35"/>
  <c r="J33" i="35"/>
  <c r="AC33" i="35" s="1"/>
  <c r="F30" i="35"/>
  <c r="S30" i="35"/>
  <c r="E89" i="35"/>
  <c r="F89" i="35" s="1"/>
  <c r="G89" i="35"/>
  <c r="H89" i="35" s="1"/>
  <c r="I89" i="35" s="1"/>
  <c r="J89" i="35" s="1"/>
  <c r="K89" i="35" s="1"/>
  <c r="L89" i="35" s="1"/>
  <c r="M89" i="35" s="1"/>
  <c r="H10" i="36"/>
  <c r="AB10" i="36"/>
  <c r="J14" i="36"/>
  <c r="AC14" i="36" s="1"/>
  <c r="H14" i="36"/>
  <c r="U14" i="36"/>
  <c r="F28" i="36"/>
  <c r="AA28" i="36" s="1"/>
  <c r="H27" i="21"/>
  <c r="U27" i="21" s="1"/>
  <c r="F27" i="21"/>
  <c r="AA27" i="21" s="1"/>
  <c r="H29" i="21"/>
  <c r="U29" i="21"/>
  <c r="J31" i="21"/>
  <c r="AC31" i="21"/>
  <c r="S31" i="21"/>
  <c r="F45" i="21"/>
  <c r="AA45" i="21"/>
  <c r="AA27" i="33"/>
  <c r="J29" i="33"/>
  <c r="U29" i="33"/>
  <c r="F29" i="33"/>
  <c r="S29" i="33"/>
  <c r="J45" i="33"/>
  <c r="W45" i="33"/>
  <c r="J14" i="34"/>
  <c r="W14" i="34" s="1"/>
  <c r="F14" i="34"/>
  <c r="S14" i="34"/>
  <c r="H14" i="34"/>
  <c r="AB14" i="34" s="1"/>
  <c r="H30" i="34"/>
  <c r="S30" i="34"/>
  <c r="J30" i="34"/>
  <c r="H32" i="34"/>
  <c r="F32" i="34"/>
  <c r="J32" i="34"/>
  <c r="W32" i="34"/>
  <c r="H46" i="34"/>
  <c r="U46" i="34" s="1"/>
  <c r="F46" i="34"/>
  <c r="J46" i="34"/>
  <c r="H11" i="35"/>
  <c r="AB11" i="35" s="1"/>
  <c r="J11" i="35"/>
  <c r="S11" i="35"/>
  <c r="J26" i="36"/>
  <c r="H28" i="36"/>
  <c r="U28" i="36"/>
  <c r="H32" i="36"/>
  <c r="J32" i="36"/>
  <c r="W32" i="36"/>
  <c r="J11" i="36"/>
  <c r="AC11" i="36" s="1"/>
  <c r="U11" i="36"/>
  <c r="F11" i="36"/>
  <c r="AA11" i="36"/>
  <c r="H13" i="36"/>
  <c r="AB13" i="36"/>
  <c r="J13" i="36"/>
  <c r="F13" i="36"/>
  <c r="S13" i="36" s="1"/>
  <c r="E89" i="37"/>
  <c r="F89" i="37"/>
  <c r="G89" i="37"/>
  <c r="H89" i="37" s="1"/>
  <c r="I89" i="37"/>
  <c r="J89" i="37" s="1"/>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U46" i="33" s="1"/>
  <c r="AB46" i="33"/>
  <c r="H13" i="34"/>
  <c r="U13" i="34" s="1"/>
  <c r="J13" i="34"/>
  <c r="F13" i="34"/>
  <c r="AA13" i="34" s="1"/>
  <c r="J29" i="34"/>
  <c r="F29" i="34"/>
  <c r="S29" i="34" s="1"/>
  <c r="H29" i="34"/>
  <c r="AB29" i="34"/>
  <c r="J31" i="34"/>
  <c r="F31" i="34"/>
  <c r="S31" i="34"/>
  <c r="H45" i="34"/>
  <c r="J45" i="34"/>
  <c r="W45" i="34"/>
  <c r="F45" i="34"/>
  <c r="S45" i="34" s="1"/>
  <c r="H47" i="34"/>
  <c r="U47" i="34" s="1"/>
  <c r="F47" i="34"/>
  <c r="S47" i="34" s="1"/>
  <c r="J47" i="34"/>
  <c r="AC47" i="34"/>
  <c r="F13" i="35"/>
  <c r="AC13" i="35"/>
  <c r="H13" i="35"/>
  <c r="U13" i="35"/>
  <c r="F25" i="35"/>
  <c r="S25" i="35"/>
  <c r="J35" i="35"/>
  <c r="AC35" i="35"/>
  <c r="F35" i="35"/>
  <c r="AA35" i="35"/>
  <c r="H35" i="35"/>
  <c r="J25" i="36"/>
  <c r="W25" i="36" s="1"/>
  <c r="F25" i="36"/>
  <c r="S25" i="36"/>
  <c r="H25" i="36"/>
  <c r="AB25" i="36" s="1"/>
  <c r="F13" i="37"/>
  <c r="S13" i="37" s="1"/>
  <c r="F28" i="37"/>
  <c r="AA28" i="37" s="1"/>
  <c r="J28" i="37"/>
  <c r="AC28" i="37" s="1"/>
  <c r="H28" i="37"/>
  <c r="J38" i="37"/>
  <c r="AC38" i="37" s="1"/>
  <c r="F43" i="39"/>
  <c r="AA43" i="39"/>
  <c r="H43" i="39"/>
  <c r="J14" i="39"/>
  <c r="AC14" i="39"/>
  <c r="F14" i="39"/>
  <c r="S14" i="39" s="1"/>
  <c r="H14" i="39"/>
  <c r="AB14" i="39"/>
  <c r="F12" i="40"/>
  <c r="S12" i="40"/>
  <c r="H12" i="40"/>
  <c r="AB12" i="40"/>
  <c r="H30" i="40"/>
  <c r="AB30" i="40"/>
  <c r="H33" i="40"/>
  <c r="U33" i="40"/>
  <c r="J35" i="40"/>
  <c r="AC35" i="40"/>
  <c r="J37" i="40"/>
  <c r="AC37" i="40"/>
  <c r="U13" i="40"/>
  <c r="J13" i="40"/>
  <c r="W13" i="40"/>
  <c r="F14" i="37"/>
  <c r="F13" i="39"/>
  <c r="J13" i="39"/>
  <c r="H13" i="39"/>
  <c r="H14" i="40"/>
  <c r="AB14" i="40"/>
  <c r="J14" i="40"/>
  <c r="W14" i="40"/>
  <c r="F14" i="40"/>
  <c r="AA14" i="40"/>
  <c r="J14" i="37"/>
  <c r="J27" i="37"/>
  <c r="AC27" i="37"/>
  <c r="AA44" i="33"/>
  <c r="AA14" i="33"/>
  <c r="J36" i="37"/>
  <c r="AC36" i="37"/>
  <c r="J10" i="36"/>
  <c r="AC10" i="36"/>
  <c r="S11" i="36"/>
  <c r="AB46" i="34"/>
  <c r="AA14" i="34"/>
  <c r="S44" i="34"/>
  <c r="BA586" i="3"/>
  <c r="F15" i="21"/>
  <c r="S15" i="21" s="1"/>
  <c r="J41" i="39"/>
  <c r="W41" i="39" s="1"/>
  <c r="W44" i="39"/>
  <c r="U36"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68" i="3"/>
  <c r="BL564" i="3"/>
  <c r="BL560" i="3"/>
  <c r="BL546" i="3"/>
  <c r="BL542" i="3"/>
  <c r="BL538" i="3"/>
  <c r="BL534" i="3"/>
  <c r="BL530" i="3"/>
  <c r="BL526" i="3"/>
  <c r="BL522" i="3"/>
  <c r="BL516" i="3"/>
  <c r="BL512" i="3"/>
  <c r="BL506" i="3"/>
  <c r="BL502" i="3"/>
  <c r="BA502" i="3"/>
  <c r="AZ502" i="3"/>
  <c r="BL498" i="3"/>
  <c r="BL494" i="3"/>
  <c r="BL578" i="3"/>
  <c r="BL574" i="3"/>
  <c r="BL570" i="3"/>
  <c r="BL566" i="3"/>
  <c r="BL562" i="3"/>
  <c r="BL556" i="3"/>
  <c r="BL552" i="3"/>
  <c r="BL540" i="3"/>
  <c r="BA540" i="3"/>
  <c r="AZ540" i="3"/>
  <c r="BL536" i="3"/>
  <c r="G533" i="3"/>
  <c r="BL532" i="3"/>
  <c r="G529" i="3"/>
  <c r="BL528" i="3"/>
  <c r="G525" i="3"/>
  <c r="BL524" i="3"/>
  <c r="BL518" i="3"/>
  <c r="BL514" i="3"/>
  <c r="BL510" i="3"/>
  <c r="BL504" i="3"/>
  <c r="BL500" i="3"/>
  <c r="BL496" i="3"/>
  <c r="G493" i="3"/>
  <c r="BA584" i="3"/>
  <c r="AZ584" i="3" s="1"/>
  <c r="BA582" i="3"/>
  <c r="BA578" i="3"/>
  <c r="BA570" i="3"/>
  <c r="AZ570" i="3" s="1"/>
  <c r="BA568" i="3"/>
  <c r="AZ568" i="3"/>
  <c r="BA566" i="3"/>
  <c r="AZ566" i="3" s="1"/>
  <c r="BA562" i="3"/>
  <c r="BA560" i="3"/>
  <c r="AZ560" i="3" s="1"/>
  <c r="BL558" i="3"/>
  <c r="BA556" i="3"/>
  <c r="BA554" i="3"/>
  <c r="BA552" i="3"/>
  <c r="AZ552" i="3" s="1"/>
  <c r="BA548" i="3"/>
  <c r="BA546" i="3"/>
  <c r="BA544" i="3"/>
  <c r="BA542" i="3"/>
  <c r="AZ542" i="3" s="1"/>
  <c r="BA538" i="3"/>
  <c r="AZ538" i="3"/>
  <c r="BA536" i="3"/>
  <c r="AZ536" i="3" s="1"/>
  <c r="BA534" i="3"/>
  <c r="AZ534" i="3" s="1"/>
  <c r="BA532" i="3"/>
  <c r="BA530" i="3"/>
  <c r="BA528" i="3"/>
  <c r="AZ528" i="3" s="1"/>
  <c r="BA526" i="3"/>
  <c r="AZ526" i="3"/>
  <c r="BA524" i="3"/>
  <c r="AZ524" i="3" s="1"/>
  <c r="BA522" i="3"/>
  <c r="BA520" i="3"/>
  <c r="AZ520" i="3" s="1"/>
  <c r="BA518" i="3"/>
  <c r="AZ518" i="3" s="1"/>
  <c r="BA516" i="3"/>
  <c r="AZ516" i="3"/>
  <c r="BA514" i="3"/>
  <c r="AZ514" i="3" s="1"/>
  <c r="BA512" i="3"/>
  <c r="BA510" i="3"/>
  <c r="AZ510" i="3"/>
  <c r="BA508" i="3"/>
  <c r="BA506" i="3"/>
  <c r="BA504" i="3"/>
  <c r="AZ504" i="3"/>
  <c r="BA500" i="3"/>
  <c r="BA498" i="3"/>
  <c r="AZ498" i="3"/>
  <c r="BA496" i="3"/>
  <c r="BA494" i="3"/>
  <c r="BA581" i="3"/>
  <c r="BQ579" i="3"/>
  <c r="BA575" i="3"/>
  <c r="BQ575" i="3"/>
  <c r="BA573" i="3"/>
  <c r="BA571" i="3"/>
  <c r="BQ571" i="3"/>
  <c r="BA569" i="3"/>
  <c r="BA567" i="3"/>
  <c r="BA563" i="3"/>
  <c r="BA561" i="3"/>
  <c r="BA559" i="3"/>
  <c r="BA553" i="3"/>
  <c r="AZ553" i="3" s="1"/>
  <c r="BA549" i="3"/>
  <c r="BA547" i="3"/>
  <c r="BA543" i="3"/>
  <c r="BA541" i="3"/>
  <c r="BA539" i="3"/>
  <c r="AZ539" i="3" s="1"/>
  <c r="BA537" i="3"/>
  <c r="BQ537" i="3"/>
  <c r="BL537" i="3"/>
  <c r="AZ537" i="3"/>
  <c r="BA535" i="3"/>
  <c r="BA533" i="3"/>
  <c r="BA531" i="3"/>
  <c r="AZ531" i="3" s="1"/>
  <c r="BA529" i="3"/>
  <c r="AZ529" i="3" s="1"/>
  <c r="BQ529" i="3"/>
  <c r="BL529" i="3"/>
  <c r="BA527" i="3"/>
  <c r="AZ527" i="3" s="1"/>
  <c r="BA525" i="3"/>
  <c r="BA523" i="3"/>
  <c r="BA519" i="3"/>
  <c r="BA517" i="3"/>
  <c r="BA515" i="3"/>
  <c r="BA513" i="3"/>
  <c r="BQ513" i="3"/>
  <c r="BL513" i="3"/>
  <c r="BA511" i="3"/>
  <c r="BA507" i="3"/>
  <c r="BA505" i="3"/>
  <c r="BA503" i="3"/>
  <c r="BA501" i="3"/>
  <c r="BA499" i="3"/>
  <c r="BA497" i="3"/>
  <c r="BA495" i="3"/>
  <c r="BA493" i="3"/>
  <c r="G583" i="3"/>
  <c r="G581" i="3"/>
  <c r="G579" i="3"/>
  <c r="G575" i="3"/>
  <c r="G571" i="3"/>
  <c r="G569" i="3"/>
  <c r="G567" i="3"/>
  <c r="G563" i="3"/>
  <c r="G561" i="3"/>
  <c r="BA557" i="3"/>
  <c r="BQ557" i="3"/>
  <c r="BL557" i="3"/>
  <c r="AZ557" i="3"/>
  <c r="AC557" i="3"/>
  <c r="BQ583" i="3"/>
  <c r="BL583" i="3"/>
  <c r="AZ583" i="3"/>
  <c r="BQ581" i="3"/>
  <c r="BQ577" i="3"/>
  <c r="BL577" i="3"/>
  <c r="BQ573" i="3"/>
  <c r="BL573" i="3"/>
  <c r="AZ573" i="3"/>
  <c r="BQ569" i="3"/>
  <c r="BL569" i="3"/>
  <c r="AZ569" i="3"/>
  <c r="BQ567" i="3"/>
  <c r="BL567" i="3" s="1"/>
  <c r="BQ565" i="3"/>
  <c r="BL565" i="3" s="1"/>
  <c r="BQ563" i="3"/>
  <c r="BL563" i="3"/>
  <c r="BQ561" i="3"/>
  <c r="BL561" i="3"/>
  <c r="BQ559" i="3"/>
  <c r="BL559" i="3"/>
  <c r="G555" i="3"/>
  <c r="G553" i="3"/>
  <c r="G549" i="3"/>
  <c r="G545" i="3"/>
  <c r="G543" i="3"/>
  <c r="G541" i="3"/>
  <c r="G539" i="3"/>
  <c r="G537" i="3"/>
  <c r="BQ555" i="3"/>
  <c r="BL555" i="3"/>
  <c r="BQ553" i="3"/>
  <c r="BL553" i="3"/>
  <c r="BQ551" i="3"/>
  <c r="BL551" i="3" s="1"/>
  <c r="BQ549" i="3"/>
  <c r="BL549" i="3" s="1"/>
  <c r="BQ547" i="3"/>
  <c r="BL547" i="3"/>
  <c r="BQ545" i="3"/>
  <c r="BL545" i="3"/>
  <c r="BQ543" i="3"/>
  <c r="BQ541" i="3"/>
  <c r="BL541" i="3"/>
  <c r="BQ539" i="3"/>
  <c r="BL539" i="3"/>
  <c r="BQ535" i="3"/>
  <c r="BL535" i="3"/>
  <c r="AZ535" i="3"/>
  <c r="BQ533" i="3"/>
  <c r="BL533" i="3" s="1"/>
  <c r="AZ533" i="3"/>
  <c r="BQ531" i="3"/>
  <c r="BL531" i="3"/>
  <c r="BQ527" i="3"/>
  <c r="BL527" i="3"/>
  <c r="BQ525" i="3"/>
  <c r="BL525" i="3"/>
  <c r="AZ525" i="3"/>
  <c r="BQ523" i="3"/>
  <c r="BL523" i="3" s="1"/>
  <c r="AZ523" i="3"/>
  <c r="BA521" i="3"/>
  <c r="AC521" i="3"/>
  <c r="BQ521" i="3"/>
  <c r="BL521" i="3"/>
  <c r="AZ521" i="3"/>
  <c r="BL520" i="3"/>
  <c r="G519" i="3"/>
  <c r="G517" i="3"/>
  <c r="G515" i="3"/>
  <c r="G513" i="3"/>
  <c r="G511" i="3"/>
  <c r="BQ519" i="3"/>
  <c r="BL519" i="3" s="1"/>
  <c r="AZ519" i="3"/>
  <c r="BQ517" i="3"/>
  <c r="BL517" i="3"/>
  <c r="BQ515" i="3"/>
  <c r="BL515" i="3"/>
  <c r="AZ515" i="3" s="1"/>
  <c r="BQ511" i="3"/>
  <c r="BL511" i="3" s="1"/>
  <c r="AZ511" i="3"/>
  <c r="BA509" i="3"/>
  <c r="AZ509" i="3" s="1"/>
  <c r="AC509" i="3"/>
  <c r="BQ509" i="3"/>
  <c r="BL509" i="3"/>
  <c r="BL508" i="3"/>
  <c r="G507" i="3"/>
  <c r="G505" i="3"/>
  <c r="G503" i="3"/>
  <c r="G501" i="3"/>
  <c r="G499" i="3"/>
  <c r="G497" i="3"/>
  <c r="G495" i="3"/>
  <c r="BQ507" i="3"/>
  <c r="BQ505" i="3"/>
  <c r="BL505" i="3"/>
  <c r="AZ505" i="3"/>
  <c r="BQ503" i="3"/>
  <c r="BL503" i="3"/>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s="1"/>
  <c r="H43" i="33"/>
  <c r="H17" i="37"/>
  <c r="AB17" i="37" s="1"/>
  <c r="U17" i="37"/>
  <c r="U32" i="33"/>
  <c r="AA36" i="39"/>
  <c r="F39" i="33"/>
  <c r="F42" i="33"/>
  <c r="AA42" i="33"/>
  <c r="H28" i="34"/>
  <c r="AB28" i="34"/>
  <c r="F14" i="36"/>
  <c r="S14" i="36" s="1"/>
  <c r="AA14" i="36"/>
  <c r="F22" i="36"/>
  <c r="S22" i="36"/>
  <c r="F26" i="36"/>
  <c r="S26" i="36"/>
  <c r="H35" i="34"/>
  <c r="U35" i="34" s="1"/>
  <c r="F41" i="34"/>
  <c r="H41" i="34"/>
  <c r="U41" i="34"/>
  <c r="J41" i="34"/>
  <c r="AC41" i="34" s="1"/>
  <c r="F10" i="35"/>
  <c r="S10" i="35"/>
  <c r="F24" i="35"/>
  <c r="H24" i="35"/>
  <c r="AB24" i="35"/>
  <c r="H23" i="37"/>
  <c r="AB23" i="37" s="1"/>
  <c r="J32" i="37"/>
  <c r="AC32" i="37"/>
  <c r="F36" i="37"/>
  <c r="AA36" i="37" s="1"/>
  <c r="F37" i="37"/>
  <c r="AA37" i="37"/>
  <c r="F31" i="40"/>
  <c r="H31" i="40"/>
  <c r="U31" i="40"/>
  <c r="F32" i="40"/>
  <c r="H32" i="40"/>
  <c r="AB32" i="40"/>
  <c r="J36" i="40"/>
  <c r="W36" i="40" s="1"/>
  <c r="H19" i="37"/>
  <c r="AB19" i="37"/>
  <c r="F123" i="33"/>
  <c r="G123" i="33" s="1"/>
  <c r="H123" i="33" s="1"/>
  <c r="I123" i="33"/>
  <c r="J123" i="33" s="1"/>
  <c r="K123" i="33" s="1"/>
  <c r="L123" i="33" s="1"/>
  <c r="M123" i="33" s="1"/>
  <c r="H42" i="33"/>
  <c r="AB42" i="33" s="1"/>
  <c r="J43" i="33"/>
  <c r="AC43" i="33"/>
  <c r="S28" i="31"/>
  <c r="S27" i="31"/>
  <c r="S26" i="31"/>
  <c r="U14" i="40"/>
  <c r="W23" i="35"/>
  <c r="W47" i="34"/>
  <c r="AC36" i="34"/>
  <c r="AC45" i="33"/>
  <c r="W44" i="33"/>
  <c r="F43" i="33"/>
  <c r="AA43" i="33"/>
  <c r="W15" i="34"/>
  <c r="AC15" i="34"/>
  <c r="W16" i="35"/>
  <c r="W40" i="37"/>
  <c r="G107" i="37"/>
  <c r="H107" i="37" s="1"/>
  <c r="I107" i="37" s="1"/>
  <c r="J107" i="37" s="1"/>
  <c r="K107" i="37" s="1"/>
  <c r="L107" i="37" s="1"/>
  <c r="M107" i="37" s="1"/>
  <c r="H19" i="34"/>
  <c r="AB19" i="34" s="1"/>
  <c r="F36" i="35"/>
  <c r="S36" i="35"/>
  <c r="J9" i="37"/>
  <c r="W9" i="37" s="1"/>
  <c r="H9" i="37"/>
  <c r="U9" i="37"/>
  <c r="F9" i="37"/>
  <c r="S9" i="37" s="1"/>
  <c r="J12" i="37"/>
  <c r="W12" i="37"/>
  <c r="H12" i="37"/>
  <c r="AB12" i="37" s="1"/>
  <c r="F12" i="37"/>
  <c r="S12" i="37"/>
  <c r="E71" i="37"/>
  <c r="F71" i="37" s="1"/>
  <c r="G71" i="37" s="1"/>
  <c r="F15" i="37"/>
  <c r="AA15" i="37"/>
  <c r="E94" i="37"/>
  <c r="F94" i="37" s="1"/>
  <c r="G94" i="37" s="1"/>
  <c r="H94" i="37" s="1"/>
  <c r="I94" i="37" s="1"/>
  <c r="J94" i="37" s="1"/>
  <c r="K94" i="37" s="1"/>
  <c r="L94" i="37" s="1"/>
  <c r="M94" i="37" s="1"/>
  <c r="F31" i="37"/>
  <c r="S31" i="37"/>
  <c r="F12" i="39"/>
  <c r="S12" i="39"/>
  <c r="J42" i="39"/>
  <c r="AC42" i="39"/>
  <c r="H21" i="40"/>
  <c r="AB21" i="40"/>
  <c r="AC12" i="37"/>
  <c r="H31" i="37"/>
  <c r="U31" i="37"/>
  <c r="J15" i="37"/>
  <c r="W15" i="37" s="1"/>
  <c r="AT6" i="3"/>
  <c r="H5" i="3"/>
  <c r="AA25" i="21"/>
  <c r="H19" i="40"/>
  <c r="U19" i="40"/>
  <c r="F88" i="40"/>
  <c r="G88" i="40"/>
  <c r="F19" i="40"/>
  <c r="S19" i="40"/>
  <c r="S14" i="40"/>
  <c r="AC13" i="40"/>
  <c r="AB33" i="40"/>
  <c r="W23" i="39"/>
  <c r="AC43" i="39"/>
  <c r="W43" i="39"/>
  <c r="AB44" i="39"/>
  <c r="U44" i="39"/>
  <c r="G100" i="39"/>
  <c r="H37" i="39"/>
  <c r="AB37" i="39"/>
  <c r="AC37" i="39"/>
  <c r="W37" i="39"/>
  <c r="H25" i="39"/>
  <c r="AB25" i="39"/>
  <c r="J25" i="39"/>
  <c r="F25" i="39"/>
  <c r="AA25" i="39"/>
  <c r="F15" i="39"/>
  <c r="S15" i="39" s="1"/>
  <c r="H15" i="39"/>
  <c r="U15" i="39"/>
  <c r="J15" i="39"/>
  <c r="W15" i="39" s="1"/>
  <c r="H41" i="39"/>
  <c r="AB41" i="39"/>
  <c r="W27" i="39"/>
  <c r="AB34" i="39"/>
  <c r="S42" i="39"/>
  <c r="AA41" i="39"/>
  <c r="W9" i="39"/>
  <c r="W8" i="39"/>
  <c r="J19" i="40"/>
  <c r="AC19" i="40"/>
  <c r="J50" i="40"/>
  <c r="H103" i="9"/>
  <c r="D8" i="53"/>
  <c r="B16" i="53"/>
  <c r="B33" i="72"/>
  <c r="W35" i="40"/>
  <c r="A118" i="9"/>
  <c r="A4" i="52"/>
  <c r="B41" i="72"/>
  <c r="J11" i="39"/>
  <c r="W11" i="39"/>
  <c r="F11" i="39"/>
  <c r="AA11" i="39" s="1"/>
  <c r="S11" i="39"/>
  <c r="G4" i="4"/>
  <c r="I4" i="4"/>
  <c r="A2" i="9"/>
  <c r="F61" i="43"/>
  <c r="H66" i="43" s="1"/>
  <c r="H64" i="43"/>
  <c r="AZ20" i="3"/>
  <c r="AZ28" i="3"/>
  <c r="AZ549" i="3"/>
  <c r="AZ494" i="3"/>
  <c r="AZ522" i="3"/>
  <c r="AZ530" i="3"/>
  <c r="G546" i="3"/>
  <c r="G524" i="3"/>
  <c r="G303" i="3"/>
  <c r="BL304" i="3"/>
  <c r="G305" i="3"/>
  <c r="BL306" i="3"/>
  <c r="BA306" i="3"/>
  <c r="AZ306" i="3"/>
  <c r="BA308" i="3"/>
  <c r="AZ308" i="3" s="1"/>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s="1"/>
  <c r="BL360" i="3"/>
  <c r="G361" i="3"/>
  <c r="BA362" i="3"/>
  <c r="G370" i="3"/>
  <c r="BL371" i="3"/>
  <c r="G372" i="3"/>
  <c r="BL373" i="3"/>
  <c r="BA375" i="3"/>
  <c r="AZ375" i="3"/>
  <c r="BA376" i="3"/>
  <c r="AZ376" i="3" s="1"/>
  <c r="BL376" i="3"/>
  <c r="G377" i="3"/>
  <c r="BA378" i="3"/>
  <c r="AZ378" i="3" s="1"/>
  <c r="BL378" i="3"/>
  <c r="G379" i="3"/>
  <c r="BA380" i="3"/>
  <c r="AZ380" i="3" s="1"/>
  <c r="G388" i="3"/>
  <c r="BL389" i="3"/>
  <c r="G390" i="3"/>
  <c r="BL391" i="3"/>
  <c r="BA393" i="3"/>
  <c r="BA394" i="3"/>
  <c r="BL394" i="3"/>
  <c r="AZ394" i="3"/>
  <c r="G113" i="3"/>
  <c r="BA115" i="3"/>
  <c r="AZ115" i="3"/>
  <c r="BL116" i="3"/>
  <c r="AZ116" i="3"/>
  <c r="G117" i="3"/>
  <c r="BA119" i="3"/>
  <c r="BL120" i="3"/>
  <c r="AZ120" i="3" s="1"/>
  <c r="G121" i="3"/>
  <c r="BA123" i="3"/>
  <c r="AZ123" i="3"/>
  <c r="BL124" i="3"/>
  <c r="AZ124" i="3"/>
  <c r="G125" i="3"/>
  <c r="BA127" i="3"/>
  <c r="AZ127" i="3"/>
  <c r="BL128" i="3"/>
  <c r="AZ128" i="3" s="1"/>
  <c r="G129" i="3"/>
  <c r="BA131" i="3"/>
  <c r="BL132" i="3"/>
  <c r="AZ132" i="3"/>
  <c r="G133" i="3"/>
  <c r="BA135" i="3"/>
  <c r="AZ135" i="3"/>
  <c r="BL136" i="3"/>
  <c r="G137" i="3"/>
  <c r="BA139" i="3"/>
  <c r="AZ139" i="3"/>
  <c r="BL140" i="3"/>
  <c r="AZ140" i="3" s="1"/>
  <c r="G141" i="3"/>
  <c r="BA143" i="3"/>
  <c r="AZ143" i="3"/>
  <c r="BL144" i="3"/>
  <c r="G145" i="3"/>
  <c r="BA147" i="3"/>
  <c r="BL148" i="3"/>
  <c r="AZ148" i="3" s="1"/>
  <c r="G149" i="3"/>
  <c r="BA151" i="3"/>
  <c r="BL152" i="3"/>
  <c r="AZ152" i="3" s="1"/>
  <c r="G153" i="3"/>
  <c r="BA155" i="3"/>
  <c r="AZ155" i="3"/>
  <c r="BL156" i="3"/>
  <c r="AZ156" i="3" s="1"/>
  <c r="G157" i="3"/>
  <c r="BA159" i="3"/>
  <c r="AZ159" i="3" s="1"/>
  <c r="BL160" i="3"/>
  <c r="AZ160" i="3"/>
  <c r="G161" i="3"/>
  <c r="BA163" i="3"/>
  <c r="AZ163" i="3" s="1"/>
  <c r="BL164" i="3"/>
  <c r="AZ164" i="3"/>
  <c r="G165" i="3"/>
  <c r="BA167" i="3"/>
  <c r="BL168" i="3"/>
  <c r="AZ168" i="3" s="1"/>
  <c r="G169" i="3"/>
  <c r="BA171" i="3"/>
  <c r="AZ171" i="3"/>
  <c r="BL172" i="3"/>
  <c r="G173" i="3"/>
  <c r="BA175" i="3"/>
  <c r="AZ175" i="3"/>
  <c r="BL176" i="3"/>
  <c r="G177" i="3"/>
  <c r="BA179" i="3"/>
  <c r="AZ179" i="3"/>
  <c r="BL180" i="3"/>
  <c r="G181" i="3"/>
  <c r="BA183" i="3"/>
  <c r="BL184" i="3"/>
  <c r="AZ184" i="3" s="1"/>
  <c r="G185" i="3"/>
  <c r="BA187" i="3"/>
  <c r="AZ187" i="3"/>
  <c r="BL188" i="3"/>
  <c r="G189" i="3"/>
  <c r="BA191" i="3"/>
  <c r="BL192" i="3"/>
  <c r="AZ192" i="3"/>
  <c r="G193" i="3"/>
  <c r="BA195" i="3"/>
  <c r="AZ195" i="3" s="1"/>
  <c r="BL196" i="3"/>
  <c r="G197" i="3"/>
  <c r="BA199" i="3"/>
  <c r="AZ199" i="3"/>
  <c r="BL200" i="3"/>
  <c r="AZ200" i="3" s="1"/>
  <c r="G201" i="3"/>
  <c r="BA203" i="3"/>
  <c r="AZ203" i="3"/>
  <c r="BL204" i="3"/>
  <c r="AZ204" i="3" s="1"/>
  <c r="AZ39" i="3"/>
  <c r="AZ47" i="3"/>
  <c r="AZ51" i="3"/>
  <c r="AZ55" i="3"/>
  <c r="AZ59" i="3"/>
  <c r="AZ63" i="3"/>
  <c r="AZ67" i="3"/>
  <c r="AZ71" i="3"/>
  <c r="AZ75" i="3"/>
  <c r="AZ79" i="3"/>
  <c r="AZ144" i="3"/>
  <c r="AZ176" i="3"/>
  <c r="AZ97" i="3"/>
  <c r="AZ101" i="3"/>
  <c r="AZ105" i="3"/>
  <c r="G534" i="3"/>
  <c r="G530" i="3"/>
  <c r="G522" i="3"/>
  <c r="G516" i="3"/>
  <c r="G512" i="3"/>
  <c r="G506" i="3"/>
  <c r="G498" i="3"/>
  <c r="G494" i="3"/>
  <c r="G16" i="3"/>
  <c r="G15" i="3"/>
  <c r="BA304" i="3"/>
  <c r="AZ304" i="3" s="1"/>
  <c r="BA305" i="3"/>
  <c r="BL305" i="3"/>
  <c r="AZ305" i="3"/>
  <c r="G306" i="3"/>
  <c r="G309" i="3"/>
  <c r="BL310" i="3"/>
  <c r="BA312" i="3"/>
  <c r="BA313" i="3"/>
  <c r="BL313" i="3"/>
  <c r="AZ313" i="3"/>
  <c r="G314" i="3"/>
  <c r="G317" i="3"/>
  <c r="BL318" i="3"/>
  <c r="BA320" i="3"/>
  <c r="AZ320" i="3"/>
  <c r="BA321" i="3"/>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AZ347" i="3"/>
  <c r="G350" i="3"/>
  <c r="BA351" i="3"/>
  <c r="BL351" i="3"/>
  <c r="AZ351" i="3"/>
  <c r="G352" i="3"/>
  <c r="G354" i="3"/>
  <c r="BA355" i="3"/>
  <c r="AZ355" i="3"/>
  <c r="BA356" i="3"/>
  <c r="AZ356" i="3" s="1"/>
  <c r="BL356" i="3"/>
  <c r="G357" i="3"/>
  <c r="G360" i="3"/>
  <c r="BL361" i="3"/>
  <c r="AZ361" i="3" s="1"/>
  <c r="BA363" i="3"/>
  <c r="BA364" i="3"/>
  <c r="BL364" i="3"/>
  <c r="AZ364" i="3" s="1"/>
  <c r="G365" i="3"/>
  <c r="G368" i="3"/>
  <c r="BL369" i="3"/>
  <c r="BA371" i="3"/>
  <c r="AZ371" i="3" s="1"/>
  <c r="BA372" i="3"/>
  <c r="BL372" i="3"/>
  <c r="AZ372" i="3"/>
  <c r="G373" i="3"/>
  <c r="G376" i="3"/>
  <c r="BL377" i="3"/>
  <c r="AZ377" i="3" s="1"/>
  <c r="BL379" i="3"/>
  <c r="AZ379" i="3" s="1"/>
  <c r="BA381" i="3"/>
  <c r="AZ381" i="3"/>
  <c r="BA382" i="3"/>
  <c r="BL382" i="3"/>
  <c r="G383" i="3"/>
  <c r="G386" i="3"/>
  <c r="BL387" i="3"/>
  <c r="AZ387" i="3" s="1"/>
  <c r="BA389" i="3"/>
  <c r="AZ389" i="3" s="1"/>
  <c r="BA390" i="3"/>
  <c r="BL390" i="3"/>
  <c r="AZ390" i="3"/>
  <c r="G391" i="3"/>
  <c r="G394" i="3"/>
  <c r="AZ146" i="3"/>
  <c r="AZ150" i="3"/>
  <c r="AZ154" i="3"/>
  <c r="AZ162" i="3"/>
  <c r="AZ178" i="3"/>
  <c r="AZ182" i="3"/>
  <c r="AZ186" i="3"/>
  <c r="AZ190" i="3"/>
  <c r="AZ198" i="3"/>
  <c r="BA16" i="3"/>
  <c r="AZ16" i="3" s="1"/>
  <c r="BL303" i="3"/>
  <c r="AZ303" i="3"/>
  <c r="G304" i="3"/>
  <c r="BL307" i="3"/>
  <c r="AZ307" i="3" s="1"/>
  <c r="G308" i="3"/>
  <c r="BA310" i="3"/>
  <c r="AZ310" i="3" s="1"/>
  <c r="BL311" i="3"/>
  <c r="AZ311" i="3"/>
  <c r="G312" i="3"/>
  <c r="BA314" i="3"/>
  <c r="AZ314" i="3" s="1"/>
  <c r="BL315" i="3"/>
  <c r="AZ315" i="3"/>
  <c r="G316" i="3"/>
  <c r="BA318" i="3"/>
  <c r="AZ318" i="3"/>
  <c r="BL319" i="3"/>
  <c r="AZ319" i="3"/>
  <c r="G320" i="3"/>
  <c r="BA322" i="3"/>
  <c r="AZ322" i="3"/>
  <c r="BL323" i="3"/>
  <c r="G324" i="3"/>
  <c r="BA326" i="3"/>
  <c r="AZ326" i="3"/>
  <c r="BL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c r="G346" i="3"/>
  <c r="BL349" i="3"/>
  <c r="AZ349" i="3" s="1"/>
  <c r="BL352" i="3"/>
  <c r="G353" i="3"/>
  <c r="BA357" i="3"/>
  <c r="AZ357" i="3" s="1"/>
  <c r="BL358" i="3"/>
  <c r="AZ358" i="3"/>
  <c r="G359" i="3"/>
  <c r="BA361" i="3"/>
  <c r="BL362" i="3"/>
  <c r="AZ362" i="3"/>
  <c r="G363" i="3"/>
  <c r="BA365" i="3"/>
  <c r="AZ365" i="3"/>
  <c r="BL366" i="3"/>
  <c r="AZ366" i="3" s="1"/>
  <c r="G367" i="3"/>
  <c r="BA369" i="3"/>
  <c r="AZ369" i="3" s="1"/>
  <c r="BL370" i="3"/>
  <c r="AZ370" i="3"/>
  <c r="G371" i="3"/>
  <c r="BA373" i="3"/>
  <c r="AZ373" i="3" s="1"/>
  <c r="BL374" i="3"/>
  <c r="AZ374" i="3"/>
  <c r="G375" i="3"/>
  <c r="BA377" i="3"/>
  <c r="AZ229" i="3"/>
  <c r="AZ233" i="3"/>
  <c r="AZ237" i="3"/>
  <c r="AZ241" i="3"/>
  <c r="AZ245" i="3"/>
  <c r="AZ249" i="3"/>
  <c r="AZ257" i="3"/>
  <c r="AZ265" i="3"/>
  <c r="AZ269" i="3"/>
  <c r="AZ273" i="3"/>
  <c r="BA379" i="3"/>
  <c r="BL380" i="3"/>
  <c r="G381" i="3"/>
  <c r="BA383" i="3"/>
  <c r="AZ383" i="3"/>
  <c r="BL384" i="3"/>
  <c r="AZ384" i="3"/>
  <c r="G385" i="3"/>
  <c r="BA387" i="3"/>
  <c r="BL388" i="3"/>
  <c r="G389" i="3"/>
  <c r="BA391" i="3"/>
  <c r="AZ391" i="3" s="1"/>
  <c r="BL392" i="3"/>
  <c r="G393" i="3"/>
  <c r="AZ263" i="3"/>
  <c r="AZ275" i="3"/>
  <c r="AZ283" i="3"/>
  <c r="AZ291" i="3"/>
  <c r="BO5" i="3"/>
  <c r="BM5" i="3"/>
  <c r="AZ325" i="3"/>
  <c r="AZ341" i="3"/>
  <c r="AZ506" i="3"/>
  <c r="AZ496" i="3"/>
  <c r="G548" i="3"/>
  <c r="G538" i="3"/>
  <c r="G520" i="3"/>
  <c r="G502" i="3"/>
  <c r="BS5" i="3"/>
  <c r="BK5" i="3"/>
  <c r="BI5" i="3"/>
  <c r="BE5" i="3"/>
  <c r="G17" i="3"/>
  <c r="BA17" i="3"/>
  <c r="AZ17" i="3" s="1"/>
  <c r="AZ350" i="3"/>
  <c r="AZ368" i="3"/>
  <c r="BA15" i="3"/>
  <c r="AZ15" i="3"/>
  <c r="BR5" i="3"/>
  <c r="AZ392" i="3"/>
  <c r="G509" i="3"/>
  <c r="BL493" i="3"/>
  <c r="AZ493" i="3" s="1"/>
  <c r="AZ491" i="3"/>
  <c r="U36" i="40"/>
  <c r="F83" i="43"/>
  <c r="F50" i="43"/>
  <c r="H54" i="43" s="1"/>
  <c r="F72" i="43"/>
  <c r="H73" i="43" s="1"/>
  <c r="U17" i="39"/>
  <c r="S14" i="35"/>
  <c r="AC11" i="39"/>
  <c r="AZ563" i="3"/>
  <c r="AZ501" i="3"/>
  <c r="W37" i="37"/>
  <c r="W44" i="34"/>
  <c r="AC44" i="34"/>
  <c r="S15" i="37"/>
  <c r="U12" i="40"/>
  <c r="AA12" i="40"/>
  <c r="J37" i="33"/>
  <c r="W37" i="33" s="1"/>
  <c r="F106" i="33"/>
  <c r="G106" i="33"/>
  <c r="H106" i="33" s="1"/>
  <c r="I106" i="33" s="1"/>
  <c r="J106" i="33" s="1"/>
  <c r="K106" i="33" s="1"/>
  <c r="L106" i="33" s="1"/>
  <c r="M106" i="33" s="1"/>
  <c r="J34" i="33"/>
  <c r="W34" i="33"/>
  <c r="F33" i="34"/>
  <c r="S33" i="34"/>
  <c r="W12" i="36"/>
  <c r="AC12" i="36"/>
  <c r="H20" i="36"/>
  <c r="U20" i="36"/>
  <c r="J20" i="36"/>
  <c r="W20" i="36"/>
  <c r="J27" i="36"/>
  <c r="W27" i="36"/>
  <c r="AB25" i="37"/>
  <c r="F111" i="40"/>
  <c r="G111" i="40"/>
  <c r="H111" i="40" s="1"/>
  <c r="I111" i="40" s="1"/>
  <c r="J111" i="40" s="1"/>
  <c r="K111" i="40" s="1"/>
  <c r="L111" i="40" s="1"/>
  <c r="M111" i="40" s="1"/>
  <c r="H35" i="40"/>
  <c r="AB35" i="40"/>
  <c r="AC29" i="35"/>
  <c r="W29" i="35"/>
  <c r="H35" i="37"/>
  <c r="U35" i="37"/>
  <c r="AC14" i="35"/>
  <c r="H20" i="35"/>
  <c r="U20" i="35"/>
  <c r="F20" i="35"/>
  <c r="AA20" i="35"/>
  <c r="AB23" i="35"/>
  <c r="AB29" i="36"/>
  <c r="U29" i="36"/>
  <c r="H32" i="37"/>
  <c r="F96" i="37"/>
  <c r="H27" i="40"/>
  <c r="U27" i="40" s="1"/>
  <c r="F27" i="40"/>
  <c r="AA27" i="40" s="1"/>
  <c r="S27" i="40"/>
  <c r="J30" i="40"/>
  <c r="AC30" i="40"/>
  <c r="F30" i="40"/>
  <c r="S30" i="40" s="1"/>
  <c r="AA30" i="40"/>
  <c r="AC21" i="40"/>
  <c r="S31" i="39"/>
  <c r="S11" i="40"/>
  <c r="E98" i="40"/>
  <c r="F98" i="40" s="1"/>
  <c r="G98" i="40" s="1"/>
  <c r="H98" i="40" s="1"/>
  <c r="I98" i="40" s="1"/>
  <c r="J98" i="40" s="1"/>
  <c r="K98" i="40" s="1"/>
  <c r="L98" i="40" s="1"/>
  <c r="M98" i="40" s="1"/>
  <c r="F10" i="33"/>
  <c r="S10" i="33"/>
  <c r="F34" i="33"/>
  <c r="S34" i="33"/>
  <c r="H34" i="33"/>
  <c r="U34" i="33"/>
  <c r="F35" i="33"/>
  <c r="S35" i="33"/>
  <c r="F39" i="34"/>
  <c r="AA39" i="34"/>
  <c r="J39" i="34"/>
  <c r="AC39" i="34" s="1"/>
  <c r="W39" i="34"/>
  <c r="F40" i="34"/>
  <c r="S40" i="34"/>
  <c r="F43" i="34"/>
  <c r="AA43" i="34"/>
  <c r="H44" i="34"/>
  <c r="U44" i="34"/>
  <c r="AC38" i="39"/>
  <c r="F39" i="39"/>
  <c r="S39" i="39" s="1"/>
  <c r="J39" i="39"/>
  <c r="AC39" i="39"/>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c r="H33" i="34"/>
  <c r="AB33" i="34" s="1"/>
  <c r="F32" i="37"/>
  <c r="AA32" i="37"/>
  <c r="G96" i="37"/>
  <c r="H96" i="37" s="1"/>
  <c r="I96" i="37" s="1"/>
  <c r="J96" i="37" s="1"/>
  <c r="K96" i="37" s="1"/>
  <c r="L96" i="37" s="1"/>
  <c r="M96" i="37" s="1"/>
  <c r="F20" i="36"/>
  <c r="AA20" i="36"/>
  <c r="J33" i="34"/>
  <c r="H23" i="39"/>
  <c r="U23" i="39"/>
  <c r="D48" i="9"/>
  <c r="M52" i="9" s="1"/>
  <c r="K9" i="1"/>
  <c r="M9" i="1" s="1"/>
  <c r="D93" i="9"/>
  <c r="O6" i="1"/>
  <c r="AC26" i="33"/>
  <c r="W26" i="33"/>
  <c r="AB34" i="36"/>
  <c r="U34" i="36"/>
  <c r="W12" i="39"/>
  <c r="AZ401" i="3"/>
  <c r="AZ412" i="3"/>
  <c r="AZ417" i="3"/>
  <c r="AZ428" i="3"/>
  <c r="AZ433" i="3"/>
  <c r="AZ465" i="3"/>
  <c r="W12" i="33"/>
  <c r="AC12" i="33"/>
  <c r="AA32" i="36"/>
  <c r="S32" i="36"/>
  <c r="AZ551" i="3"/>
  <c r="AZ408" i="3"/>
  <c r="AZ437" i="3"/>
  <c r="AZ441" i="3"/>
  <c r="AZ457" i="3"/>
  <c r="AZ473" i="3"/>
  <c r="BL14" i="3"/>
  <c r="U30" i="33"/>
  <c r="AA47" i="34"/>
  <c r="W28" i="37"/>
  <c r="S19" i="39"/>
  <c r="F12" i="33"/>
  <c r="H12" i="39"/>
  <c r="U12" i="39" s="1"/>
  <c r="AB12" i="39"/>
  <c r="F39" i="40"/>
  <c r="S39" i="40" s="1"/>
  <c r="BA14" i="3"/>
  <c r="AZ14" i="3"/>
  <c r="AZ367" i="3"/>
  <c r="AZ224" i="3"/>
  <c r="AZ238" i="3"/>
  <c r="AZ250" i="3"/>
  <c r="AZ254" i="3"/>
  <c r="AZ286" i="3"/>
  <c r="AZ297" i="3"/>
  <c r="AZ149" i="3"/>
  <c r="AZ157" i="3"/>
  <c r="AZ173" i="3"/>
  <c r="AZ181" i="3"/>
  <c r="AZ19" i="3"/>
  <c r="AZ41" i="3"/>
  <c r="B12" i="1"/>
  <c r="E12" i="1"/>
  <c r="B10" i="1"/>
  <c r="E10" i="1" s="1"/>
  <c r="AZ84" i="3"/>
  <c r="AZ88" i="3"/>
  <c r="AZ111" i="3"/>
  <c r="K12" i="1"/>
  <c r="M12" i="1"/>
  <c r="O12" i="1"/>
  <c r="S13" i="1"/>
  <c r="R13" i="1"/>
  <c r="AC34" i="33"/>
  <c r="AA34" i="33"/>
  <c r="AB37" i="40"/>
  <c r="S35" i="40"/>
  <c r="U35" i="40"/>
  <c r="AC36" i="40"/>
  <c r="W38" i="40"/>
  <c r="S17" i="40"/>
  <c r="S23" i="40"/>
  <c r="AC17" i="40"/>
  <c r="AC15" i="40"/>
  <c r="AB27" i="40"/>
  <c r="AA19" i="40"/>
  <c r="S28" i="40"/>
  <c r="U21" i="40"/>
  <c r="AB19" i="40"/>
  <c r="U37" i="39"/>
  <c r="S43" i="39"/>
  <c r="S37" i="39"/>
  <c r="F32" i="39"/>
  <c r="F106" i="39"/>
  <c r="G106" i="39"/>
  <c r="H106" i="39"/>
  <c r="I106" i="39" s="1"/>
  <c r="J106" i="39"/>
  <c r="K106" i="39" s="1"/>
  <c r="L106" i="39" s="1"/>
  <c r="M106" i="39" s="1"/>
  <c r="U25" i="39"/>
  <c r="AB27" i="39"/>
  <c r="U31" i="39"/>
  <c r="J21" i="39"/>
  <c r="W21" i="39"/>
  <c r="F21" i="39"/>
  <c r="G94" i="39"/>
  <c r="H21" i="39"/>
  <c r="W19" i="39"/>
  <c r="U19" i="39"/>
  <c r="S17" i="39"/>
  <c r="AA12" i="39"/>
  <c r="S9" i="39"/>
  <c r="U14" i="39"/>
  <c r="S23" i="36"/>
  <c r="U13" i="36"/>
  <c r="U26" i="36"/>
  <c r="AA26" i="36"/>
  <c r="AA34" i="36"/>
  <c r="AA22" i="36"/>
  <c r="W14" i="36"/>
  <c r="AB14" i="36"/>
  <c r="U22" i="36"/>
  <c r="S16" i="36"/>
  <c r="AA25" i="36"/>
  <c r="U23"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W38" i="37"/>
  <c r="AC35" i="37"/>
  <c r="W39" i="37"/>
  <c r="S30" i="37"/>
  <c r="S37" i="37"/>
  <c r="J17" i="37"/>
  <c r="G73" i="37"/>
  <c r="F17" i="37"/>
  <c r="AA17" i="37" s="1"/>
  <c r="F75" i="37"/>
  <c r="G75" i="37" s="1"/>
  <c r="F19" i="37"/>
  <c r="S19" i="37" s="1"/>
  <c r="F23" i="37"/>
  <c r="S23" i="37"/>
  <c r="U23" i="37"/>
  <c r="U15" i="37"/>
  <c r="AC13" i="37"/>
  <c r="AA13" i="37"/>
  <c r="H10" i="37"/>
  <c r="AB10" i="37" s="1"/>
  <c r="F63" i="37"/>
  <c r="F11" i="37"/>
  <c r="S11" i="37"/>
  <c r="AB8" i="34"/>
  <c r="AA33" i="34"/>
  <c r="U43" i="34"/>
  <c r="W41" i="34"/>
  <c r="AC42" i="34"/>
  <c r="AB35" i="34"/>
  <c r="U39" i="34"/>
  <c r="S43" i="34"/>
  <c r="AB41" i="34"/>
  <c r="AA45" i="34"/>
  <c r="AA25" i="34"/>
  <c r="U28" i="34"/>
  <c r="S17" i="34"/>
  <c r="AA29" i="34"/>
  <c r="S23" i="34"/>
  <c r="U15" i="34"/>
  <c r="S13" i="34"/>
  <c r="H10" i="34"/>
  <c r="AB10" i="34"/>
  <c r="F11" i="34"/>
  <c r="S11" i="34"/>
  <c r="F70" i="34"/>
  <c r="W42" i="33"/>
  <c r="AA35" i="33"/>
  <c r="S27" i="33"/>
  <c r="S32" i="33"/>
  <c r="AA29" i="33"/>
  <c r="AB29" i="33"/>
  <c r="W38" i="33"/>
  <c r="H41" i="33"/>
  <c r="F121" i="33"/>
  <c r="G121" i="33"/>
  <c r="H121" i="33"/>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W43" i="33"/>
  <c r="S43" i="33"/>
  <c r="F91" i="33"/>
  <c r="G91" i="33" s="1"/>
  <c r="H27" i="33"/>
  <c r="F87" i="33"/>
  <c r="G87" i="33" s="1"/>
  <c r="H87" i="33" s="1"/>
  <c r="I87" i="33" s="1"/>
  <c r="J87" i="33" s="1"/>
  <c r="K87" i="33" s="1"/>
  <c r="L87" i="33" s="1"/>
  <c r="M87" i="33" s="1"/>
  <c r="H25" i="33"/>
  <c r="F25" i="33"/>
  <c r="J23" i="33"/>
  <c r="AC23" i="33"/>
  <c r="F85" i="33"/>
  <c r="H23" i="33"/>
  <c r="AB23" i="33" s="1"/>
  <c r="F81" i="33"/>
  <c r="F19" i="33"/>
  <c r="W19" i="33"/>
  <c r="J17" i="33"/>
  <c r="AC17" i="33" s="1"/>
  <c r="F79" i="33"/>
  <c r="G79" i="33" s="1"/>
  <c r="S15" i="33"/>
  <c r="W15" i="33"/>
  <c r="U9" i="33"/>
  <c r="J10" i="33"/>
  <c r="W10" i="33"/>
  <c r="H10" i="33"/>
  <c r="U10" i="33"/>
  <c r="AC11" i="33"/>
  <c r="AB14" i="33"/>
  <c r="J15" i="21"/>
  <c r="W15" i="21" s="1"/>
  <c r="F23" i="21"/>
  <c r="S23" i="21" s="1"/>
  <c r="E85" i="21"/>
  <c r="F85" i="21" s="1"/>
  <c r="G85" i="21" s="1"/>
  <c r="D120" i="9"/>
  <c r="D121" i="9"/>
  <c r="D7" i="52" s="1"/>
  <c r="F34" i="67"/>
  <c r="F62" i="67"/>
  <c r="G13" i="3"/>
  <c r="BL17" i="3"/>
  <c r="J56" i="9"/>
  <c r="J57" i="9"/>
  <c r="J59" i="9"/>
  <c r="J61" i="9" s="1"/>
  <c r="A24" i="51"/>
  <c r="B18" i="72"/>
  <c r="U29" i="34"/>
  <c r="E32" i="6"/>
  <c r="G1" i="68"/>
  <c r="K1" i="12"/>
  <c r="E19" i="69"/>
  <c r="E19" i="68"/>
  <c r="E19" i="11"/>
  <c r="E1" i="73"/>
  <c r="G22" i="69"/>
  <c r="G22" i="68"/>
  <c r="G26" i="12"/>
  <c r="G22" i="11"/>
  <c r="B19" i="53"/>
  <c r="B37" i="72" s="1"/>
  <c r="A4" i="51"/>
  <c r="B6" i="72" s="1"/>
  <c r="L20" i="6"/>
  <c r="B6" i="1"/>
  <c r="E6" i="1"/>
  <c r="K11" i="1"/>
  <c r="M11" i="1"/>
  <c r="O11" i="1"/>
  <c r="P11" i="1"/>
  <c r="B9" i="1"/>
  <c r="E9" i="1"/>
  <c r="K7" i="1"/>
  <c r="M7" i="1" s="1"/>
  <c r="G1" i="15"/>
  <c r="G1" i="69"/>
  <c r="G1" i="67"/>
  <c r="W23" i="40"/>
  <c r="U32" i="40"/>
  <c r="AB31" i="40"/>
  <c r="S37" i="40"/>
  <c r="AB28" i="40"/>
  <c r="W28" i="40"/>
  <c r="W34" i="40"/>
  <c r="W19" i="40"/>
  <c r="S36" i="40"/>
  <c r="W37" i="40"/>
  <c r="AC14" i="40"/>
  <c r="AA15" i="40"/>
  <c r="U11" i="40"/>
  <c r="AB13" i="40"/>
  <c r="U15" i="40"/>
  <c r="AB17" i="40"/>
  <c r="U8" i="40"/>
  <c r="S8" i="40"/>
  <c r="AC41" i="39"/>
  <c r="U41" i="39"/>
  <c r="W25" i="39"/>
  <c r="AC25" i="39"/>
  <c r="U13" i="39"/>
  <c r="AB13" i="39"/>
  <c r="AA13" i="39"/>
  <c r="S13" i="39"/>
  <c r="AA14" i="39"/>
  <c r="U43" i="39"/>
  <c r="AB43" i="39"/>
  <c r="AB11" i="39"/>
  <c r="U11" i="39"/>
  <c r="AA27" i="39"/>
  <c r="S27" i="39"/>
  <c r="W17" i="39"/>
  <c r="AC17" i="39"/>
  <c r="S23" i="39"/>
  <c r="AB39" i="39"/>
  <c r="W34" i="39"/>
  <c r="U38" i="39"/>
  <c r="S8" i="39"/>
  <c r="S20" i="36"/>
  <c r="AC25" i="36"/>
  <c r="W29" i="36"/>
  <c r="AC20" i="36"/>
  <c r="U25" i="36"/>
  <c r="AB28" i="36"/>
  <c r="AA13" i="36"/>
  <c r="W22" i="36"/>
  <c r="W23" i="36"/>
  <c r="AB20" i="35"/>
  <c r="U24" i="35"/>
  <c r="S35" i="35"/>
  <c r="W35" i="35"/>
  <c r="AA16" i="35"/>
  <c r="AA35" i="37"/>
  <c r="W36" i="37"/>
  <c r="S28" i="37"/>
  <c r="W32" i="37"/>
  <c r="U36" i="37"/>
  <c r="S40" i="37"/>
  <c r="AB37" i="37"/>
  <c r="AC34" i="37"/>
  <c r="AB35" i="37"/>
  <c r="AA31" i="37"/>
  <c r="U19" i="37"/>
  <c r="AA29" i="37"/>
  <c r="U8" i="37"/>
  <c r="AA40" i="34"/>
  <c r="AB40" i="34"/>
  <c r="U19" i="34"/>
  <c r="W19" i="34"/>
  <c r="AC45" i="34"/>
  <c r="AA31" i="34"/>
  <c r="AA30" i="34"/>
  <c r="AB47" i="34"/>
  <c r="U25" i="34"/>
  <c r="AB36" i="34"/>
  <c r="AC14" i="34"/>
  <c r="AC32" i="34"/>
  <c r="AC29" i="34"/>
  <c r="W29" i="34"/>
  <c r="W46" i="34"/>
  <c r="AC46" i="34"/>
  <c r="S32" i="34"/>
  <c r="AA32" i="34"/>
  <c r="U30" i="34"/>
  <c r="AB30" i="34"/>
  <c r="S37" i="34"/>
  <c r="AC40" i="34"/>
  <c r="W40" i="34"/>
  <c r="AA19" i="34"/>
  <c r="AA36" i="34"/>
  <c r="S36" i="34"/>
  <c r="AA8" i="34"/>
  <c r="S8" i="34"/>
  <c r="AB9" i="34"/>
  <c r="U9" i="34"/>
  <c r="S46" i="34"/>
  <c r="AA46" i="34"/>
  <c r="U32" i="34"/>
  <c r="AB32" i="34"/>
  <c r="U14" i="34"/>
  <c r="AC43" i="34"/>
  <c r="W43" i="34"/>
  <c r="W23" i="34"/>
  <c r="AC23" i="34"/>
  <c r="AC35" i="34"/>
  <c r="W35" i="34"/>
  <c r="AB28" i="33"/>
  <c r="AC37" i="33"/>
  <c r="W46" i="33"/>
  <c r="U39" i="33"/>
  <c r="U38" i="33"/>
  <c r="S33" i="33"/>
  <c r="AB34" i="33"/>
  <c r="U44" i="33"/>
  <c r="AB44" i="33"/>
  <c r="S30" i="33"/>
  <c r="AA30" i="33"/>
  <c r="AC14" i="33"/>
  <c r="W14" i="33"/>
  <c r="AC30" i="33"/>
  <c r="W30" i="33"/>
  <c r="U15" i="33"/>
  <c r="S11" i="33"/>
  <c r="U37" i="33"/>
  <c r="AC28" i="33"/>
  <c r="S28" i="33"/>
  <c r="W9" i="33"/>
  <c r="W8" i="33"/>
  <c r="S45" i="21"/>
  <c r="AB46" i="21"/>
  <c r="AB31" i="21"/>
  <c r="U31" i="21"/>
  <c r="H15" i="21"/>
  <c r="U15" i="21" s="1"/>
  <c r="J17" i="21"/>
  <c r="W17" i="21" s="1"/>
  <c r="H45" i="21"/>
  <c r="U45" i="21"/>
  <c r="H9" i="21"/>
  <c r="AB9" i="21" s="1"/>
  <c r="AA31" i="21"/>
  <c r="K141" i="21"/>
  <c r="K144" i="21"/>
  <c r="K143" i="21"/>
  <c r="AB25" i="21"/>
  <c r="AA30" i="21"/>
  <c r="AC45" i="21"/>
  <c r="F10" i="21"/>
  <c r="AA10" i="21"/>
  <c r="K145" i="21"/>
  <c r="W25" i="21"/>
  <c r="W31" i="21"/>
  <c r="AB29" i="21"/>
  <c r="W30" i="40"/>
  <c r="C19" i="39"/>
  <c r="C15" i="40"/>
  <c r="C17" i="40"/>
  <c r="C23" i="40"/>
  <c r="C21" i="40"/>
  <c r="U30" i="40"/>
  <c r="B56" i="43"/>
  <c r="B67" i="43"/>
  <c r="B51" i="43"/>
  <c r="B54" i="43"/>
  <c r="B58" i="43"/>
  <c r="B62" i="43"/>
  <c r="B65" i="43"/>
  <c r="B69" i="43"/>
  <c r="D23" i="15"/>
  <c r="D22" i="15"/>
  <c r="E4" i="4"/>
  <c r="B5" i="62" s="1"/>
  <c r="B73" i="72"/>
  <c r="C4" i="4"/>
  <c r="AA39" i="40"/>
  <c r="S12" i="33"/>
  <c r="AA12" i="33"/>
  <c r="J32" i="39"/>
  <c r="W32" i="39" s="1"/>
  <c r="H32" i="39"/>
  <c r="AB32" i="39"/>
  <c r="AA32" i="39"/>
  <c r="S32" i="39"/>
  <c r="AB21" i="39"/>
  <c r="U21" i="39"/>
  <c r="AA21" i="39"/>
  <c r="S21" i="39"/>
  <c r="S17" i="37"/>
  <c r="J19" i="37"/>
  <c r="W19" i="37"/>
  <c r="AA19" i="37"/>
  <c r="AA23" i="37"/>
  <c r="J23" i="37"/>
  <c r="W23" i="37" s="1"/>
  <c r="J10" i="37"/>
  <c r="W10" i="37"/>
  <c r="G63" i="37"/>
  <c r="H63" i="37" s="1"/>
  <c r="I63" i="37"/>
  <c r="H11" i="37"/>
  <c r="AB11" i="37"/>
  <c r="G70" i="34"/>
  <c r="H11" i="34"/>
  <c r="U11" i="34" s="1"/>
  <c r="J10" i="34"/>
  <c r="AC10" i="34" s="1"/>
  <c r="AB41" i="33"/>
  <c r="U41" i="33"/>
  <c r="W35" i="33"/>
  <c r="H111" i="33"/>
  <c r="I111" i="33" s="1"/>
  <c r="J111" i="33" s="1"/>
  <c r="K111" i="33" s="1"/>
  <c r="L111" i="33" s="1"/>
  <c r="M111" i="33" s="1"/>
  <c r="J36" i="33"/>
  <c r="W36" i="33" s="1"/>
  <c r="H36" i="33"/>
  <c r="U36" i="33" s="1"/>
  <c r="S36" i="33"/>
  <c r="W32" i="33"/>
  <c r="U27" i="33"/>
  <c r="AB27" i="33"/>
  <c r="H91" i="33"/>
  <c r="I91" i="33" s="1"/>
  <c r="J91" i="33" s="1"/>
  <c r="K91" i="33" s="1"/>
  <c r="L91" i="33" s="1"/>
  <c r="M91" i="33" s="1"/>
  <c r="J27" i="33"/>
  <c r="U25" i="33"/>
  <c r="AB25" i="33"/>
  <c r="S25" i="33"/>
  <c r="AA25" i="33"/>
  <c r="J25" i="33"/>
  <c r="U23" i="33"/>
  <c r="F23" i="33"/>
  <c r="G85" i="33"/>
  <c r="H19" i="33"/>
  <c r="U19" i="33" s="1"/>
  <c r="G81" i="33"/>
  <c r="H17" i="33"/>
  <c r="U17" i="33" s="1"/>
  <c r="F17" i="33"/>
  <c r="S17" i="33" s="1"/>
  <c r="W17" i="33"/>
  <c r="J23" i="21"/>
  <c r="AC23" i="21" s="1"/>
  <c r="H23" i="21"/>
  <c r="AB23" i="21" s="1"/>
  <c r="AP7" i="1"/>
  <c r="AB45" i="21"/>
  <c r="A18" i="62"/>
  <c r="B64" i="72" s="1"/>
  <c r="U32" i="39"/>
  <c r="AC32" i="39"/>
  <c r="AC23" i="37"/>
  <c r="J63" i="37"/>
  <c r="K63" i="37"/>
  <c r="L63" i="37" s="1"/>
  <c r="M63" i="37" s="1"/>
  <c r="J11" i="37"/>
  <c r="AC11" i="37" s="1"/>
  <c r="H70" i="34"/>
  <c r="I70" i="34"/>
  <c r="J70" i="34"/>
  <c r="K70" i="34" s="1"/>
  <c r="L70" i="34" s="1"/>
  <c r="M70" i="34" s="1"/>
  <c r="J11" i="34"/>
  <c r="W11" i="34"/>
  <c r="AB36" i="33"/>
  <c r="W27" i="33"/>
  <c r="AC27" i="33"/>
  <c r="W25" i="33"/>
  <c r="AC25" i="33"/>
  <c r="AB19" i="33"/>
  <c r="AA17" i="33"/>
  <c r="H109" i="9"/>
  <c r="M49" i="9"/>
  <c r="L68" i="9" s="1"/>
  <c r="H112" i="9"/>
  <c r="D21" i="53"/>
  <c r="B39" i="72" s="1"/>
  <c r="H111" i="9"/>
  <c r="D126" i="9" s="1"/>
  <c r="D127" i="9" s="1"/>
  <c r="AD3" i="71"/>
  <c r="C22" i="71"/>
  <c r="C21" i="71" s="1"/>
  <c r="D22" i="71"/>
  <c r="D23" i="71"/>
  <c r="D24" i="71"/>
  <c r="U24" i="71" s="1"/>
  <c r="S24" i="71"/>
  <c r="T24" i="71"/>
  <c r="AB22" i="71"/>
  <c r="X20" i="71"/>
  <c r="X19" i="71"/>
  <c r="AA20" i="71"/>
  <c r="AA19" i="71"/>
  <c r="X23" i="71"/>
  <c r="Y19" i="71"/>
  <c r="Z19" i="71" s="1"/>
  <c r="AB20" i="71"/>
  <c r="AB19" i="71"/>
  <c r="S20" i="71"/>
  <c r="F21" i="71"/>
  <c r="F20" i="71"/>
  <c r="F19" i="71" s="1"/>
  <c r="F18" i="71"/>
  <c r="F17" i="71" s="1"/>
  <c r="F16" i="71" s="1"/>
  <c r="Y20" i="71"/>
  <c r="Z20" i="71" s="1"/>
  <c r="X3" i="71"/>
  <c r="E21" i="71"/>
  <c r="E20" i="71"/>
  <c r="E19" i="71" s="1"/>
  <c r="E18" i="71" s="1"/>
  <c r="E17" i="71" s="1"/>
  <c r="E16" i="71" s="1"/>
  <c r="F9" i="1"/>
  <c r="G9" i="1" s="1"/>
  <c r="F10" i="1"/>
  <c r="G10" i="1" s="1"/>
  <c r="F8" i="1"/>
  <c r="G8" i="1" s="1"/>
  <c r="S23" i="33"/>
  <c r="AA23" i="33"/>
  <c r="V20" i="71"/>
  <c r="AB17" i="33"/>
  <c r="AB44" i="34"/>
  <c r="S39" i="34"/>
  <c r="AZ382" i="3"/>
  <c r="AZ321" i="3"/>
  <c r="AZ343" i="3"/>
  <c r="AZ517" i="3"/>
  <c r="AZ562" i="3"/>
  <c r="AZ578" i="3"/>
  <c r="AC13" i="36"/>
  <c r="W13" i="36"/>
  <c r="S15" i="34"/>
  <c r="AB33" i="35"/>
  <c r="U33" i="35"/>
  <c r="AB43" i="33"/>
  <c r="U43" i="33"/>
  <c r="AZ581" i="3"/>
  <c r="AB33" i="37"/>
  <c r="U33" i="37"/>
  <c r="AC19" i="37"/>
  <c r="W23" i="33"/>
  <c r="AB13" i="34"/>
  <c r="S41" i="34"/>
  <c r="AA41" i="34"/>
  <c r="AZ495" i="3"/>
  <c r="AZ567" i="3"/>
  <c r="AC14" i="37"/>
  <c r="W14" i="37"/>
  <c r="U28" i="37"/>
  <c r="AB28" i="37"/>
  <c r="W30" i="34"/>
  <c r="AC30" i="34"/>
  <c r="AC29" i="33"/>
  <c r="W29" i="33"/>
  <c r="W46" i="21"/>
  <c r="AC46" i="21"/>
  <c r="D16" i="53"/>
  <c r="B34" i="72"/>
  <c r="BL507" i="3"/>
  <c r="AZ507" i="3"/>
  <c r="BQ5" i="3"/>
  <c r="F28" i="6"/>
  <c r="AB35" i="35"/>
  <c r="U35" i="35"/>
  <c r="S13" i="35"/>
  <c r="AA13" i="35"/>
  <c r="AB31" i="34"/>
  <c r="U31" i="34"/>
  <c r="S12" i="35"/>
  <c r="AA12" i="35"/>
  <c r="AC45" i="39"/>
  <c r="AA12" i="34"/>
  <c r="J34" i="35"/>
  <c r="F34" i="35"/>
  <c r="J26" i="37"/>
  <c r="F26" i="37"/>
  <c r="F40" i="40"/>
  <c r="G578" i="3"/>
  <c r="AZ410" i="3"/>
  <c r="AZ431" i="3"/>
  <c r="AZ439" i="3"/>
  <c r="AZ442" i="3"/>
  <c r="AZ445" i="3"/>
  <c r="AZ449" i="3"/>
  <c r="AZ452" i="3"/>
  <c r="AZ456" i="3"/>
  <c r="AZ467" i="3"/>
  <c r="AZ468" i="3"/>
  <c r="AZ470" i="3"/>
  <c r="W35" i="39"/>
  <c r="F27" i="34"/>
  <c r="C21" i="39"/>
  <c r="U14" i="37"/>
  <c r="H12" i="21"/>
  <c r="U12" i="21"/>
  <c r="G526" i="3"/>
  <c r="AZ420" i="3"/>
  <c r="AZ424" i="3"/>
  <c r="AZ434" i="3"/>
  <c r="AZ436" i="3"/>
  <c r="AZ438" i="3"/>
  <c r="AZ446" i="3"/>
  <c r="AZ450" i="3"/>
  <c r="W36" i="39"/>
  <c r="U23" i="40"/>
  <c r="AA39" i="37"/>
  <c r="AC16" i="36"/>
  <c r="AB12" i="33"/>
  <c r="C27" i="39"/>
  <c r="U40" i="40"/>
  <c r="AC9" i="40"/>
  <c r="W36" i="35"/>
  <c r="J12" i="21"/>
  <c r="AC12" i="21" s="1"/>
  <c r="B73" i="43"/>
  <c r="B76" i="43"/>
  <c r="F9" i="36"/>
  <c r="J40" i="40"/>
  <c r="G562" i="3"/>
  <c r="AZ426" i="3"/>
  <c r="AZ463" i="3"/>
  <c r="BL485" i="3"/>
  <c r="AZ485" i="3"/>
  <c r="AZ489" i="3"/>
  <c r="AZ385" i="3"/>
  <c r="AZ212" i="3"/>
  <c r="AZ220" i="3"/>
  <c r="AZ231" i="3"/>
  <c r="AZ255" i="3"/>
  <c r="BL276" i="3"/>
  <c r="AZ276" i="3"/>
  <c r="AZ293" i="3"/>
  <c r="BA472" i="3"/>
  <c r="AZ472" i="3" s="1"/>
  <c r="G476" i="3"/>
  <c r="AZ477" i="3"/>
  <c r="AZ478" i="3"/>
  <c r="BA479" i="3"/>
  <c r="AZ479" i="3"/>
  <c r="BA490" i="3"/>
  <c r="AZ490" i="3"/>
  <c r="BL312" i="3"/>
  <c r="AZ312" i="3"/>
  <c r="G313" i="3"/>
  <c r="BA316" i="3"/>
  <c r="AZ316" i="3" s="1"/>
  <c r="BA317" i="3"/>
  <c r="AZ317" i="3" s="1"/>
  <c r="BA323" i="3"/>
  <c r="AZ323" i="3" s="1"/>
  <c r="G327" i="3"/>
  <c r="BL330" i="3"/>
  <c r="AZ330" i="3"/>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c r="BA475" i="3"/>
  <c r="AZ475" i="3"/>
  <c r="BL481" i="3"/>
  <c r="AZ481" i="3"/>
  <c r="BL482" i="3"/>
  <c r="AZ482" i="3"/>
  <c r="G483" i="3"/>
  <c r="BL486" i="3"/>
  <c r="AZ486" i="3" s="1"/>
  <c r="G487" i="3"/>
  <c r="BA492" i="3"/>
  <c r="AZ492" i="3"/>
  <c r="BL363" i="3"/>
  <c r="AZ363" i="3"/>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9" i="3"/>
  <c r="AZ279" i="3" s="1"/>
  <c r="BL281" i="3"/>
  <c r="AZ281" i="3" s="1"/>
  <c r="BA285" i="3"/>
  <c r="AZ285" i="3" s="1"/>
  <c r="BA287" i="3"/>
  <c r="AZ287" i="3" s="1"/>
  <c r="AZ290" i="3"/>
  <c r="BL153" i="3"/>
  <c r="AZ153" i="3"/>
  <c r="AZ134" i="3"/>
  <c r="AZ207" i="3"/>
  <c r="BA289" i="3"/>
  <c r="AZ289" i="3"/>
  <c r="G293" i="3"/>
  <c r="G296" i="3"/>
  <c r="BL296" i="3"/>
  <c r="AZ296" i="3"/>
  <c r="G301" i="3"/>
  <c r="G114" i="3"/>
  <c r="BL114" i="3"/>
  <c r="AZ114" i="3"/>
  <c r="BL117" i="3"/>
  <c r="AZ117" i="3"/>
  <c r="G118" i="3"/>
  <c r="BL119" i="3"/>
  <c r="AZ119" i="3" s="1"/>
  <c r="G120" i="3"/>
  <c r="G124" i="3"/>
  <c r="BL129" i="3"/>
  <c r="AZ129" i="3" s="1"/>
  <c r="BL131" i="3"/>
  <c r="AZ131" i="3" s="1"/>
  <c r="G132" i="3"/>
  <c r="G139" i="3"/>
  <c r="G142" i="3"/>
  <c r="BL142" i="3"/>
  <c r="AZ142" i="3"/>
  <c r="BA158" i="3"/>
  <c r="AZ158" i="3"/>
  <c r="BA161" i="3"/>
  <c r="AZ161" i="3"/>
  <c r="BA172" i="3"/>
  <c r="AZ172" i="3"/>
  <c r="AZ18" i="3"/>
  <c r="BL288" i="3"/>
  <c r="AZ288" i="3" s="1"/>
  <c r="BA292" i="3"/>
  <c r="AZ292" i="3" s="1"/>
  <c r="BA295" i="3"/>
  <c r="AZ295" i="3" s="1"/>
  <c r="G298" i="3"/>
  <c r="BA299" i="3"/>
  <c r="AZ299" i="3"/>
  <c r="BA300" i="3"/>
  <c r="AZ300" i="3"/>
  <c r="BA113" i="3"/>
  <c r="AZ113" i="3"/>
  <c r="G119" i="3"/>
  <c r="G122" i="3"/>
  <c r="G131" i="3"/>
  <c r="BA136" i="3"/>
  <c r="AZ136" i="3" s="1"/>
  <c r="BA138" i="3"/>
  <c r="AZ138" i="3" s="1"/>
  <c r="BA141" i="3"/>
  <c r="AZ141" i="3" s="1"/>
  <c r="BL145" i="3"/>
  <c r="AZ145" i="3" s="1"/>
  <c r="BL147" i="3"/>
  <c r="AZ147" i="3" s="1"/>
  <c r="G148" i="3"/>
  <c r="BL151" i="3"/>
  <c r="AZ151" i="3"/>
  <c r="BA165" i="3"/>
  <c r="AZ165" i="3"/>
  <c r="G168" i="3"/>
  <c r="BA170" i="3"/>
  <c r="AZ170" i="3" s="1"/>
  <c r="BL174" i="3"/>
  <c r="AZ174" i="3" s="1"/>
  <c r="AZ185" i="3"/>
  <c r="AZ193" i="3"/>
  <c r="BL87" i="3"/>
  <c r="AZ87" i="3" s="1"/>
  <c r="BL202" i="3"/>
  <c r="AZ202" i="3" s="1"/>
  <c r="AZ30" i="3"/>
  <c r="BL36" i="3"/>
  <c r="AZ36" i="3"/>
  <c r="AZ40" i="3"/>
  <c r="AZ48" i="3"/>
  <c r="AZ68" i="3"/>
  <c r="AZ73" i="3"/>
  <c r="BL104" i="3"/>
  <c r="AZ104" i="3"/>
  <c r="AZ106" i="3"/>
  <c r="G200" i="3"/>
  <c r="G207" i="3"/>
  <c r="BA23" i="3"/>
  <c r="AZ23" i="3" s="1"/>
  <c r="BA24" i="3"/>
  <c r="AZ24" i="3" s="1"/>
  <c r="BL26" i="3"/>
  <c r="AZ26" i="3" s="1"/>
  <c r="BL32" i="3"/>
  <c r="AZ32" i="3" s="1"/>
  <c r="BA34" i="3"/>
  <c r="AZ34" i="3" s="1"/>
  <c r="BA35" i="3"/>
  <c r="AZ35" i="3" s="1"/>
  <c r="BL37" i="3"/>
  <c r="AZ37" i="3" s="1"/>
  <c r="BL42" i="3"/>
  <c r="AZ42" i="3" s="1"/>
  <c r="BA44" i="3"/>
  <c r="AZ44" i="3" s="1"/>
  <c r="BL46" i="3"/>
  <c r="AZ46" i="3" s="1"/>
  <c r="AZ56" i="3"/>
  <c r="AZ60" i="3"/>
  <c r="BA206" i="3"/>
  <c r="AZ206" i="3" s="1"/>
  <c r="BL22" i="3"/>
  <c r="AZ22" i="3" s="1"/>
  <c r="BL33" i="3"/>
  <c r="AZ33" i="3" s="1"/>
  <c r="BL43" i="3"/>
  <c r="AZ43" i="3" s="1"/>
  <c r="AZ54" i="3"/>
  <c r="AZ90" i="3"/>
  <c r="AZ92" i="3"/>
  <c r="BL78" i="3"/>
  <c r="BA83" i="3"/>
  <c r="AZ83" i="3" s="1"/>
  <c r="G91" i="3"/>
  <c r="BL95" i="3"/>
  <c r="BL98" i="3"/>
  <c r="AZ98" i="3" s="1"/>
  <c r="BL109" i="3"/>
  <c r="AZ109" i="3" s="1"/>
  <c r="AB21" i="21"/>
  <c r="D36" i="71"/>
  <c r="T36" i="71"/>
  <c r="AZ78" i="3"/>
  <c r="AZ95" i="3"/>
  <c r="G77" i="3"/>
  <c r="G94" i="3"/>
  <c r="G97" i="3"/>
  <c r="G100" i="3"/>
  <c r="BA81" i="3"/>
  <c r="AZ81" i="3"/>
  <c r="BA85" i="3"/>
  <c r="AZ85" i="3"/>
  <c r="BL89" i="3"/>
  <c r="AZ89" i="3"/>
  <c r="BA107" i="3"/>
  <c r="AZ107" i="3"/>
  <c r="BA112" i="3"/>
  <c r="AZ112" i="3"/>
  <c r="AC21" i="34"/>
  <c r="BA76" i="3"/>
  <c r="AZ76" i="3"/>
  <c r="BL80" i="3"/>
  <c r="AZ80" i="3"/>
  <c r="BA93" i="3"/>
  <c r="AZ93" i="3"/>
  <c r="BA96" i="3"/>
  <c r="AZ96" i="3"/>
  <c r="BA99" i="3"/>
  <c r="AZ99" i="3"/>
  <c r="D64" i="71"/>
  <c r="T64" i="71"/>
  <c r="U18" i="35"/>
  <c r="Y32" i="71"/>
  <c r="Z32" i="71" s="1"/>
  <c r="Y33" i="71"/>
  <c r="Z33" i="71" s="1"/>
  <c r="Y22" i="71"/>
  <c r="Z22" i="71" s="1"/>
  <c r="X24" i="71"/>
  <c r="AA22" i="71"/>
  <c r="X21" i="71"/>
  <c r="X17" i="71"/>
  <c r="AA17" i="71"/>
  <c r="Y11" i="71"/>
  <c r="Z11" i="71"/>
  <c r="S21" i="21"/>
  <c r="U18" i="36"/>
  <c r="X27" i="71"/>
  <c r="Y31" i="71"/>
  <c r="Z31" i="71" s="1"/>
  <c r="X10" i="71"/>
  <c r="Q66" i="71"/>
  <c r="Q65" i="71"/>
  <c r="AA24" i="71"/>
  <c r="Y23" i="71"/>
  <c r="Z23" i="71" s="1"/>
  <c r="Y21" i="71"/>
  <c r="Z21" i="71" s="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I24" i="43"/>
  <c r="C24" i="43" s="1"/>
  <c r="S22" i="31"/>
  <c r="R22" i="31"/>
  <c r="D74" i="43"/>
  <c r="E50" i="43"/>
  <c r="B48" i="43" s="1"/>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AA8" i="37"/>
  <c r="AA9" i="37"/>
  <c r="AA12" i="37"/>
  <c r="AB9" i="37"/>
  <c r="U11" i="37"/>
  <c r="U12" i="37"/>
  <c r="AC8" i="37"/>
  <c r="AB37" i="34"/>
  <c r="S9" i="34"/>
  <c r="AC11" i="34"/>
  <c r="S9" i="33"/>
  <c r="S8" i="33"/>
  <c r="U8" i="33"/>
  <c r="C4" i="12"/>
  <c r="I4" i="6"/>
  <c r="G3" i="43"/>
  <c r="G26" i="43" s="1"/>
  <c r="W10" i="36"/>
  <c r="U10" i="36"/>
  <c r="S10" i="36"/>
  <c r="AA10" i="35"/>
  <c r="W10" i="35"/>
  <c r="U10" i="37"/>
  <c r="S10" i="37"/>
  <c r="AC10" i="37"/>
  <c r="W10" i="34"/>
  <c r="U10" i="34"/>
  <c r="S10" i="34"/>
  <c r="AA10" i="33"/>
  <c r="AC10" i="33"/>
  <c r="AB10" i="33"/>
  <c r="U10" i="21"/>
  <c r="S10" i="21"/>
  <c r="AB27" i="36"/>
  <c r="S27" i="36"/>
  <c r="AC27" i="36"/>
  <c r="AC8" i="35"/>
  <c r="U8" i="35"/>
  <c r="H26" i="35"/>
  <c r="F26" i="35"/>
  <c r="J26" i="35"/>
  <c r="W33" i="37"/>
  <c r="AA11" i="37"/>
  <c r="W34" i="34"/>
  <c r="W37" i="34"/>
  <c r="S34" i="34"/>
  <c r="AB11" i="34"/>
  <c r="AA11" i="34"/>
  <c r="P74" i="67"/>
  <c r="D72" i="43"/>
  <c r="D76" i="43"/>
  <c r="D80" i="43"/>
  <c r="D61" i="43"/>
  <c r="P61" i="15"/>
  <c r="C21" i="69"/>
  <c r="J84" i="43"/>
  <c r="J85" i="43"/>
  <c r="J86" i="43"/>
  <c r="J87" i="43"/>
  <c r="J88" i="43"/>
  <c r="J89" i="43"/>
  <c r="J90" i="43"/>
  <c r="D83" i="43"/>
  <c r="E83" i="43"/>
  <c r="B81" i="43" s="1"/>
  <c r="D66" i="43"/>
  <c r="D64" i="43"/>
  <c r="D62" i="43"/>
  <c r="D67" i="43"/>
  <c r="D65" i="43"/>
  <c r="D63" i="43"/>
  <c r="E61" i="43" s="1"/>
  <c r="B59" i="43" s="1"/>
  <c r="D69" i="43"/>
  <c r="D73" i="43"/>
  <c r="D75" i="43"/>
  <c r="D79" i="43"/>
  <c r="D22" i="67"/>
  <c r="H90" i="43"/>
  <c r="I18" i="43"/>
  <c r="E17" i="43"/>
  <c r="C17" i="43"/>
  <c r="H55" i="43"/>
  <c r="T35" i="4"/>
  <c r="A19" i="51"/>
  <c r="B14" i="72" s="1"/>
  <c r="H110" i="9"/>
  <c r="D18" i="53"/>
  <c r="B35" i="72" s="1"/>
  <c r="K5" i="4"/>
  <c r="B47" i="48" s="1"/>
  <c r="AB8" i="71"/>
  <c r="M68" i="9"/>
  <c r="L65" i="9"/>
  <c r="M65" i="9" s="1"/>
  <c r="L64" i="9"/>
  <c r="M64" i="9"/>
  <c r="B8" i="74"/>
  <c r="C8" i="74"/>
  <c r="D13" i="52"/>
  <c r="D12" i="52"/>
  <c r="D17" i="53"/>
  <c r="B36" i="72"/>
  <c r="D124" i="9"/>
  <c r="D10" i="52" s="1"/>
  <c r="H68" i="43"/>
  <c r="E44" i="43"/>
  <c r="C44" i="43"/>
  <c r="AC21" i="39"/>
  <c r="AB23" i="39"/>
  <c r="AB15" i="39"/>
  <c r="AC15" i="39"/>
  <c r="S25" i="39"/>
  <c r="W39" i="39"/>
  <c r="W42" i="39"/>
  <c r="W14" i="39"/>
  <c r="S29" i="39"/>
  <c r="E11" i="43"/>
  <c r="E9" i="43"/>
  <c r="E10" i="43"/>
  <c r="E8" i="43"/>
  <c r="D23" i="67"/>
  <c r="G25" i="12"/>
  <c r="G41" i="11"/>
  <c r="G27" i="12"/>
  <c r="G41" i="68"/>
  <c r="K4" i="4"/>
  <c r="B46" i="48"/>
  <c r="B4" i="72"/>
  <c r="B4" i="62"/>
  <c r="B71" i="72"/>
  <c r="D9" i="53"/>
  <c r="B25" i="72"/>
  <c r="B24" i="72"/>
  <c r="Y16" i="71"/>
  <c r="Z16" i="71"/>
  <c r="Y15" i="71"/>
  <c r="Z15" i="71" s="1"/>
  <c r="AA16" i="71"/>
  <c r="AB3" i="71"/>
  <c r="B16" i="71"/>
  <c r="X16" i="71"/>
  <c r="AB16" i="71"/>
  <c r="Y3" i="71"/>
  <c r="Z3" i="71"/>
  <c r="F15" i="71"/>
  <c r="F14" i="71" s="1"/>
  <c r="F13" i="71" s="1"/>
  <c r="F12" i="71" s="1"/>
  <c r="F11" i="71" s="1"/>
  <c r="F10" i="71" s="1"/>
  <c r="F9" i="71" s="1"/>
  <c r="F8" i="71" s="1"/>
  <c r="F7" i="71" s="1"/>
  <c r="F6" i="71" s="1"/>
  <c r="F5" i="71" s="1"/>
  <c r="AF3" i="71"/>
  <c r="AA26" i="37"/>
  <c r="S26" i="37"/>
  <c r="W40" i="40"/>
  <c r="AC40" i="40"/>
  <c r="W12" i="21"/>
  <c r="AB12" i="21"/>
  <c r="AA27" i="34"/>
  <c r="S27" i="34"/>
  <c r="AC26" i="37"/>
  <c r="W26" i="37"/>
  <c r="B15" i="71"/>
  <c r="B14" i="71"/>
  <c r="B13" i="71" s="1"/>
  <c r="B12" i="71" s="1"/>
  <c r="S16" i="71"/>
  <c r="AA9" i="36"/>
  <c r="S9" i="36"/>
  <c r="AA34" i="35"/>
  <c r="S34" i="35"/>
  <c r="S40" i="40"/>
  <c r="AA40" i="40"/>
  <c r="AC34" i="35"/>
  <c r="W34" i="35"/>
  <c r="C28" i="43"/>
  <c r="AA26" i="35"/>
  <c r="S26" i="35"/>
  <c r="AC26" i="35"/>
  <c r="W26" i="35"/>
  <c r="AB26" i="35"/>
  <c r="U26" i="35"/>
  <c r="E72" i="43"/>
  <c r="B70" i="43"/>
  <c r="C7" i="43"/>
  <c r="D125" i="9"/>
  <c r="D11" i="52"/>
  <c r="B7" i="74"/>
  <c r="C7" i="74" s="1"/>
  <c r="AE11" i="1"/>
  <c r="AE9" i="1"/>
  <c r="AE7" i="1"/>
  <c r="AE8" i="1"/>
  <c r="AE12" i="1"/>
  <c r="AE10" i="1"/>
  <c r="AG11" i="1"/>
  <c r="AG9" i="1"/>
  <c r="AG10" i="1"/>
  <c r="AG8" i="1"/>
  <c r="AG12" i="1"/>
  <c r="AG7" i="1"/>
  <c r="AG6" i="1"/>
  <c r="S8" i="1"/>
  <c r="E8" i="70"/>
  <c r="S11" i="1"/>
  <c r="AR11" i="1" s="1"/>
  <c r="E11" i="70"/>
  <c r="S9" i="1"/>
  <c r="T9" i="1" s="1"/>
  <c r="S7" i="1"/>
  <c r="AR7" i="1" s="1"/>
  <c r="E7" i="70"/>
  <c r="S10" i="1"/>
  <c r="T10" i="1" s="1"/>
  <c r="E10" i="70"/>
  <c r="S12" i="1"/>
  <c r="AQ12" i="1"/>
  <c r="B2" i="74"/>
  <c r="D6" i="74" s="1"/>
  <c r="R7" i="1"/>
  <c r="E12" i="70"/>
  <c r="F34" i="11"/>
  <c r="F11" i="12"/>
  <c r="C23" i="12" s="1"/>
  <c r="E9" i="70"/>
  <c r="AQ7" i="1"/>
  <c r="T7" i="1"/>
  <c r="R11" i="1"/>
  <c r="R9" i="1"/>
  <c r="R10" i="1"/>
  <c r="R8" i="1"/>
  <c r="R12" i="1"/>
  <c r="B2" i="33"/>
  <c r="B2" i="36"/>
  <c r="B3" i="36"/>
  <c r="B2" i="35"/>
  <c r="B3" i="35" s="1"/>
  <c r="B2" i="37"/>
  <c r="B2" i="34"/>
  <c r="B6" i="74"/>
  <c r="F39" i="21"/>
  <c r="AA39" i="21" s="1"/>
  <c r="W44" i="21"/>
  <c r="AB44" i="21"/>
  <c r="S44" i="21"/>
  <c r="S42" i="21"/>
  <c r="W42" i="21"/>
  <c r="W41" i="21"/>
  <c r="S40" i="21"/>
  <c r="J39" i="21"/>
  <c r="AC39" i="21" s="1"/>
  <c r="F117" i="21"/>
  <c r="G117" i="21"/>
  <c r="AB39" i="21"/>
  <c r="G110" i="21"/>
  <c r="H110" i="21"/>
  <c r="I110" i="21"/>
  <c r="J110" i="21" s="1"/>
  <c r="K110" i="21" s="1"/>
  <c r="L110" i="21" s="1"/>
  <c r="M110" i="21" s="1"/>
  <c r="S35" i="21"/>
  <c r="G101" i="21"/>
  <c r="H101" i="21"/>
  <c r="W29" i="21"/>
  <c r="AC29" i="21"/>
  <c r="F29" i="21"/>
  <c r="W30" i="21"/>
  <c r="U30" i="21"/>
  <c r="L89" i="21"/>
  <c r="F26" i="21"/>
  <c r="F113" i="21"/>
  <c r="G113" i="21"/>
  <c r="H113" i="21" s="1"/>
  <c r="U38" i="21"/>
  <c r="S38" i="21"/>
  <c r="W38" i="21"/>
  <c r="AA15" i="21"/>
  <c r="S13" i="21"/>
  <c r="AA13" i="21"/>
  <c r="S12" i="21"/>
  <c r="AA12" i="21"/>
  <c r="W10" i="21"/>
  <c r="J11" i="21"/>
  <c r="W11" i="21" s="1"/>
  <c r="AC35" i="21"/>
  <c r="U35" i="21"/>
  <c r="S34" i="21"/>
  <c r="U28" i="21"/>
  <c r="AB11" i="21"/>
  <c r="AA9" i="21"/>
  <c r="S9" i="21"/>
  <c r="J9" i="21"/>
  <c r="U9" i="21"/>
  <c r="AB8" i="21"/>
  <c r="W8" i="21"/>
  <c r="AA8" i="21"/>
  <c r="H84" i="43"/>
  <c r="H93" i="43"/>
  <c r="H87" i="43"/>
  <c r="H58" i="43"/>
  <c r="H85" i="43"/>
  <c r="H69" i="43"/>
  <c r="J21" i="43"/>
  <c r="F38" i="43"/>
  <c r="H63" i="43"/>
  <c r="H88" i="43"/>
  <c r="H78" i="43"/>
  <c r="H67" i="43"/>
  <c r="X7" i="43"/>
  <c r="F37" i="43"/>
  <c r="H77" i="43"/>
  <c r="H62" i="43"/>
  <c r="C6" i="43"/>
  <c r="H116" i="43"/>
  <c r="M20" i="67"/>
  <c r="C92" i="9"/>
  <c r="B41" i="1"/>
  <c r="M18" i="15" s="1"/>
  <c r="F30" i="11"/>
  <c r="C30" i="11" s="1"/>
  <c r="C40" i="69"/>
  <c r="C21" i="68"/>
  <c r="C40" i="68"/>
  <c r="AQ10" i="1"/>
  <c r="AR8" i="1"/>
  <c r="E26" i="43"/>
  <c r="H26" i="43"/>
  <c r="J26" i="43"/>
  <c r="B116" i="43"/>
  <c r="BA13" i="3"/>
  <c r="AR13" i="1"/>
  <c r="AQ13" i="1"/>
  <c r="T13" i="1"/>
  <c r="Z7" i="43"/>
  <c r="BL13" i="3"/>
  <c r="F29" i="6"/>
  <c r="D121" i="43"/>
  <c r="E121" i="43" s="1"/>
  <c r="F121" i="43"/>
  <c r="B120" i="43"/>
  <c r="C120" i="43" s="1"/>
  <c r="T11" i="1"/>
  <c r="AQ11" i="1"/>
  <c r="O9" i="1"/>
  <c r="P9" i="1"/>
  <c r="O7" i="1"/>
  <c r="P7" i="1"/>
  <c r="O13" i="1"/>
  <c r="P13" i="1"/>
  <c r="O10" i="1"/>
  <c r="P10" i="1"/>
  <c r="O8" i="1"/>
  <c r="P8" i="1"/>
  <c r="T12" i="1"/>
  <c r="AR12" i="1"/>
  <c r="P12" i="1"/>
  <c r="P6" i="1"/>
  <c r="B121" i="43"/>
  <c r="C121" i="43" s="1"/>
  <c r="G11" i="1"/>
  <c r="X8" i="71"/>
  <c r="B37" i="48"/>
  <c r="B2" i="72" s="1"/>
  <c r="Y8" i="71"/>
  <c r="Z8" i="71"/>
  <c r="L1" i="73"/>
  <c r="C34" i="67"/>
  <c r="C34" i="15"/>
  <c r="C62" i="15"/>
  <c r="I54" i="67"/>
  <c r="K1" i="73"/>
  <c r="S26" i="21"/>
  <c r="AA26" i="21"/>
  <c r="U42" i="21"/>
  <c r="U36" i="21"/>
  <c r="I101" i="21"/>
  <c r="J101" i="21"/>
  <c r="K101" i="21"/>
  <c r="L101" i="21" s="1"/>
  <c r="M101" i="21" s="1"/>
  <c r="AA29" i="21"/>
  <c r="S29" i="21"/>
  <c r="M89" i="21"/>
  <c r="J26" i="21"/>
  <c r="W26" i="21" s="1"/>
  <c r="H26" i="21"/>
  <c r="AC11" i="21"/>
  <c r="W9" i="21"/>
  <c r="AC9" i="21"/>
  <c r="F48" i="9"/>
  <c r="O52" i="9" s="1"/>
  <c r="F31" i="12"/>
  <c r="D68" i="9"/>
  <c r="F32" i="15"/>
  <c r="F60" i="15" s="1"/>
  <c r="F54" i="9"/>
  <c r="C48" i="11"/>
  <c r="AZ13" i="3"/>
  <c r="F30" i="6"/>
  <c r="C61" i="67"/>
  <c r="C32" i="67"/>
  <c r="C33" i="67"/>
  <c r="C61" i="15"/>
  <c r="C32" i="15"/>
  <c r="C33" i="15"/>
  <c r="U32" i="21"/>
  <c r="AB26" i="21"/>
  <c r="U26" i="21"/>
  <c r="O14" i="1"/>
  <c r="D3" i="21"/>
  <c r="M18" i="9"/>
  <c r="B118" i="9" s="1"/>
  <c r="C60" i="67"/>
  <c r="C60" i="15"/>
  <c r="P14" i="1"/>
  <c r="L46" i="67"/>
  <c r="C62" i="67"/>
  <c r="E2" i="69"/>
  <c r="E8" i="76"/>
  <c r="F20" i="31"/>
  <c r="M22" i="15"/>
  <c r="B13" i="76"/>
  <c r="F41" i="15"/>
  <c r="F16" i="67"/>
  <c r="M9" i="15"/>
  <c r="E12" i="76"/>
  <c r="F42" i="67"/>
  <c r="M8" i="67"/>
  <c r="M26" i="15"/>
  <c r="F26" i="67"/>
  <c r="D35" i="9"/>
  <c r="D2" i="37"/>
  <c r="M21" i="15"/>
  <c r="D7" i="73"/>
  <c r="M6" i="67"/>
  <c r="AO8" i="1"/>
  <c r="D34" i="9"/>
  <c r="F7" i="67"/>
  <c r="F37" i="15"/>
  <c r="M28" i="15"/>
  <c r="D2" i="35"/>
  <c r="AO10" i="1"/>
  <c r="B10" i="76"/>
  <c r="E11" i="76"/>
  <c r="F35" i="15"/>
  <c r="E7" i="76"/>
  <c r="F6" i="15"/>
  <c r="F38" i="15"/>
  <c r="M24" i="67"/>
  <c r="F6" i="67"/>
  <c r="M23" i="67"/>
  <c r="E10" i="76"/>
  <c r="M22" i="67"/>
  <c r="M27" i="67"/>
  <c r="B11" i="76"/>
  <c r="F13" i="67"/>
  <c r="J15" i="15"/>
  <c r="D2" i="34"/>
  <c r="D2" i="36"/>
  <c r="E9" i="76"/>
  <c r="F36" i="15"/>
  <c r="M29" i="15"/>
  <c r="L47" i="15"/>
  <c r="E2" i="68"/>
  <c r="F8" i="15"/>
  <c r="D5" i="73"/>
  <c r="F40" i="15"/>
  <c r="M28" i="67"/>
  <c r="AO11" i="1"/>
  <c r="C14" i="15"/>
  <c r="D2" i="33"/>
  <c r="B7" i="76"/>
  <c r="F9" i="67"/>
  <c r="D3" i="73"/>
  <c r="F43" i="15"/>
  <c r="AO13" i="1"/>
  <c r="M24" i="15"/>
  <c r="D4" i="73"/>
  <c r="F7" i="15"/>
  <c r="D2" i="21"/>
  <c r="F37" i="67"/>
  <c r="M23" i="15"/>
  <c r="F40" i="67"/>
  <c r="AO7" i="1"/>
  <c r="B8" i="76"/>
  <c r="B12" i="76"/>
  <c r="F26" i="15"/>
  <c r="F13" i="15"/>
  <c r="M26" i="67"/>
  <c r="F8" i="67"/>
  <c r="F38" i="67"/>
  <c r="M6" i="15"/>
  <c r="J15" i="67"/>
  <c r="E13" i="76"/>
  <c r="L48" i="15"/>
  <c r="F16" i="15"/>
  <c r="F42" i="15"/>
  <c r="F36" i="67"/>
  <c r="D6" i="73"/>
  <c r="B9" i="76"/>
  <c r="C76" i="67"/>
  <c r="F9" i="15"/>
  <c r="AO9" i="1"/>
  <c r="C76" i="15"/>
  <c r="AO12" i="1"/>
  <c r="M9" i="67"/>
  <c r="M8" i="15"/>
  <c r="M27" i="15"/>
  <c r="F5" i="73"/>
  <c r="L47" i="67"/>
  <c r="E15" i="71" l="1"/>
  <c r="E14" i="71" s="1"/>
  <c r="E13" i="71" s="1"/>
  <c r="E12" i="71" s="1"/>
  <c r="V16" i="71"/>
  <c r="S12" i="71"/>
  <c r="B11" i="71"/>
  <c r="B10" i="71" s="1"/>
  <c r="B9" i="71" s="1"/>
  <c r="B8" i="71" s="1"/>
  <c r="B7" i="71" s="1"/>
  <c r="B6" i="71" s="1"/>
  <c r="B5" i="71" s="1"/>
  <c r="D7" i="74"/>
  <c r="O16" i="1"/>
  <c r="S39" i="21"/>
  <c r="D8" i="74"/>
  <c r="D21" i="71"/>
  <c r="C20" i="71"/>
  <c r="L67" i="9"/>
  <c r="M67" i="9" s="1"/>
  <c r="L63" i="9"/>
  <c r="M63" i="9" s="1"/>
  <c r="M69" i="9" s="1"/>
  <c r="N69" i="9" s="1"/>
  <c r="L66" i="9"/>
  <c r="M66" i="9" s="1"/>
  <c r="W11" i="37"/>
  <c r="D19" i="53"/>
  <c r="U33" i="34"/>
  <c r="AA15" i="39"/>
  <c r="S32" i="40"/>
  <c r="AA32" i="40"/>
  <c r="AA24" i="35"/>
  <c r="S24" i="35"/>
  <c r="S14" i="37"/>
  <c r="AA14" i="37"/>
  <c r="U45" i="34"/>
  <c r="AB45" i="34"/>
  <c r="AC25" i="34"/>
  <c r="W25" i="34"/>
  <c r="AB39" i="37"/>
  <c r="U39" i="37"/>
  <c r="E79" i="21"/>
  <c r="F79" i="21" s="1"/>
  <c r="G79" i="21" s="1"/>
  <c r="H17" i="21"/>
  <c r="AB17" i="21" s="1"/>
  <c r="F17" i="21"/>
  <c r="J27" i="34"/>
  <c r="H27" i="34"/>
  <c r="AB26" i="37"/>
  <c r="U26" i="37"/>
  <c r="S19" i="33"/>
  <c r="AA19" i="33"/>
  <c r="H86" i="43"/>
  <c r="H89" i="43"/>
  <c r="W13" i="34"/>
  <c r="AC13" i="34"/>
  <c r="W26" i="36"/>
  <c r="AC26" i="36"/>
  <c r="AB11" i="33"/>
  <c r="U11" i="33"/>
  <c r="W17" i="34"/>
  <c r="AC17" i="34"/>
  <c r="W40" i="33"/>
  <c r="AC40" i="33"/>
  <c r="J13" i="33"/>
  <c r="H13" i="33"/>
  <c r="F13" i="33"/>
  <c r="J31" i="33"/>
  <c r="H31" i="33"/>
  <c r="F31" i="33"/>
  <c r="U23" i="21"/>
  <c r="K120" i="9"/>
  <c r="D6" i="52"/>
  <c r="W17" i="37"/>
  <c r="AC17" i="37"/>
  <c r="AB32" i="37"/>
  <c r="U32" i="37"/>
  <c r="AZ327" i="3"/>
  <c r="AZ497" i="3"/>
  <c r="AZ559" i="3"/>
  <c r="AZ500" i="3"/>
  <c r="AZ508" i="3"/>
  <c r="W13" i="39"/>
  <c r="AC13" i="39"/>
  <c r="AB32" i="36"/>
  <c r="U32" i="36"/>
  <c r="AB38" i="34"/>
  <c r="U38" i="34"/>
  <c r="F14" i="21"/>
  <c r="H14" i="21"/>
  <c r="J14" i="21"/>
  <c r="F11" i="21"/>
  <c r="F69" i="21"/>
  <c r="G69" i="21" s="1"/>
  <c r="H69" i="21" s="1"/>
  <c r="I69" i="21" s="1"/>
  <c r="J69" i="21" s="1"/>
  <c r="K69" i="21" s="1"/>
  <c r="L69" i="21" s="1"/>
  <c r="M69" i="21" s="1"/>
  <c r="S38" i="33"/>
  <c r="AA38" i="33"/>
  <c r="AC24" i="36"/>
  <c r="W24" i="36"/>
  <c r="W27" i="40"/>
  <c r="AC27" i="40"/>
  <c r="AA39" i="39"/>
  <c r="AC15" i="37"/>
  <c r="AC33" i="34"/>
  <c r="W33" i="34"/>
  <c r="AA31" i="40"/>
  <c r="S31" i="40"/>
  <c r="AA39" i="33"/>
  <c r="S39" i="33"/>
  <c r="G521" i="3"/>
  <c r="AC5" i="3"/>
  <c r="W31" i="34"/>
  <c r="AC31" i="34"/>
  <c r="W11" i="35"/>
  <c r="AC11" i="35"/>
  <c r="U26" i="33"/>
  <c r="AB26" i="33"/>
  <c r="AA46" i="21"/>
  <c r="S46" i="21"/>
  <c r="AB42" i="39"/>
  <c r="U42" i="39"/>
  <c r="AB40" i="39"/>
  <c r="U40" i="39"/>
  <c r="BL587" i="3"/>
  <c r="BA587" i="3"/>
  <c r="AZ587" i="3" s="1"/>
  <c r="U33" i="33"/>
  <c r="AB33" i="33"/>
  <c r="BL579" i="3"/>
  <c r="BJ5" i="3"/>
  <c r="BB5" i="3"/>
  <c r="BL575" i="3"/>
  <c r="AZ574" i="3"/>
  <c r="AZ541" i="3"/>
  <c r="AZ575" i="3"/>
  <c r="AZ556" i="3"/>
  <c r="F24" i="36"/>
  <c r="S38" i="39"/>
  <c r="W25" i="37"/>
  <c r="BA585" i="3"/>
  <c r="AZ585" i="3" s="1"/>
  <c r="W41" i="33"/>
  <c r="J12" i="34"/>
  <c r="H12" i="34"/>
  <c r="H33" i="36"/>
  <c r="F33" i="36"/>
  <c r="H38" i="37"/>
  <c r="F38" i="37"/>
  <c r="W31" i="35"/>
  <c r="AC31" i="35"/>
  <c r="G584" i="3"/>
  <c r="AZ513" i="3"/>
  <c r="AZ532" i="3"/>
  <c r="H13" i="37"/>
  <c r="AA34" i="37"/>
  <c r="W22" i="35"/>
  <c r="U31" i="36"/>
  <c r="H45" i="33"/>
  <c r="F45" i="33"/>
  <c r="H24" i="36"/>
  <c r="AC28" i="36"/>
  <c r="W28" i="36"/>
  <c r="F25" i="37"/>
  <c r="H27" i="37"/>
  <c r="F27" i="37"/>
  <c r="F44" i="39"/>
  <c r="H45" i="39"/>
  <c r="F45" i="39"/>
  <c r="J33" i="40"/>
  <c r="F33" i="40"/>
  <c r="AA38" i="40"/>
  <c r="BL550" i="3"/>
  <c r="BA550" i="3"/>
  <c r="AZ550" i="3" s="1"/>
  <c r="BL548" i="3"/>
  <c r="AZ548" i="3" s="1"/>
  <c r="BA545" i="3"/>
  <c r="AZ545" i="3" s="1"/>
  <c r="BL544" i="3"/>
  <c r="AZ544" i="3" s="1"/>
  <c r="BL543" i="3"/>
  <c r="AZ543" i="3" s="1"/>
  <c r="BG5" i="3"/>
  <c r="BC5" i="3"/>
  <c r="AZ547" i="3"/>
  <c r="AZ561" i="3"/>
  <c r="AZ512" i="3"/>
  <c r="AZ546" i="3"/>
  <c r="J31" i="39"/>
  <c r="U9" i="40"/>
  <c r="W19" i="21"/>
  <c r="AC19" i="21"/>
  <c r="J40" i="21"/>
  <c r="BL586" i="3"/>
  <c r="AZ586" i="3" s="1"/>
  <c r="H40" i="21"/>
  <c r="H13" i="21"/>
  <c r="J13" i="21"/>
  <c r="J25" i="35"/>
  <c r="H25" i="35"/>
  <c r="BL572" i="3"/>
  <c r="BA572" i="3"/>
  <c r="AZ572" i="3" s="1"/>
  <c r="BL571" i="3"/>
  <c r="AZ571" i="3" s="1"/>
  <c r="BA565" i="3"/>
  <c r="AZ565" i="3" s="1"/>
  <c r="BA564" i="3"/>
  <c r="AZ564" i="3" s="1"/>
  <c r="BA558" i="3"/>
  <c r="AZ558" i="3" s="1"/>
  <c r="G557" i="3"/>
  <c r="BA555" i="3"/>
  <c r="AZ555" i="3" s="1"/>
  <c r="BL554" i="3"/>
  <c r="AZ554" i="3" s="1"/>
  <c r="AC31" i="37"/>
  <c r="W31" i="37"/>
  <c r="AB9" i="39"/>
  <c r="U9" i="39"/>
  <c r="H35" i="39"/>
  <c r="F35" i="39"/>
  <c r="BL582" i="3"/>
  <c r="AZ582" i="3" s="1"/>
  <c r="BA579" i="3"/>
  <c r="AZ579" i="3" s="1"/>
  <c r="BA577" i="3"/>
  <c r="AZ577" i="3" s="1"/>
  <c r="BA576" i="3"/>
  <c r="AZ576" i="3" s="1"/>
  <c r="BD5" i="3"/>
  <c r="F13" i="40"/>
  <c r="U34" i="37"/>
  <c r="S34" i="40"/>
  <c r="W8" i="40"/>
  <c r="H9" i="36"/>
  <c r="J9" i="36"/>
  <c r="G551" i="3"/>
  <c r="J39" i="40"/>
  <c r="H39" i="40"/>
  <c r="G566" i="3"/>
  <c r="BT5" i="3"/>
  <c r="G28" i="6" s="1"/>
  <c r="AZ411" i="3"/>
  <c r="AZ413" i="3"/>
  <c r="AZ462" i="3"/>
  <c r="AZ332" i="3"/>
  <c r="BH5" i="3"/>
  <c r="AZ440" i="3"/>
  <c r="AZ448" i="3"/>
  <c r="AZ453" i="3"/>
  <c r="AZ454" i="3"/>
  <c r="AZ458" i="3"/>
  <c r="AZ484" i="3"/>
  <c r="BP5" i="3"/>
  <c r="AZ451" i="3"/>
  <c r="AZ460" i="3"/>
  <c r="AZ471" i="3"/>
  <c r="AZ487" i="3"/>
  <c r="BA388" i="3"/>
  <c r="AZ388" i="3" s="1"/>
  <c r="AZ230" i="3"/>
  <c r="AZ252" i="3"/>
  <c r="AZ274" i="3"/>
  <c r="AZ298" i="3"/>
  <c r="AZ397" i="3"/>
  <c r="AZ216" i="3"/>
  <c r="AZ267" i="3"/>
  <c r="AZ272" i="3"/>
  <c r="AZ278" i="3"/>
  <c r="BA348" i="3"/>
  <c r="AZ348" i="3" s="1"/>
  <c r="G364" i="3"/>
  <c r="AZ217" i="3"/>
  <c r="AZ219" i="3"/>
  <c r="AZ242" i="3"/>
  <c r="AZ122" i="3"/>
  <c r="BA180" i="3"/>
  <c r="AZ180" i="3" s="1"/>
  <c r="BA189" i="3"/>
  <c r="AZ189" i="3" s="1"/>
  <c r="BA197" i="3"/>
  <c r="AZ197" i="3" s="1"/>
  <c r="G167" i="3"/>
  <c r="BL167" i="3"/>
  <c r="AZ167" i="3" s="1"/>
  <c r="BL177" i="3"/>
  <c r="BL183" i="3"/>
  <c r="AZ183" i="3" s="1"/>
  <c r="BA188" i="3"/>
  <c r="AZ188" i="3" s="1"/>
  <c r="BL191" i="3"/>
  <c r="AZ191" i="3" s="1"/>
  <c r="BL194" i="3"/>
  <c r="AZ194" i="3" s="1"/>
  <c r="BA196" i="3"/>
  <c r="AZ196" i="3" s="1"/>
  <c r="BA38" i="3"/>
  <c r="AZ38" i="3" s="1"/>
  <c r="AZ177" i="3"/>
  <c r="BA166" i="3"/>
  <c r="AZ166" i="3" s="1"/>
  <c r="AZ205" i="3"/>
  <c r="AZ25" i="3"/>
  <c r="AZ5" i="3" s="1"/>
  <c r="AZ27" i="3"/>
  <c r="AZ49" i="3"/>
  <c r="AC29" i="39"/>
  <c r="D32" i="71"/>
  <c r="D67" i="71"/>
  <c r="O67" i="71"/>
  <c r="C66" i="71"/>
  <c r="F30" i="71"/>
  <c r="F31" i="71" s="1"/>
  <c r="F32" i="71" s="1"/>
  <c r="V32" i="71" s="1"/>
  <c r="AB28" i="71"/>
  <c r="AB25" i="71"/>
  <c r="AB26" i="71"/>
  <c r="AA34" i="71"/>
  <c r="U21" i="34"/>
  <c r="C86" i="71"/>
  <c r="D86" i="71" s="1"/>
  <c r="D87" i="71"/>
  <c r="X35" i="71"/>
  <c r="X31" i="71"/>
  <c r="X32" i="71"/>
  <c r="AB31" i="71"/>
  <c r="AB32" i="71"/>
  <c r="AB33" i="71"/>
  <c r="Y38" i="71"/>
  <c r="Z38" i="71" s="1"/>
  <c r="Y35" i="71"/>
  <c r="Z35" i="71" s="1"/>
  <c r="Y37" i="71"/>
  <c r="Z37" i="71" s="1"/>
  <c r="D46" i="71"/>
  <c r="C47" i="71"/>
  <c r="D47" i="71" s="1"/>
  <c r="C51" i="71"/>
  <c r="D50" i="71"/>
  <c r="N67" i="71"/>
  <c r="B66" i="71"/>
  <c r="C5" i="68"/>
  <c r="S21" i="33"/>
  <c r="S21" i="37"/>
  <c r="T44" i="71"/>
  <c r="P66" i="71"/>
  <c r="D35" i="71"/>
  <c r="AB27" i="71"/>
  <c r="D38" i="71"/>
  <c r="C39" i="71"/>
  <c r="AA30" i="71"/>
  <c r="E31" i="71"/>
  <c r="E32" i="71" s="1"/>
  <c r="U32" i="71" s="1"/>
  <c r="X28" i="71"/>
  <c r="E43" i="71"/>
  <c r="E44" i="71" s="1"/>
  <c r="U44" i="71" s="1"/>
  <c r="S68" i="71"/>
  <c r="N68" i="71"/>
  <c r="X25" i="71"/>
  <c r="D7" i="77"/>
  <c r="C26" i="77" s="1"/>
  <c r="C32" i="77" s="1"/>
  <c r="C38" i="77" s="1"/>
  <c r="C39" i="77" s="1"/>
  <c r="E28" i="71"/>
  <c r="AA27" i="71"/>
  <c r="Y26" i="71"/>
  <c r="Z26" i="71" s="1"/>
  <c r="X34" i="71"/>
  <c r="C28" i="71"/>
  <c r="Y25" i="71"/>
  <c r="Z25" i="71" s="1"/>
  <c r="Y27" i="71"/>
  <c r="Z27" i="71" s="1"/>
  <c r="Y30" i="71"/>
  <c r="Z30" i="71" s="1"/>
  <c r="Y29" i="71"/>
  <c r="Z29" i="71" s="1"/>
  <c r="F38" i="71"/>
  <c r="F39" i="71" s="1"/>
  <c r="F40" i="71" s="1"/>
  <c r="V40" i="71" s="1"/>
  <c r="AB37" i="71"/>
  <c r="AB34" i="71"/>
  <c r="AB36" i="71"/>
  <c r="AB35" i="71"/>
  <c r="C59" i="71"/>
  <c r="D58" i="71"/>
  <c r="T80" i="71"/>
  <c r="C79" i="71"/>
  <c r="R15" i="79"/>
  <c r="R18" i="79"/>
  <c r="R14" i="79"/>
  <c r="R16" i="79"/>
  <c r="R11" i="79"/>
  <c r="R17" i="79"/>
  <c r="R10" i="79"/>
  <c r="U38" i="79"/>
  <c r="U36" i="79"/>
  <c r="U39" i="79"/>
  <c r="V8" i="79"/>
  <c r="V9" i="79"/>
  <c r="V12" i="79"/>
  <c r="V10" i="79"/>
  <c r="S11" i="79"/>
  <c r="S9" i="79"/>
  <c r="S12" i="79"/>
  <c r="P38" i="79"/>
  <c r="T38" i="79"/>
  <c r="W38" i="79" s="1"/>
  <c r="S28" i="79"/>
  <c r="L28" i="79"/>
  <c r="C51" i="78"/>
  <c r="C56" i="78" s="1"/>
  <c r="C58" i="78" s="1"/>
  <c r="X33" i="71"/>
  <c r="E32" i="77"/>
  <c r="R5" i="77"/>
  <c r="U5" i="77" s="1"/>
  <c r="R35" i="77"/>
  <c r="U34" i="77" s="1"/>
  <c r="D29" i="77"/>
  <c r="D32" i="77" s="1"/>
  <c r="D38" i="77"/>
  <c r="D39" i="77" s="1"/>
  <c r="C15" i="78"/>
  <c r="F24" i="78"/>
  <c r="R12" i="79"/>
  <c r="S38" i="79"/>
  <c r="T7" i="79"/>
  <c r="W7" i="79" s="1"/>
  <c r="T8" i="79"/>
  <c r="W8" i="79" s="1"/>
  <c r="S13" i="79"/>
  <c r="S14" i="79"/>
  <c r="V14" i="79"/>
  <c r="V16" i="79"/>
  <c r="AC3" i="79"/>
  <c r="T19" i="79"/>
  <c r="W19" i="79" s="1"/>
  <c r="T18" i="79"/>
  <c r="W18" i="79" s="1"/>
  <c r="T13" i="79"/>
  <c r="W13" i="79" s="1"/>
  <c r="T9" i="79"/>
  <c r="W9" i="79" s="1"/>
  <c r="T17" i="79"/>
  <c r="W17" i="79" s="1"/>
  <c r="T12" i="79"/>
  <c r="W12" i="79" s="1"/>
  <c r="T10" i="79"/>
  <c r="W10" i="79" s="1"/>
  <c r="T14" i="79"/>
  <c r="W14" i="79" s="1"/>
  <c r="P19" i="79"/>
  <c r="V6" i="79"/>
  <c r="V3" i="79"/>
  <c r="V5" i="79"/>
  <c r="O3" i="79"/>
  <c r="V7" i="79"/>
  <c r="P6" i="79"/>
  <c r="M3" i="79"/>
  <c r="P3" i="79" s="1"/>
  <c r="T5" i="79"/>
  <c r="W5" i="79" s="1"/>
  <c r="T3" i="79"/>
  <c r="W3" i="79" s="1"/>
  <c r="C18" i="9"/>
  <c r="D18" i="9" s="1"/>
  <c r="X26" i="71"/>
  <c r="C18" i="78"/>
  <c r="R3" i="79"/>
  <c r="V11" i="79"/>
  <c r="V17" i="79"/>
  <c r="U34" i="79"/>
  <c r="R5" i="79"/>
  <c r="U30" i="79"/>
  <c r="S36" i="79"/>
  <c r="S39" i="79"/>
  <c r="S35" i="79"/>
  <c r="S37" i="79"/>
  <c r="T40" i="79"/>
  <c r="W40" i="79" s="1"/>
  <c r="T39" i="79"/>
  <c r="W39" i="79" s="1"/>
  <c r="T43" i="79"/>
  <c r="W43" i="79" s="1"/>
  <c r="T44" i="79"/>
  <c r="W44" i="79" s="1"/>
  <c r="P36" i="79"/>
  <c r="M28" i="79"/>
  <c r="P28" i="79" s="1"/>
  <c r="T31" i="79"/>
  <c r="W31" i="79" s="1"/>
  <c r="T32" i="79"/>
  <c r="W32" i="79" s="1"/>
  <c r="T35" i="79"/>
  <c r="W35" i="79" s="1"/>
  <c r="T34" i="79"/>
  <c r="W34" i="79" s="1"/>
  <c r="T28" i="79"/>
  <c r="W28" i="79" s="1"/>
  <c r="T30" i="79"/>
  <c r="W30" i="79" s="1"/>
  <c r="T33" i="79"/>
  <c r="W33" i="79" s="1"/>
  <c r="R7" i="79"/>
  <c r="R9" i="79"/>
  <c r="R6" i="79"/>
  <c r="R8" i="79"/>
  <c r="U6" i="79"/>
  <c r="U7" i="79"/>
  <c r="U5" i="79"/>
  <c r="N3" i="79"/>
  <c r="U3" i="79"/>
  <c r="U9" i="79"/>
  <c r="U8" i="79"/>
  <c r="U35" i="79"/>
  <c r="U33" i="79"/>
  <c r="S5" i="79"/>
  <c r="L3" i="79"/>
  <c r="S3" i="79"/>
  <c r="AD41" i="79"/>
  <c r="AD40" i="79"/>
  <c r="AD43" i="79"/>
  <c r="AD42" i="79"/>
  <c r="AD39" i="79"/>
  <c r="AD33" i="79"/>
  <c r="AD31" i="79"/>
  <c r="N28" i="79"/>
  <c r="U28" i="79"/>
  <c r="U31" i="79"/>
  <c r="R13" i="79"/>
  <c r="T42" i="79"/>
  <c r="W42" i="79" s="1"/>
  <c r="T41" i="79"/>
  <c r="W41" i="79" s="1"/>
  <c r="S33" i="79"/>
  <c r="S6" i="79"/>
  <c r="AD18" i="79"/>
  <c r="AA3" i="79"/>
  <c r="AD3" i="79" s="1"/>
  <c r="U20" i="79"/>
  <c r="U19" i="79"/>
  <c r="U18" i="79"/>
  <c r="U15" i="79"/>
  <c r="U13" i="79"/>
  <c r="U16" i="79"/>
  <c r="U14" i="79"/>
  <c r="U12" i="79"/>
  <c r="S32" i="79"/>
  <c r="S31" i="79"/>
  <c r="S45" i="79"/>
  <c r="S42" i="79"/>
  <c r="S44" i="79"/>
  <c r="AD45" i="79"/>
  <c r="U32" i="79"/>
  <c r="Z28" i="79"/>
  <c r="B55" i="78"/>
  <c r="D55" i="78" s="1"/>
  <c r="D56" i="78" s="1"/>
  <c r="AC32" i="21"/>
  <c r="AB27" i="21"/>
  <c r="W27" i="21"/>
  <c r="AA43" i="21"/>
  <c r="S43" i="21"/>
  <c r="J43" i="21"/>
  <c r="F125" i="21"/>
  <c r="G125" i="21" s="1"/>
  <c r="H43" i="21"/>
  <c r="W39" i="21"/>
  <c r="W34" i="21"/>
  <c r="W36" i="21"/>
  <c r="S36" i="21"/>
  <c r="S32" i="21"/>
  <c r="AC28" i="21"/>
  <c r="S28" i="21"/>
  <c r="S27" i="21"/>
  <c r="AC26" i="21"/>
  <c r="W23" i="21"/>
  <c r="AA23" i="21"/>
  <c r="AC21" i="21"/>
  <c r="AA19" i="21"/>
  <c r="U19" i="21"/>
  <c r="U17" i="21"/>
  <c r="AC17" i="21"/>
  <c r="AB15" i="21"/>
  <c r="AC15" i="21"/>
  <c r="F34" i="15"/>
  <c r="F62" i="15" s="1"/>
  <c r="F28" i="67"/>
  <c r="F32" i="67"/>
  <c r="F60" i="67" s="1"/>
  <c r="M18" i="67"/>
  <c r="F52" i="9"/>
  <c r="F53" i="9"/>
  <c r="F30" i="68"/>
  <c r="F48" i="68" s="1"/>
  <c r="F28" i="15"/>
  <c r="F30" i="69"/>
  <c r="F48" i="69" s="1"/>
  <c r="C37" i="21"/>
  <c r="P16" i="1"/>
  <c r="C11" i="12" s="1"/>
  <c r="C12" i="12" s="1"/>
  <c r="I119" i="43"/>
  <c r="J119" i="43" s="1"/>
  <c r="K119" i="43" s="1"/>
  <c r="L119" i="43" s="1"/>
  <c r="M119" i="43" s="1"/>
  <c r="B122" i="43"/>
  <c r="C122" i="43" s="1"/>
  <c r="B118" i="43"/>
  <c r="C118" i="43" s="1"/>
  <c r="D120" i="43"/>
  <c r="E120" i="43" s="1"/>
  <c r="F120" i="43" s="1"/>
  <c r="G120" i="43" s="1"/>
  <c r="H120" i="43" s="1"/>
  <c r="I121" i="43"/>
  <c r="J121" i="43" s="1"/>
  <c r="K121" i="43" s="1"/>
  <c r="L121" i="43" s="1"/>
  <c r="M121" i="43" s="1"/>
  <c r="D119" i="43"/>
  <c r="E119" i="43" s="1"/>
  <c r="F119" i="43" s="1"/>
  <c r="G119" i="43" s="1"/>
  <c r="H119" i="43" s="1"/>
  <c r="AR9" i="1"/>
  <c r="AQ9" i="1"/>
  <c r="D122" i="43"/>
  <c r="E122" i="43" s="1"/>
  <c r="F122" i="43" s="1"/>
  <c r="G122" i="43" s="1"/>
  <c r="H122" i="43" s="1"/>
  <c r="G121" i="43"/>
  <c r="H121" i="43" s="1"/>
  <c r="AQ8" i="1"/>
  <c r="T8" i="1"/>
  <c r="J33" i="21"/>
  <c r="F33" i="21"/>
  <c r="H33" i="21"/>
  <c r="I118" i="43"/>
  <c r="J118" i="43" s="1"/>
  <c r="K118" i="43" s="1"/>
  <c r="L118" i="43" s="1"/>
  <c r="M118" i="43" s="1"/>
  <c r="B119" i="43"/>
  <c r="C119" i="43" s="1"/>
  <c r="I120" i="43"/>
  <c r="J120" i="43" s="1"/>
  <c r="K120" i="43" s="1"/>
  <c r="L120" i="43" s="1"/>
  <c r="M120" i="43" s="1"/>
  <c r="D118" i="43"/>
  <c r="E118" i="43" s="1"/>
  <c r="F118" i="43" s="1"/>
  <c r="G118" i="43" s="1"/>
  <c r="H118" i="43" s="1"/>
  <c r="I122" i="43"/>
  <c r="J122" i="43" s="1"/>
  <c r="K122" i="43" s="1"/>
  <c r="L122" i="43" s="1"/>
  <c r="M122" i="43" s="1"/>
  <c r="AR10" i="1"/>
  <c r="B14" i="74"/>
  <c r="B1" i="74" s="1"/>
  <c r="K6" i="1"/>
  <c r="H76" i="43"/>
  <c r="H101" i="43"/>
  <c r="H98" i="43"/>
  <c r="H75" i="43"/>
  <c r="H94" i="43"/>
  <c r="H74" i="43"/>
  <c r="H80" i="43"/>
  <c r="H96" i="43"/>
  <c r="H97" i="43"/>
  <c r="H72" i="43"/>
  <c r="H95" i="43"/>
  <c r="N370" i="46"/>
  <c r="F40" i="43"/>
  <c r="F41" i="43"/>
  <c r="H57" i="43"/>
  <c r="H53" i="43"/>
  <c r="H56" i="43"/>
  <c r="F39" i="43"/>
  <c r="S2" i="43"/>
  <c r="F26" i="43"/>
  <c r="D26" i="43" s="1"/>
  <c r="C25" i="43" s="1"/>
  <c r="I21" i="43"/>
  <c r="H65" i="43"/>
  <c r="K21" i="43"/>
  <c r="S4" i="43"/>
  <c r="C21" i="43"/>
  <c r="H61" i="43"/>
  <c r="H51" i="43"/>
  <c r="H50" i="43"/>
  <c r="L21" i="43"/>
  <c r="S3" i="43"/>
  <c r="C27" i="43"/>
  <c r="F42" i="43"/>
  <c r="N94" i="46"/>
  <c r="D21" i="43"/>
  <c r="H79" i="43"/>
  <c r="S5" i="43"/>
  <c r="H21" i="43"/>
  <c r="G21" i="43" s="1"/>
  <c r="C20" i="43" s="1"/>
  <c r="D5" i="43" s="1"/>
  <c r="N21" i="43"/>
  <c r="M21" i="43"/>
  <c r="H83" i="43"/>
  <c r="H52" i="43"/>
  <c r="O21" i="43"/>
  <c r="C7" i="78"/>
  <c r="D7" i="78" s="1"/>
  <c r="C5" i="78"/>
  <c r="D5" i="78" s="1"/>
  <c r="C6" i="78"/>
  <c r="D6" i="78" s="1"/>
  <c r="B3" i="74"/>
  <c r="A18" i="51"/>
  <c r="B13" i="72" s="1"/>
  <c r="B2" i="1"/>
  <c r="C15" i="4"/>
  <c r="F6" i="1" s="1"/>
  <c r="C53" i="10"/>
  <c r="A15" i="51"/>
  <c r="B12" i="72" s="1"/>
  <c r="F11" i="49"/>
  <c r="H11" i="49" s="1"/>
  <c r="F14" i="49"/>
  <c r="H14" i="49" s="1"/>
  <c r="B8" i="49"/>
  <c r="D8" i="49" s="1"/>
  <c r="F9" i="49"/>
  <c r="H9" i="49" s="1"/>
  <c r="B4" i="49"/>
  <c r="D4" i="49" s="1"/>
  <c r="B13" i="49"/>
  <c r="D13" i="49" s="1"/>
  <c r="F5" i="49"/>
  <c r="H5" i="49" s="1"/>
  <c r="F8" i="49"/>
  <c r="H8" i="49" s="1"/>
  <c r="F15" i="49"/>
  <c r="H15" i="49" s="1"/>
  <c r="B6" i="49"/>
  <c r="D6" i="49" s="1"/>
  <c r="F6" i="49"/>
  <c r="H6" i="49" s="1"/>
  <c r="C15" i="12"/>
  <c r="B14" i="49"/>
  <c r="D14" i="49" s="1"/>
  <c r="B9" i="49"/>
  <c r="D9" i="49" s="1"/>
  <c r="F12" i="49"/>
  <c r="H12" i="49" s="1"/>
  <c r="F4" i="49"/>
  <c r="H4" i="49" s="1"/>
  <c r="B11" i="49"/>
  <c r="D11" i="49" s="1"/>
  <c r="F13" i="49"/>
  <c r="H13" i="49" s="1"/>
  <c r="F7" i="49"/>
  <c r="H7" i="49" s="1"/>
  <c r="B10" i="49"/>
  <c r="D10" i="49" s="1"/>
  <c r="B5" i="49"/>
  <c r="D5" i="49" s="1"/>
  <c r="F10" i="49"/>
  <c r="H10" i="49" s="1"/>
  <c r="B12" i="49"/>
  <c r="D12" i="49" s="1"/>
  <c r="F51" i="67"/>
  <c r="B13" i="70"/>
  <c r="F50" i="15"/>
  <c r="M7" i="15"/>
  <c r="M17" i="15" s="1"/>
  <c r="F64" i="67"/>
  <c r="C27" i="67"/>
  <c r="B20" i="31"/>
  <c r="B21" i="31" s="1"/>
  <c r="F64" i="15"/>
  <c r="B11" i="70"/>
  <c r="C6" i="67"/>
  <c r="F31" i="67"/>
  <c r="F71" i="15"/>
  <c r="Q71" i="67"/>
  <c r="F63" i="15"/>
  <c r="M59" i="15"/>
  <c r="L58" i="15"/>
  <c r="L59" i="15"/>
  <c r="N59" i="15"/>
  <c r="B9" i="70"/>
  <c r="F31" i="15"/>
  <c r="C6" i="15"/>
  <c r="F68" i="67"/>
  <c r="F68" i="15"/>
  <c r="C27" i="15"/>
  <c r="C18" i="15"/>
  <c r="C15" i="15"/>
  <c r="Q71" i="15"/>
  <c r="J53" i="15"/>
  <c r="L56" i="15" s="1"/>
  <c r="J57" i="15"/>
  <c r="J55" i="15" s="1"/>
  <c r="J58" i="15" s="1"/>
  <c r="Q50" i="15" s="1"/>
  <c r="I54" i="15"/>
  <c r="F51" i="15"/>
  <c r="F65" i="15"/>
  <c r="J20" i="15"/>
  <c r="F65" i="67"/>
  <c r="B12" i="70"/>
  <c r="B10" i="70"/>
  <c r="F69" i="15"/>
  <c r="F66" i="15"/>
  <c r="B7" i="70"/>
  <c r="B8" i="70"/>
  <c r="F66" i="67"/>
  <c r="M7" i="67"/>
  <c r="J6" i="67" s="1"/>
  <c r="F50" i="67"/>
  <c r="G1" i="73"/>
  <c r="C17" i="15"/>
  <c r="C16" i="15"/>
  <c r="F6" i="73"/>
  <c r="F7" i="73"/>
  <c r="F43" i="67"/>
  <c r="L48" i="67"/>
  <c r="M29" i="67"/>
  <c r="F3" i="73"/>
  <c r="F4" i="73"/>
  <c r="I1" i="73" l="1"/>
  <c r="B39" i="1" s="1"/>
  <c r="E3" i="6"/>
  <c r="E28" i="6"/>
  <c r="D58" i="78"/>
  <c r="D62" i="78" s="1"/>
  <c r="C62" i="78" s="1"/>
  <c r="C40" i="77"/>
  <c r="D39" i="71"/>
  <c r="C40" i="71"/>
  <c r="AC39" i="40"/>
  <c r="W39" i="40"/>
  <c r="AB25" i="35"/>
  <c r="U25" i="35"/>
  <c r="AB40" i="21"/>
  <c r="U40" i="21"/>
  <c r="AA33" i="40"/>
  <c r="S33" i="40"/>
  <c r="S44" i="39"/>
  <c r="AA44" i="39"/>
  <c r="AB45" i="33"/>
  <c r="U45" i="33"/>
  <c r="U13" i="37"/>
  <c r="AB13" i="37"/>
  <c r="U38" i="37"/>
  <c r="AB38" i="37"/>
  <c r="AC12" i="34"/>
  <c r="W12" i="34"/>
  <c r="E14" i="6"/>
  <c r="E13" i="6"/>
  <c r="E10" i="6"/>
  <c r="E8" i="6"/>
  <c r="E5" i="6"/>
  <c r="E15" i="6"/>
  <c r="E12" i="6"/>
  <c r="AA14" i="21"/>
  <c r="S14" i="21"/>
  <c r="U31" i="33"/>
  <c r="AB31" i="33"/>
  <c r="AC13" i="33"/>
  <c r="W13" i="33"/>
  <c r="S17" i="21"/>
  <c r="AA17" i="21"/>
  <c r="BA5" i="3"/>
  <c r="E27" i="6" s="1"/>
  <c r="C60" i="71"/>
  <c r="D59" i="71"/>
  <c r="D51" i="71"/>
  <c r="C52" i="71"/>
  <c r="E11" i="6"/>
  <c r="S35" i="39"/>
  <c r="AA35" i="39"/>
  <c r="W25" i="35"/>
  <c r="AC25" i="35"/>
  <c r="W33" i="40"/>
  <c r="AC33" i="40"/>
  <c r="AA27" i="37"/>
  <c r="S27" i="37"/>
  <c r="AA33" i="36"/>
  <c r="S33" i="36"/>
  <c r="S24" i="36"/>
  <c r="AA24" i="36"/>
  <c r="S11" i="21"/>
  <c r="AA11" i="21"/>
  <c r="W31" i="33"/>
  <c r="AC31" i="33"/>
  <c r="BL5" i="3"/>
  <c r="C78" i="71"/>
  <c r="D78" i="71" s="1"/>
  <c r="D79" i="71"/>
  <c r="N65" i="71"/>
  <c r="N66" i="71"/>
  <c r="D66" i="71"/>
  <c r="O65" i="71"/>
  <c r="O66" i="71"/>
  <c r="AC9" i="36"/>
  <c r="W9" i="36"/>
  <c r="AB35" i="39"/>
  <c r="U35" i="39"/>
  <c r="AC13" i="21"/>
  <c r="W13" i="21"/>
  <c r="W40" i="21"/>
  <c r="AC40" i="21"/>
  <c r="W31" i="39"/>
  <c r="AC31" i="39"/>
  <c r="S45" i="39"/>
  <c r="AA45" i="39"/>
  <c r="U27" i="37"/>
  <c r="AB27" i="37"/>
  <c r="AB24" i="36"/>
  <c r="U24" i="36"/>
  <c r="AB33" i="36"/>
  <c r="U33" i="36"/>
  <c r="W14" i="21"/>
  <c r="AC14" i="21"/>
  <c r="AA13" i="33"/>
  <c r="S13" i="33"/>
  <c r="U27" i="34"/>
  <c r="AB27" i="34"/>
  <c r="G24" i="78"/>
  <c r="F25" i="78"/>
  <c r="G25" i="78" s="1"/>
  <c r="D28" i="71"/>
  <c r="U28" i="71" s="1"/>
  <c r="T28" i="71"/>
  <c r="C27" i="71"/>
  <c r="V28" i="71"/>
  <c r="E27" i="71"/>
  <c r="E26" i="71" s="1"/>
  <c r="U39" i="40"/>
  <c r="AB39" i="40"/>
  <c r="AB9" i="36"/>
  <c r="U9" i="36"/>
  <c r="S13" i="40"/>
  <c r="AA13" i="40"/>
  <c r="U13" i="21"/>
  <c r="AB13" i="21"/>
  <c r="U45" i="39"/>
  <c r="AB45" i="39"/>
  <c r="AA25" i="37"/>
  <c r="S25" i="37"/>
  <c r="S45" i="33"/>
  <c r="AA45" i="33"/>
  <c r="S38" i="37"/>
  <c r="AA38" i="37"/>
  <c r="AB12" i="34"/>
  <c r="U12" i="34"/>
  <c r="G29" i="6"/>
  <c r="E29" i="6" s="1"/>
  <c r="AB14" i="21"/>
  <c r="U14" i="21"/>
  <c r="S31" i="33"/>
  <c r="AA31" i="33"/>
  <c r="U13" i="33"/>
  <c r="AB13" i="33"/>
  <c r="G5" i="3"/>
  <c r="B3" i="3" s="1"/>
  <c r="W27" i="34"/>
  <c r="AC27" i="34"/>
  <c r="B38" i="72"/>
  <c r="D20" i="53"/>
  <c r="B40" i="72" s="1"/>
  <c r="T20" i="71"/>
  <c r="C19" i="71"/>
  <c r="D20" i="71"/>
  <c r="U20" i="71" s="1"/>
  <c r="V12" i="71"/>
  <c r="E11" i="71"/>
  <c r="E10" i="71" s="1"/>
  <c r="E9" i="71" s="1"/>
  <c r="E8" i="71" s="1"/>
  <c r="E7" i="71" s="1"/>
  <c r="E6" i="71" s="1"/>
  <c r="E5" i="71" s="1"/>
  <c r="I37" i="21"/>
  <c r="G37" i="21"/>
  <c r="H37" i="21" s="1"/>
  <c r="E37" i="21"/>
  <c r="F37" i="21" s="1"/>
  <c r="W43" i="21"/>
  <c r="AC43" i="21"/>
  <c r="AB43" i="21"/>
  <c r="U43" i="21"/>
  <c r="J37" i="21"/>
  <c r="F71" i="67"/>
  <c r="AP6" i="1"/>
  <c r="C36" i="69" s="1"/>
  <c r="M6" i="1"/>
  <c r="H16" i="1"/>
  <c r="Q16" i="1"/>
  <c r="D116" i="43"/>
  <c r="U33" i="21"/>
  <c r="AB33" i="21"/>
  <c r="AA33" i="21"/>
  <c r="S33" i="21"/>
  <c r="R8" i="81"/>
  <c r="D14" i="12"/>
  <c r="E6" i="6"/>
  <c r="D3" i="37"/>
  <c r="B3" i="37" s="1"/>
  <c r="D19" i="11"/>
  <c r="C19" i="11" s="1"/>
  <c r="D3" i="34"/>
  <c r="B3" i="34" s="1"/>
  <c r="D37" i="11"/>
  <c r="C37" i="11" s="1"/>
  <c r="C17" i="4"/>
  <c r="B4" i="52" s="1"/>
  <c r="B43" i="72" s="1"/>
  <c r="D3" i="33"/>
  <c r="B3" i="33" s="1"/>
  <c r="AC33" i="21"/>
  <c r="W33" i="21"/>
  <c r="C5" i="43"/>
  <c r="L58" i="67"/>
  <c r="Q73" i="67" s="1"/>
  <c r="G6" i="1"/>
  <c r="G16" i="1" s="1"/>
  <c r="C7" i="36"/>
  <c r="C46" i="36" s="1"/>
  <c r="C42" i="1"/>
  <c r="C7" i="39"/>
  <c r="C67" i="39" s="1"/>
  <c r="C7" i="33"/>
  <c r="C58" i="33" s="1"/>
  <c r="M47" i="9"/>
  <c r="C7" i="21"/>
  <c r="C58" i="21" s="1"/>
  <c r="G23" i="43"/>
  <c r="C7" i="35"/>
  <c r="C48" i="35" s="1"/>
  <c r="J51" i="67"/>
  <c r="L56" i="67" s="1"/>
  <c r="C7" i="37"/>
  <c r="C52" i="37" s="1"/>
  <c r="C7" i="40"/>
  <c r="C63" i="40" s="1"/>
  <c r="C7" i="34"/>
  <c r="C59" i="34" s="1"/>
  <c r="B40" i="1"/>
  <c r="F24" i="15" s="1"/>
  <c r="C24" i="15" s="1"/>
  <c r="F59" i="67"/>
  <c r="J6" i="15"/>
  <c r="C49" i="15"/>
  <c r="C19" i="15"/>
  <c r="C31" i="15"/>
  <c r="Q61" i="15"/>
  <c r="Q74" i="15"/>
  <c r="F59" i="15"/>
  <c r="Q60" i="15"/>
  <c r="Q73" i="15"/>
  <c r="C49" i="67"/>
  <c r="M17" i="67"/>
  <c r="M11" i="15"/>
  <c r="J10" i="15" s="1"/>
  <c r="F11" i="67"/>
  <c r="C53" i="67" s="1"/>
  <c r="M11" i="67"/>
  <c r="J10" i="67" s="1"/>
  <c r="J5" i="67" s="1"/>
  <c r="F11" i="15"/>
  <c r="F1" i="15"/>
  <c r="Q52" i="15"/>
  <c r="C16" i="67"/>
  <c r="L19" i="6" l="1"/>
  <c r="L27" i="6" s="1"/>
  <c r="K15" i="1"/>
  <c r="E56" i="40"/>
  <c r="E60" i="39"/>
  <c r="E61" i="39"/>
  <c r="E57" i="40"/>
  <c r="B2" i="77"/>
  <c r="B3" i="77" s="1"/>
  <c r="C41" i="77"/>
  <c r="G30" i="6"/>
  <c r="G31" i="6" s="1"/>
  <c r="E286" i="3"/>
  <c r="E152" i="3"/>
  <c r="E184" i="3"/>
  <c r="E383" i="3"/>
  <c r="E470" i="3"/>
  <c r="E393" i="3"/>
  <c r="E372" i="3"/>
  <c r="E176" i="3"/>
  <c r="E520" i="3"/>
  <c r="E66" i="3"/>
  <c r="E438" i="3"/>
  <c r="E548" i="3"/>
  <c r="E29" i="3"/>
  <c r="E506" i="3"/>
  <c r="E303" i="3"/>
  <c r="E330" i="3"/>
  <c r="E274" i="3"/>
  <c r="P6" i="3"/>
  <c r="E316" i="3"/>
  <c r="E569" i="3"/>
  <c r="E230" i="3"/>
  <c r="E550" i="3"/>
  <c r="E293" i="3"/>
  <c r="E511" i="3"/>
  <c r="E527" i="3"/>
  <c r="E150"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483" i="3"/>
  <c r="E487" i="3"/>
  <c r="E499" i="3"/>
  <c r="E467" i="3"/>
  <c r="E174" i="3"/>
  <c r="E412" i="3"/>
  <c r="J6" i="3"/>
  <c r="E464" i="3"/>
  <c r="E82" i="3"/>
  <c r="E379" i="3"/>
  <c r="E328" i="3"/>
  <c r="E304" i="3"/>
  <c r="E177" i="3"/>
  <c r="I6" i="3"/>
  <c r="E404" i="3"/>
  <c r="E516" i="3"/>
  <c r="E130" i="3"/>
  <c r="E245" i="3"/>
  <c r="E314" i="3"/>
  <c r="E562" i="3"/>
  <c r="E351" i="3"/>
  <c r="E585" i="3"/>
  <c r="E447" i="3"/>
  <c r="E44" i="3"/>
  <c r="E388" i="3"/>
  <c r="E561" i="3"/>
  <c r="E185" i="3"/>
  <c r="E91" i="3"/>
  <c r="E347" i="3"/>
  <c r="E228" i="3"/>
  <c r="E472" i="3"/>
  <c r="E454" i="3"/>
  <c r="E315" i="3"/>
  <c r="E89" i="3"/>
  <c r="E400" i="3"/>
  <c r="E28" i="3"/>
  <c r="E377" i="3"/>
  <c r="E322" i="3"/>
  <c r="E247" i="3"/>
  <c r="M6" i="3"/>
  <c r="E69" i="3"/>
  <c r="E535" i="3"/>
  <c r="E423" i="3"/>
  <c r="E200" i="3"/>
  <c r="E275" i="3"/>
  <c r="E219" i="3"/>
  <c r="E142" i="3"/>
  <c r="E238" i="3"/>
  <c r="E237" i="3"/>
  <c r="E426" i="3"/>
  <c r="E367" i="3"/>
  <c r="W6" i="3"/>
  <c r="E462" i="3"/>
  <c r="E222" i="3"/>
  <c r="E36" i="3"/>
  <c r="E419" i="3"/>
  <c r="E190" i="3"/>
  <c r="E308" i="3"/>
  <c r="E68" i="3"/>
  <c r="E258" i="3"/>
  <c r="E449" i="3"/>
  <c r="E241" i="3"/>
  <c r="E267" i="3"/>
  <c r="E63" i="3"/>
  <c r="E18" i="3"/>
  <c r="E22" i="3"/>
  <c r="E497" i="3"/>
  <c r="E220" i="3"/>
  <c r="E105" i="3"/>
  <c r="E401" i="3"/>
  <c r="E473" i="3"/>
  <c r="E112" i="3"/>
  <c r="E141" i="3"/>
  <c r="E244" i="3"/>
  <c r="E149" i="3"/>
  <c r="E163" i="3"/>
  <c r="E127" i="3"/>
  <c r="E537" i="3"/>
  <c r="E510" i="3"/>
  <c r="I3" i="6"/>
  <c r="E363" i="3"/>
  <c r="E300" i="3"/>
  <c r="E264" i="3"/>
  <c r="E129" i="3"/>
  <c r="E140" i="3"/>
  <c r="E452" i="3"/>
  <c r="E342" i="3"/>
  <c r="E493" i="3"/>
  <c r="E40" i="3"/>
  <c r="E455" i="3"/>
  <c r="E147" i="3"/>
  <c r="E398" i="3"/>
  <c r="E421" i="3"/>
  <c r="E582" i="3"/>
  <c r="Y6" i="3"/>
  <c r="E122" i="3"/>
  <c r="E53" i="3"/>
  <c r="E266" i="3"/>
  <c r="E194" i="3"/>
  <c r="E41" i="3"/>
  <c r="E84" i="3"/>
  <c r="E536" i="3"/>
  <c r="E389" i="3"/>
  <c r="E309" i="3"/>
  <c r="E173" i="3"/>
  <c r="E49" i="3"/>
  <c r="E108" i="3"/>
  <c r="E460" i="3"/>
  <c r="E297" i="3"/>
  <c r="E136" i="3"/>
  <c r="E199" i="3"/>
  <c r="E76" i="3"/>
  <c r="E21" i="3"/>
  <c r="E534" i="3"/>
  <c r="E370" i="3"/>
  <c r="E202" i="3"/>
  <c r="E50" i="3"/>
  <c r="E57" i="3"/>
  <c r="E488" i="3"/>
  <c r="E502" i="3"/>
  <c r="E492" i="3"/>
  <c r="E205" i="3"/>
  <c r="E324" i="3"/>
  <c r="E346" i="3"/>
  <c r="E436" i="3"/>
  <c r="E529" i="3"/>
  <c r="E546" i="3"/>
  <c r="E574" i="3"/>
  <c r="E221" i="3"/>
  <c r="E344" i="3"/>
  <c r="E236" i="3"/>
  <c r="E295" i="3"/>
  <c r="E358" i="3"/>
  <c r="E395" i="3"/>
  <c r="E578" i="3"/>
  <c r="E99" i="3"/>
  <c r="E450" i="3"/>
  <c r="E567" i="3"/>
  <c r="E414" i="3"/>
  <c r="E162" i="3"/>
  <c r="E441" i="3"/>
  <c r="E410" i="3"/>
  <c r="E538" i="3"/>
  <c r="E528" i="3"/>
  <c r="E350" i="3"/>
  <c r="E77" i="3"/>
  <c r="E277" i="3"/>
  <c r="E465" i="3"/>
  <c r="E106" i="3"/>
  <c r="E362" i="3"/>
  <c r="E327" i="3"/>
  <c r="E345" i="3"/>
  <c r="E70" i="3"/>
  <c r="E109" i="3"/>
  <c r="AJ6" i="3"/>
  <c r="E201" i="3"/>
  <c r="E387" i="3"/>
  <c r="E278" i="3"/>
  <c r="E161" i="3"/>
  <c r="E385" i="3"/>
  <c r="E148" i="3"/>
  <c r="E242" i="3"/>
  <c r="E118" i="3"/>
  <c r="E139" i="3"/>
  <c r="E37" i="3"/>
  <c r="E513" i="3"/>
  <c r="E525" i="3"/>
  <c r="E329" i="3"/>
  <c r="E170" i="3"/>
  <c r="E90" i="3"/>
  <c r="E39" i="3"/>
  <c r="E257" i="3"/>
  <c r="E92" i="3"/>
  <c r="E523" i="3"/>
  <c r="AA6" i="3"/>
  <c r="E496" i="3"/>
  <c r="AG6" i="3"/>
  <c r="E125" i="3"/>
  <c r="E559" i="3"/>
  <c r="E260" i="3"/>
  <c r="E583" i="3"/>
  <c r="E519" i="3"/>
  <c r="E433" i="3"/>
  <c r="E271" i="3"/>
  <c r="E477" i="3"/>
  <c r="E186" i="3"/>
  <c r="E343" i="3"/>
  <c r="E143" i="3"/>
  <c r="E439" i="3"/>
  <c r="E361" i="3"/>
  <c r="E586" i="3"/>
  <c r="E181" i="3"/>
  <c r="K6" i="3"/>
  <c r="E587" i="3"/>
  <c r="E146" i="3"/>
  <c r="E227" i="3"/>
  <c r="Z6" i="3"/>
  <c r="E211" i="3"/>
  <c r="E217" i="3"/>
  <c r="E509" i="3"/>
  <c r="E514" i="3"/>
  <c r="E335" i="3"/>
  <c r="E563" i="3"/>
  <c r="E191" i="3"/>
  <c r="E246" i="3"/>
  <c r="E119" i="3"/>
  <c r="E94" i="3"/>
  <c r="E369" i="3"/>
  <c r="E378" i="3"/>
  <c r="E437" i="3"/>
  <c r="E159" i="3"/>
  <c r="S6" i="3"/>
  <c r="E291" i="3"/>
  <c r="E397" i="3"/>
  <c r="E307" i="3"/>
  <c r="E323" i="3"/>
  <c r="E165" i="3"/>
  <c r="E540" i="3"/>
  <c r="E116" i="3"/>
  <c r="E556" i="3"/>
  <c r="E482" i="3"/>
  <c r="E160" i="3"/>
  <c r="E430" i="3"/>
  <c r="E575" i="3"/>
  <c r="E417" i="3"/>
  <c r="E409" i="3"/>
  <c r="E67" i="3"/>
  <c r="E198" i="3"/>
  <c r="E34" i="3"/>
  <c r="E405" i="3"/>
  <c r="E115" i="3"/>
  <c r="E158" i="3"/>
  <c r="E422" i="3"/>
  <c r="E276" i="3"/>
  <c r="E234" i="3"/>
  <c r="E62" i="3"/>
  <c r="E58" i="3"/>
  <c r="E446" i="3"/>
  <c r="E87" i="3"/>
  <c r="E224" i="3"/>
  <c r="E14" i="3"/>
  <c r="R6" i="3"/>
  <c r="E56" i="3"/>
  <c r="E425" i="3"/>
  <c r="E144" i="3"/>
  <c r="E332" i="3"/>
  <c r="E251" i="3"/>
  <c r="E469" i="3"/>
  <c r="E243" i="3"/>
  <c r="E83" i="3"/>
  <c r="E490" i="3"/>
  <c r="E333" i="3"/>
  <c r="E339" i="3"/>
  <c r="E218" i="3"/>
  <c r="E65" i="3"/>
  <c r="E209" i="3"/>
  <c r="E373" i="3"/>
  <c r="E532" i="3"/>
  <c r="AE6" i="3"/>
  <c r="E353" i="3"/>
  <c r="E338" i="3"/>
  <c r="U6" i="3"/>
  <c r="E157" i="3"/>
  <c r="E348" i="3"/>
  <c r="E507" i="3"/>
  <c r="E86" i="3"/>
  <c r="E491" i="3"/>
  <c r="E554" i="3"/>
  <c r="E310" i="3"/>
  <c r="E235" i="3"/>
  <c r="E420" i="3"/>
  <c r="E543" i="3"/>
  <c r="E38" i="3"/>
  <c r="E340" i="3"/>
  <c r="E500" i="3"/>
  <c r="AD6" i="3"/>
  <c r="E168" i="3"/>
  <c r="E435" i="3"/>
  <c r="E23" i="3"/>
  <c r="E522" i="3"/>
  <c r="E104" i="3"/>
  <c r="E486" i="3"/>
  <c r="E137" i="3"/>
  <c r="E155" i="3"/>
  <c r="E47" i="3"/>
  <c r="E306" i="3"/>
  <c r="E484" i="3"/>
  <c r="E281" i="3"/>
  <c r="E13" i="3"/>
  <c r="E376" i="3"/>
  <c r="E325" i="3"/>
  <c r="E312" i="3"/>
  <c r="E413" i="3"/>
  <c r="E357" i="3"/>
  <c r="AM6" i="3"/>
  <c r="E169" i="3"/>
  <c r="E156" i="3"/>
  <c r="E256" i="3"/>
  <c r="E444" i="3"/>
  <c r="E553" i="3"/>
  <c r="E320" i="3"/>
  <c r="E61" i="3"/>
  <c r="E253" i="3"/>
  <c r="E573" i="3"/>
  <c r="E279" i="3"/>
  <c r="E107" i="3"/>
  <c r="AS6" i="3"/>
  <c r="E384" i="3"/>
  <c r="E305" i="3"/>
  <c r="E270" i="3"/>
  <c r="E216" i="3"/>
  <c r="E180" i="3"/>
  <c r="E495" i="3"/>
  <c r="AK6" i="3"/>
  <c r="E560" i="3"/>
  <c r="E577" i="3"/>
  <c r="E214" i="3"/>
  <c r="E368" i="3"/>
  <c r="AO6" i="3"/>
  <c r="E489" i="3"/>
  <c r="E273" i="3"/>
  <c r="E526" i="3"/>
  <c r="E431" i="3"/>
  <c r="E570" i="3"/>
  <c r="E215" i="3"/>
  <c r="E445" i="3"/>
  <c r="E263" i="3"/>
  <c r="X6" i="3"/>
  <c r="E296" i="3"/>
  <c r="E240" i="3"/>
  <c r="E131" i="3"/>
  <c r="E248" i="3"/>
  <c r="E120" i="3"/>
  <c r="E17" i="3"/>
  <c r="E359" i="3"/>
  <c r="E71" i="3"/>
  <c r="E208" i="3"/>
  <c r="E195" i="3"/>
  <c r="E110" i="3"/>
  <c r="E20" i="3"/>
  <c r="E226" i="3"/>
  <c r="E80" i="3"/>
  <c r="T6" i="3"/>
  <c r="E494" i="3"/>
  <c r="E59" i="3"/>
  <c r="E442" i="3"/>
  <c r="E95" i="3"/>
  <c r="E64" i="3"/>
  <c r="E233" i="3"/>
  <c r="AL6" i="3"/>
  <c r="E102" i="3"/>
  <c r="E408" i="3"/>
  <c r="E428" i="3"/>
  <c r="E16" i="3"/>
  <c r="AH6" i="3"/>
  <c r="L6" i="3"/>
  <c r="E392" i="3"/>
  <c r="E365" i="3"/>
  <c r="E24" i="3"/>
  <c r="E48" i="3"/>
  <c r="E374" i="3"/>
  <c r="E187" i="3"/>
  <c r="E474" i="3"/>
  <c r="E207" i="3"/>
  <c r="E541" i="3"/>
  <c r="E192" i="3"/>
  <c r="E103" i="3"/>
  <c r="E381" i="3"/>
  <c r="E75" i="3"/>
  <c r="E287" i="3"/>
  <c r="E360" i="3"/>
  <c r="E78" i="3"/>
  <c r="E223" i="3"/>
  <c r="E498" i="3"/>
  <c r="E43" i="3"/>
  <c r="E52" i="3"/>
  <c r="E101" i="3"/>
  <c r="E51" i="3"/>
  <c r="E19" i="3"/>
  <c r="E259" i="3"/>
  <c r="E98" i="3"/>
  <c r="E288" i="3"/>
  <c r="E132" i="3"/>
  <c r="E457" i="3"/>
  <c r="E290" i="3"/>
  <c r="N6" i="3"/>
  <c r="E576" i="3"/>
  <c r="E262" i="3"/>
  <c r="E97" i="3"/>
  <c r="E145" i="3"/>
  <c r="E542" i="3"/>
  <c r="E123" i="3"/>
  <c r="E326" i="3"/>
  <c r="E96" i="3"/>
  <c r="E517" i="3"/>
  <c r="E30" i="3"/>
  <c r="E394" i="3"/>
  <c r="E402" i="3"/>
  <c r="E501" i="3"/>
  <c r="E471" i="3"/>
  <c r="E138" i="3"/>
  <c r="E15" i="3"/>
  <c r="E26" i="3"/>
  <c r="E355" i="3"/>
  <c r="E479" i="3"/>
  <c r="E283" i="3"/>
  <c r="E451" i="3"/>
  <c r="E440" i="3"/>
  <c r="E289" i="3"/>
  <c r="E284" i="3"/>
  <c r="E313" i="3"/>
  <c r="E403" i="3"/>
  <c r="E390" i="3"/>
  <c r="E280" i="3"/>
  <c r="E203" i="3"/>
  <c r="E581" i="3"/>
  <c r="E239" i="3"/>
  <c r="E415" i="3"/>
  <c r="E85" i="3"/>
  <c r="E111" i="3"/>
  <c r="E505" i="3"/>
  <c r="E508" i="3"/>
  <c r="E261" i="3"/>
  <c r="E568" i="3"/>
  <c r="E193" i="3"/>
  <c r="E114" i="3"/>
  <c r="E480" i="3"/>
  <c r="E32" i="3"/>
  <c r="AN6" i="3"/>
  <c r="E153" i="3"/>
  <c r="E54" i="3"/>
  <c r="E354" i="3"/>
  <c r="E79" i="3"/>
  <c r="E356" i="3"/>
  <c r="E81" i="3"/>
  <c r="V6" i="3"/>
  <c r="E88" i="3"/>
  <c r="E55" i="3"/>
  <c r="E213" i="3"/>
  <c r="E126" i="3"/>
  <c r="E461" i="3"/>
  <c r="E386" i="3"/>
  <c r="E463" i="3"/>
  <c r="E456" i="3"/>
  <c r="E249" i="3"/>
  <c r="E349" i="3"/>
  <c r="E42" i="3"/>
  <c r="E225" i="3"/>
  <c r="E25" i="3"/>
  <c r="E524" i="3"/>
  <c r="E341" i="3"/>
  <c r="E475" i="3"/>
  <c r="E272" i="3"/>
  <c r="E321" i="3"/>
  <c r="E128" i="3"/>
  <c r="E580" i="3"/>
  <c r="E121" i="3"/>
  <c r="E229" i="3"/>
  <c r="E117" i="3"/>
  <c r="E45" i="3"/>
  <c r="E318" i="3"/>
  <c r="E27" i="3"/>
  <c r="E337" i="3"/>
  <c r="E503" i="3"/>
  <c r="E212" i="3"/>
  <c r="E100" i="3"/>
  <c r="E31" i="3"/>
  <c r="E453" i="3"/>
  <c r="E407" i="3"/>
  <c r="E166" i="3"/>
  <c r="E73" i="3"/>
  <c r="E302" i="3"/>
  <c r="E317" i="3"/>
  <c r="E352" i="3"/>
  <c r="E250" i="3"/>
  <c r="E178" i="3"/>
  <c r="E512" i="3"/>
  <c r="E371" i="3"/>
  <c r="E396" i="3"/>
  <c r="E443" i="3"/>
  <c r="E481" i="3"/>
  <c r="E418" i="3"/>
  <c r="E432" i="3"/>
  <c r="E459" i="3"/>
  <c r="E265" i="3"/>
  <c r="E564" i="3"/>
  <c r="AF6" i="3"/>
  <c r="E292" i="3"/>
  <c r="E539" i="3"/>
  <c r="E46" i="3"/>
  <c r="E206" i="3"/>
  <c r="E35" i="3"/>
  <c r="E60" i="3"/>
  <c r="E521" i="3"/>
  <c r="E179" i="3"/>
  <c r="E93" i="3"/>
  <c r="E319" i="3"/>
  <c r="E565" i="3"/>
  <c r="Q6" i="3"/>
  <c r="E252" i="3"/>
  <c r="E334" i="3"/>
  <c r="E551" i="3"/>
  <c r="E382" i="3"/>
  <c r="E458" i="3"/>
  <c r="E269" i="3"/>
  <c r="E331" i="3"/>
  <c r="AR6" i="3"/>
  <c r="E301" i="3"/>
  <c r="E255" i="3"/>
  <c r="E72" i="3"/>
  <c r="E518" i="3"/>
  <c r="E151" i="3"/>
  <c r="E558" i="3"/>
  <c r="E424" i="3"/>
  <c r="E298" i="3"/>
  <c r="E547" i="3"/>
  <c r="E154" i="3"/>
  <c r="E552" i="3"/>
  <c r="E427" i="3"/>
  <c r="E113" i="3"/>
  <c r="E544" i="3"/>
  <c r="E282" i="3"/>
  <c r="E164" i="3"/>
  <c r="E434" i="3"/>
  <c r="E285" i="3"/>
  <c r="E196" i="3"/>
  <c r="E375" i="3"/>
  <c r="AQ6" i="3"/>
  <c r="E232" i="3"/>
  <c r="E391" i="3"/>
  <c r="AP6" i="3"/>
  <c r="E466" i="3"/>
  <c r="E33" i="3"/>
  <c r="E197" i="3"/>
  <c r="E188" i="3"/>
  <c r="E299" i="3"/>
  <c r="E416" i="3"/>
  <c r="E504" i="3"/>
  <c r="E411" i="3"/>
  <c r="O6" i="3"/>
  <c r="H6" i="3" s="1"/>
  <c r="E254" i="3"/>
  <c r="E429" i="3"/>
  <c r="E448" i="3"/>
  <c r="E366" i="3"/>
  <c r="E294" i="3"/>
  <c r="E336" i="3"/>
  <c r="E571" i="3"/>
  <c r="E515" i="3"/>
  <c r="E175" i="3"/>
  <c r="E380" i="3"/>
  <c r="E124" i="3"/>
  <c r="C26" i="71"/>
  <c r="D26" i="71" s="1"/>
  <c r="D27" i="71"/>
  <c r="E557" i="3"/>
  <c r="E364" i="3"/>
  <c r="E64" i="39"/>
  <c r="E60" i="40"/>
  <c r="E58" i="40"/>
  <c r="E62" i="39"/>
  <c r="J17" i="67"/>
  <c r="E566" i="3"/>
  <c r="E167" i="3"/>
  <c r="D60" i="71"/>
  <c r="T60" i="71"/>
  <c r="D9" i="69"/>
  <c r="C9" i="69" s="1"/>
  <c r="D9" i="11"/>
  <c r="C9" i="11" s="1"/>
  <c r="D19" i="12"/>
  <c r="C19" i="12" s="1"/>
  <c r="D9" i="68"/>
  <c r="C9" i="68" s="1"/>
  <c r="E63" i="39"/>
  <c r="E59" i="40"/>
  <c r="T40" i="71"/>
  <c r="D40" i="71"/>
  <c r="AY6" i="3"/>
  <c r="D19" i="71"/>
  <c r="C18" i="71"/>
  <c r="T52" i="71"/>
  <c r="D52" i="71"/>
  <c r="F27" i="6"/>
  <c r="F31" i="6" s="1"/>
  <c r="E51" i="40"/>
  <c r="E56" i="39"/>
  <c r="E65" i="39" s="1"/>
  <c r="E16" i="6"/>
  <c r="E584" i="3"/>
  <c r="K24" i="6"/>
  <c r="M24" i="6" s="1"/>
  <c r="I24" i="6" s="1"/>
  <c r="S24" i="6" s="1"/>
  <c r="E30" i="6"/>
  <c r="E31" i="6" s="1"/>
  <c r="K14" i="1"/>
  <c r="K21" i="6"/>
  <c r="M21" i="6" s="1"/>
  <c r="I21" i="6" s="1"/>
  <c r="S21" i="6" s="1"/>
  <c r="K22" i="6"/>
  <c r="M22" i="6" s="1"/>
  <c r="I22" i="6" s="1"/>
  <c r="S22" i="6" s="1"/>
  <c r="K26" i="6"/>
  <c r="M26" i="6" s="1"/>
  <c r="I26" i="6" s="1"/>
  <c r="S26" i="6" s="1"/>
  <c r="K25" i="6"/>
  <c r="M25" i="6" s="1"/>
  <c r="I25" i="6" s="1"/>
  <c r="S25" i="6" s="1"/>
  <c r="K20" i="6"/>
  <c r="M20" i="6" s="1"/>
  <c r="I20" i="6" s="1"/>
  <c r="S20" i="6" s="1"/>
  <c r="K19" i="6"/>
  <c r="K23" i="6"/>
  <c r="M23" i="6" s="1"/>
  <c r="I23" i="6" s="1"/>
  <c r="S23" i="6" s="1"/>
  <c r="Q60" i="67"/>
  <c r="F24" i="67"/>
  <c r="C24" i="67" s="1"/>
  <c r="F22" i="11"/>
  <c r="C24" i="11" s="1"/>
  <c r="S37" i="21"/>
  <c r="AA37" i="21"/>
  <c r="F22" i="68"/>
  <c r="F41" i="68" s="1"/>
  <c r="AC37" i="21"/>
  <c r="W37" i="21"/>
  <c r="U37" i="21"/>
  <c r="AB37" i="21"/>
  <c r="C14" i="12"/>
  <c r="D17" i="12"/>
  <c r="C17" i="12" s="1"/>
  <c r="D10" i="11"/>
  <c r="C10" i="11" s="1"/>
  <c r="D10" i="68"/>
  <c r="D10" i="69"/>
  <c r="D20" i="12"/>
  <c r="C20" i="12" s="1"/>
  <c r="C20" i="11"/>
  <c r="F27" i="11"/>
  <c r="F28" i="12"/>
  <c r="F27" i="68"/>
  <c r="F27" i="69"/>
  <c r="C65" i="40"/>
  <c r="D63" i="40"/>
  <c r="O23" i="43"/>
  <c r="P26" i="43"/>
  <c r="P28" i="43"/>
  <c r="B66" i="40" s="1"/>
  <c r="P27" i="43"/>
  <c r="B70" i="39" s="1"/>
  <c r="A1" i="79"/>
  <c r="P29" i="43"/>
  <c r="C23" i="43"/>
  <c r="P25" i="43"/>
  <c r="D52" i="37"/>
  <c r="E52" i="37" s="1"/>
  <c r="F52" i="37" s="1"/>
  <c r="G52" i="37" s="1"/>
  <c r="H52" i="37" s="1"/>
  <c r="I52" i="37" s="1"/>
  <c r="J52" i="37" s="1"/>
  <c r="K52" i="37" s="1"/>
  <c r="L52" i="37" s="1"/>
  <c r="M52" i="37" s="1"/>
  <c r="N52" i="37" s="1"/>
  <c r="O52" i="37" s="1"/>
  <c r="F7" i="21"/>
  <c r="D58" i="21"/>
  <c r="E58" i="21" s="1"/>
  <c r="F58" i="21" s="1"/>
  <c r="G58" i="21" s="1"/>
  <c r="H58" i="21" s="1"/>
  <c r="I58" i="21" s="1"/>
  <c r="J58" i="21" s="1"/>
  <c r="K58" i="21" s="1"/>
  <c r="L58" i="21" s="1"/>
  <c r="M58" i="21" s="1"/>
  <c r="N58" i="21" s="1"/>
  <c r="O58" i="21" s="1"/>
  <c r="C24" i="12"/>
  <c r="C31" i="12"/>
  <c r="C48" i="69"/>
  <c r="C36" i="11"/>
  <c r="C30" i="69"/>
  <c r="C13" i="12"/>
  <c r="C28" i="67"/>
  <c r="C28" i="15"/>
  <c r="C48" i="68"/>
  <c r="C77" i="9"/>
  <c r="C74" i="9" s="1"/>
  <c r="C30" i="68"/>
  <c r="C36" i="68"/>
  <c r="F22" i="69"/>
  <c r="C26" i="69" s="1"/>
  <c r="D22" i="69" s="1"/>
  <c r="C31" i="67"/>
  <c r="J18" i="67"/>
  <c r="J53" i="67"/>
  <c r="L59" i="67"/>
  <c r="J60" i="67"/>
  <c r="Q48" i="67" s="1"/>
  <c r="N59" i="67"/>
  <c r="J57" i="67"/>
  <c r="J55" i="67" s="1"/>
  <c r="J58" i="67" s="1"/>
  <c r="Q50" i="67" s="1"/>
  <c r="M59" i="67"/>
  <c r="J59" i="67"/>
  <c r="H7" i="36"/>
  <c r="D46" i="36"/>
  <c r="E46" i="36" s="1"/>
  <c r="F46" i="36" s="1"/>
  <c r="G46" i="36" s="1"/>
  <c r="H46" i="36" s="1"/>
  <c r="I46" i="36" s="1"/>
  <c r="J46" i="36" s="1"/>
  <c r="K46" i="36" s="1"/>
  <c r="L46" i="36" s="1"/>
  <c r="M46" i="36" s="1"/>
  <c r="N46" i="36" s="1"/>
  <c r="O46" i="36" s="1"/>
  <c r="F7" i="36"/>
  <c r="L60" i="67"/>
  <c r="C69" i="39"/>
  <c r="D67" i="39"/>
  <c r="F25" i="12"/>
  <c r="J19" i="67"/>
  <c r="J19" i="15"/>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J7" i="35"/>
  <c r="D58" i="33"/>
  <c r="E58" i="33" s="1"/>
  <c r="F58" i="33" s="1"/>
  <c r="G58" i="33" s="1"/>
  <c r="H58" i="33" s="1"/>
  <c r="I58" i="33" s="1"/>
  <c r="J58" i="33" s="1"/>
  <c r="K58" i="33" s="1"/>
  <c r="L58" i="33" s="1"/>
  <c r="M58" i="33" s="1"/>
  <c r="N58" i="33" s="1"/>
  <c r="O58" i="33" s="1"/>
  <c r="F10" i="39"/>
  <c r="J10" i="39"/>
  <c r="F10" i="40"/>
  <c r="J10" i="40"/>
  <c r="H10" i="40"/>
  <c r="H10" i="39"/>
  <c r="L57" i="67"/>
  <c r="L36" i="43"/>
  <c r="M36" i="43" s="1"/>
  <c r="J18" i="15"/>
  <c r="J5" i="15"/>
  <c r="J24" i="15" s="1"/>
  <c r="J17" i="15"/>
  <c r="C59" i="15"/>
  <c r="J26" i="67"/>
  <c r="J24" i="67"/>
  <c r="C20" i="15"/>
  <c r="C23" i="15" s="1"/>
  <c r="C48" i="67"/>
  <c r="C59" i="67"/>
  <c r="C10" i="15"/>
  <c r="C5" i="15" s="1"/>
  <c r="C53" i="15"/>
  <c r="C48" i="15" s="1"/>
  <c r="C10" i="67"/>
  <c r="C5" i="67" s="1"/>
  <c r="C18" i="12" l="1"/>
  <c r="C28" i="11"/>
  <c r="C27" i="11" s="1"/>
  <c r="M14" i="1"/>
  <c r="M16" i="1" s="1"/>
  <c r="C34" i="69"/>
  <c r="K16" i="1"/>
  <c r="H7" i="33"/>
  <c r="F7" i="35"/>
  <c r="F7" i="34"/>
  <c r="AY319" i="3"/>
  <c r="AY254" i="3"/>
  <c r="AY442" i="3"/>
  <c r="AY347" i="3"/>
  <c r="AY513" i="3"/>
  <c r="AY454" i="3"/>
  <c r="AY570" i="3"/>
  <c r="AY375" i="3"/>
  <c r="AY165" i="3"/>
  <c r="AY232" i="3"/>
  <c r="AY548" i="3"/>
  <c r="AY514" i="3"/>
  <c r="AY569" i="3"/>
  <c r="AY355" i="3"/>
  <c r="AY233" i="3"/>
  <c r="AY264" i="3"/>
  <c r="AY133" i="3"/>
  <c r="AY248" i="3"/>
  <c r="AY134" i="3"/>
  <c r="AY19" i="3"/>
  <c r="AY52" i="3"/>
  <c r="AY106" i="3"/>
  <c r="AY29" i="3"/>
  <c r="AY520" i="3"/>
  <c r="AY443" i="3"/>
  <c r="AY419" i="3"/>
  <c r="AY242" i="3"/>
  <c r="AY239" i="3"/>
  <c r="BF6" i="3"/>
  <c r="AY467" i="3"/>
  <c r="AY381" i="3"/>
  <c r="AY392" i="3"/>
  <c r="AY275" i="3"/>
  <c r="AY349" i="3"/>
  <c r="AY223" i="3"/>
  <c r="AY583" i="3"/>
  <c r="AY561" i="3"/>
  <c r="AY426" i="3"/>
  <c r="AY434" i="3"/>
  <c r="AY84" i="3"/>
  <c r="AY580" i="3"/>
  <c r="AY502" i="3"/>
  <c r="AY371" i="3"/>
  <c r="AY32" i="3"/>
  <c r="AY421" i="3"/>
  <c r="AY435" i="3"/>
  <c r="AY494" i="3"/>
  <c r="AY528" i="3"/>
  <c r="AY115" i="3"/>
  <c r="AY478" i="3"/>
  <c r="AY412" i="3"/>
  <c r="AY159" i="3"/>
  <c r="AY533" i="3"/>
  <c r="AY33" i="3"/>
  <c r="AY23" i="3"/>
  <c r="BO6" i="3"/>
  <c r="AY470" i="3"/>
  <c r="AY234" i="3"/>
  <c r="AY129" i="3"/>
  <c r="AY154" i="3"/>
  <c r="BB6" i="3"/>
  <c r="AY81" i="3"/>
  <c r="AY25" i="3"/>
  <c r="AY30" i="3"/>
  <c r="AY130" i="3"/>
  <c r="AY39" i="3"/>
  <c r="AY99" i="3"/>
  <c r="AY309" i="3"/>
  <c r="AY510" i="3"/>
  <c r="AY555" i="3"/>
  <c r="AY49" i="3"/>
  <c r="AY45" i="3"/>
  <c r="AY225" i="3"/>
  <c r="BL6" i="3"/>
  <c r="AY405" i="3"/>
  <c r="AY184" i="3"/>
  <c r="AY363" i="3"/>
  <c r="AY288" i="3"/>
  <c r="AY338" i="3"/>
  <c r="AY284" i="3"/>
  <c r="AY147" i="3"/>
  <c r="AY67" i="3"/>
  <c r="AY307" i="3"/>
  <c r="AY382" i="3"/>
  <c r="AY296" i="3"/>
  <c r="AY61" i="3"/>
  <c r="AY181" i="3"/>
  <c r="AY34" i="3"/>
  <c r="AY366" i="3"/>
  <c r="AY449" i="3"/>
  <c r="AY249" i="3"/>
  <c r="AY214" i="3"/>
  <c r="AY552" i="3"/>
  <c r="AY102" i="3"/>
  <c r="AY114" i="3"/>
  <c r="AY137" i="3"/>
  <c r="AY567" i="3"/>
  <c r="AY93" i="3"/>
  <c r="AY566" i="3"/>
  <c r="AY282" i="3"/>
  <c r="AY416" i="3"/>
  <c r="AY469" i="3"/>
  <c r="AY119" i="3"/>
  <c r="AY481" i="3"/>
  <c r="AY524" i="3"/>
  <c r="AY479" i="3"/>
  <c r="AY581" i="3"/>
  <c r="AY279" i="3"/>
  <c r="AY193" i="3"/>
  <c r="AY203" i="3"/>
  <c r="BI6" i="3"/>
  <c r="AY391" i="3"/>
  <c r="AY378" i="3"/>
  <c r="AY574" i="3"/>
  <c r="AY73" i="3"/>
  <c r="AY483" i="3"/>
  <c r="AY402" i="3"/>
  <c r="AY440" i="3"/>
  <c r="BJ6" i="3"/>
  <c r="AY312" i="3"/>
  <c r="AY484" i="3"/>
  <c r="AY146" i="3"/>
  <c r="AY31" i="3"/>
  <c r="AY410" i="3"/>
  <c r="AY140" i="3"/>
  <c r="AY268" i="3"/>
  <c r="AY308" i="3"/>
  <c r="AY244" i="3"/>
  <c r="AY197" i="3"/>
  <c r="AY460" i="3"/>
  <c r="AY300" i="3"/>
  <c r="AY276" i="3"/>
  <c r="AY433" i="3"/>
  <c r="AY48" i="3"/>
  <c r="BR6" i="3"/>
  <c r="AY164" i="3"/>
  <c r="AY202" i="3"/>
  <c r="AY496" i="3"/>
  <c r="AY161" i="3"/>
  <c r="AY209" i="3"/>
  <c r="AY51" i="3"/>
  <c r="AY185" i="3"/>
  <c r="AY331" i="3"/>
  <c r="AY439" i="3"/>
  <c r="AY277" i="3"/>
  <c r="AY132" i="3"/>
  <c r="AY138" i="3"/>
  <c r="AY235" i="3"/>
  <c r="AY323" i="3"/>
  <c r="AY206" i="3"/>
  <c r="AY191" i="3"/>
  <c r="AY127" i="3"/>
  <c r="AY250" i="3"/>
  <c r="AY219" i="3"/>
  <c r="AY540" i="3"/>
  <c r="AY437" i="3"/>
  <c r="AY545" i="3"/>
  <c r="AY237" i="3"/>
  <c r="AY352" i="3"/>
  <c r="AY76" i="3"/>
  <c r="AY187" i="3"/>
  <c r="AY345" i="3"/>
  <c r="AY326" i="3"/>
  <c r="AY359" i="3"/>
  <c r="AY305" i="3"/>
  <c r="BQ6" i="3"/>
  <c r="AY120" i="3"/>
  <c r="AY157" i="3"/>
  <c r="AY110" i="3"/>
  <c r="AY53" i="3"/>
  <c r="AY360" i="3"/>
  <c r="AY15" i="3"/>
  <c r="AY518" i="3"/>
  <c r="AY339" i="3"/>
  <c r="AY422" i="3"/>
  <c r="AY350" i="3"/>
  <c r="AY252" i="3"/>
  <c r="AY180" i="3"/>
  <c r="AY493" i="3"/>
  <c r="AY522" i="3"/>
  <c r="AY253" i="3"/>
  <c r="AY17" i="3"/>
  <c r="AY404" i="3"/>
  <c r="AY78" i="3"/>
  <c r="AY200" i="3"/>
  <c r="AY211" i="3"/>
  <c r="AY362" i="3"/>
  <c r="AY59" i="3"/>
  <c r="AY407" i="3"/>
  <c r="AY342" i="3"/>
  <c r="AY418" i="3"/>
  <c r="AY491" i="3"/>
  <c r="AY538" i="3"/>
  <c r="AY441" i="3"/>
  <c r="AY480" i="3"/>
  <c r="AY226" i="3"/>
  <c r="AY221" i="3"/>
  <c r="AY152" i="3"/>
  <c r="AY476" i="3"/>
  <c r="AY377" i="3"/>
  <c r="AY369" i="3"/>
  <c r="AY356" i="3"/>
  <c r="AY86" i="3"/>
  <c r="AY501" i="3"/>
  <c r="AY386" i="3"/>
  <c r="AY190" i="3"/>
  <c r="AY447" i="3"/>
  <c r="AY199" i="3"/>
  <c r="BS6" i="3"/>
  <c r="AY259" i="3"/>
  <c r="AY294" i="3"/>
  <c r="AY43" i="3"/>
  <c r="AY445" i="3"/>
  <c r="AY162" i="3"/>
  <c r="AY301" i="3"/>
  <c r="AY563" i="3"/>
  <c r="AY314" i="3"/>
  <c r="AY255" i="3"/>
  <c r="AY521" i="3"/>
  <c r="AY450" i="3"/>
  <c r="AY321" i="3"/>
  <c r="AY295" i="3"/>
  <c r="AY186" i="3"/>
  <c r="AY389" i="3"/>
  <c r="AY82" i="3"/>
  <c r="AY36" i="3"/>
  <c r="AY488" i="3"/>
  <c r="AY472" i="3"/>
  <c r="AY372" i="3"/>
  <c r="AY170" i="3"/>
  <c r="AY457" i="3"/>
  <c r="AY18" i="3"/>
  <c r="AY72" i="3"/>
  <c r="BA6" i="3"/>
  <c r="AY293" i="3"/>
  <c r="AY160" i="3"/>
  <c r="AY80" i="3"/>
  <c r="AY322" i="3"/>
  <c r="AY213" i="3"/>
  <c r="AY216" i="3"/>
  <c r="AY585" i="3"/>
  <c r="AY499" i="3"/>
  <c r="AY551" i="3"/>
  <c r="AY526" i="3"/>
  <c r="AY46" i="3"/>
  <c r="AY408" i="3"/>
  <c r="AY572" i="3"/>
  <c r="AY79" i="3"/>
  <c r="AY70" i="3"/>
  <c r="AY60" i="3"/>
  <c r="AY136" i="3"/>
  <c r="AY176" i="3"/>
  <c r="AY212" i="3"/>
  <c r="AY379" i="3"/>
  <c r="AY550" i="3"/>
  <c r="AY261" i="3"/>
  <c r="AY54" i="3"/>
  <c r="AY304" i="3"/>
  <c r="AY210" i="3"/>
  <c r="AY251" i="3"/>
  <c r="AY95" i="3"/>
  <c r="AY68" i="3"/>
  <c r="AY495" i="3"/>
  <c r="AY97" i="3"/>
  <c r="AY260" i="3"/>
  <c r="AY229" i="3"/>
  <c r="AY365" i="3"/>
  <c r="AY169" i="3"/>
  <c r="AY396" i="3"/>
  <c r="AY474" i="3"/>
  <c r="AY287" i="3"/>
  <c r="AY506" i="3"/>
  <c r="AY171" i="3"/>
  <c r="AY149" i="3"/>
  <c r="AY340" i="3"/>
  <c r="AY22" i="3"/>
  <c r="AY218" i="3"/>
  <c r="AY196" i="3"/>
  <c r="AY332" i="3"/>
  <c r="AY539" i="3"/>
  <c r="AY403" i="3"/>
  <c r="AY28" i="3"/>
  <c r="AY315" i="3"/>
  <c r="AY151" i="3"/>
  <c r="AY329" i="3"/>
  <c r="AY153" i="3"/>
  <c r="AY273" i="3"/>
  <c r="AY118" i="3"/>
  <c r="AY485" i="3"/>
  <c r="AY497" i="3"/>
  <c r="AY462" i="3"/>
  <c r="AY262" i="3"/>
  <c r="AY428" i="3"/>
  <c r="AY207" i="3"/>
  <c r="AY224" i="3"/>
  <c r="AY21" i="3"/>
  <c r="AY123" i="3"/>
  <c r="AY222" i="3"/>
  <c r="AY145" i="3"/>
  <c r="AY384" i="3"/>
  <c r="AY179" i="3"/>
  <c r="AY451" i="3"/>
  <c r="AY446" i="3"/>
  <c r="AY406" i="3"/>
  <c r="AY490" i="3"/>
  <c r="AY477" i="3"/>
  <c r="AY489" i="3"/>
  <c r="AY320" i="3"/>
  <c r="AY546" i="3"/>
  <c r="AY498" i="3"/>
  <c r="AY568" i="3"/>
  <c r="AY468" i="3"/>
  <c r="AY374" i="3"/>
  <c r="AY289" i="3"/>
  <c r="AY40" i="3"/>
  <c r="AY55" i="3"/>
  <c r="AY41" i="3"/>
  <c r="AY512" i="3"/>
  <c r="AY554" i="3"/>
  <c r="AY387" i="3"/>
  <c r="BD6" i="3"/>
  <c r="BM6" i="3"/>
  <c r="AY459" i="3"/>
  <c r="AY430" i="3"/>
  <c r="AY383" i="3"/>
  <c r="AY504" i="3"/>
  <c r="AY473" i="3"/>
  <c r="AY558" i="3"/>
  <c r="AY466" i="3"/>
  <c r="AY228" i="3"/>
  <c r="AY111" i="3"/>
  <c r="AY559" i="3"/>
  <c r="AY256" i="3"/>
  <c r="AY318" i="3"/>
  <c r="AY116" i="3"/>
  <c r="AY511" i="3"/>
  <c r="AY529" i="3"/>
  <c r="AY429" i="3"/>
  <c r="AY390" i="3"/>
  <c r="AY394" i="3"/>
  <c r="AY112" i="3"/>
  <c r="AY427" i="3"/>
  <c r="AY452" i="3"/>
  <c r="AY195" i="3"/>
  <c r="AY278" i="3"/>
  <c r="AY536" i="3"/>
  <c r="AY283" i="3"/>
  <c r="AY241" i="3"/>
  <c r="AY103" i="3"/>
  <c r="AY292" i="3"/>
  <c r="AY142" i="3"/>
  <c r="AY556" i="3"/>
  <c r="AY400" i="3"/>
  <c r="AY509" i="3"/>
  <c r="AY508" i="3"/>
  <c r="AY281" i="3"/>
  <c r="AY463" i="3"/>
  <c r="AY547" i="3"/>
  <c r="AY113" i="3"/>
  <c r="AY155" i="3"/>
  <c r="AY328" i="3"/>
  <c r="AY217" i="3"/>
  <c r="AY14" i="3"/>
  <c r="AY541" i="3"/>
  <c r="AY517" i="3"/>
  <c r="AY257" i="3"/>
  <c r="AY431" i="3"/>
  <c r="AY310" i="3"/>
  <c r="AY192" i="3"/>
  <c r="AY94" i="3"/>
  <c r="AY302" i="3"/>
  <c r="BH6" i="3"/>
  <c r="AY188" i="3"/>
  <c r="AY35" i="3"/>
  <c r="AY364" i="3"/>
  <c r="AY335" i="3"/>
  <c r="AY143" i="3"/>
  <c r="AY577" i="3"/>
  <c r="AY453" i="3"/>
  <c r="AY438" i="3"/>
  <c r="AY65" i="3"/>
  <c r="AY107" i="3"/>
  <c r="AY156" i="3"/>
  <c r="AY370" i="3"/>
  <c r="AY173" i="3"/>
  <c r="AY247" i="3"/>
  <c r="AY266" i="3"/>
  <c r="AY317" i="3"/>
  <c r="AY77" i="3"/>
  <c r="AY150" i="3"/>
  <c r="AY424" i="3"/>
  <c r="AY144" i="3"/>
  <c r="AY532" i="3"/>
  <c r="AY148" i="3"/>
  <c r="AY183" i="3"/>
  <c r="AY560" i="3"/>
  <c r="AY24" i="3"/>
  <c r="AY175" i="3"/>
  <c r="AY117" i="3"/>
  <c r="AY204" i="3"/>
  <c r="AY124" i="3"/>
  <c r="AY415" i="3"/>
  <c r="AY571" i="3"/>
  <c r="AY579" i="3"/>
  <c r="AY549" i="3"/>
  <c r="AY47" i="3"/>
  <c r="AY201" i="3"/>
  <c r="AY432" i="3"/>
  <c r="AY69" i="3"/>
  <c r="AY527" i="3"/>
  <c r="AY500" i="3"/>
  <c r="AY135" i="3"/>
  <c r="AY530" i="3"/>
  <c r="AY351" i="3"/>
  <c r="AY131" i="3"/>
  <c r="AY205" i="3"/>
  <c r="AY208" i="3"/>
  <c r="AY516" i="3"/>
  <c r="AY354" i="3"/>
  <c r="AY413" i="3"/>
  <c r="AY486" i="3"/>
  <c r="AY89" i="3"/>
  <c r="AY353" i="3"/>
  <c r="AY58" i="3"/>
  <c r="AY243" i="3"/>
  <c r="AY163" i="3"/>
  <c r="AY83" i="3"/>
  <c r="AY44" i="3"/>
  <c r="AY267" i="3"/>
  <c r="BK6" i="3"/>
  <c r="AY327" i="3"/>
  <c r="AY139" i="3"/>
  <c r="AY182" i="3"/>
  <c r="AY42" i="3"/>
  <c r="AY297" i="3"/>
  <c r="AY420" i="3"/>
  <c r="AY537" i="3"/>
  <c r="AY16" i="3"/>
  <c r="AY503" i="3"/>
  <c r="AY456" i="3"/>
  <c r="AY236" i="3"/>
  <c r="AY519" i="3"/>
  <c r="AY464" i="3"/>
  <c r="AY316" i="3"/>
  <c r="AY189" i="3"/>
  <c r="AY141" i="3"/>
  <c r="D3" i="6"/>
  <c r="AY98" i="3"/>
  <c r="AY96" i="3"/>
  <c r="AY122" i="3"/>
  <c r="AY168" i="3"/>
  <c r="AY535" i="3"/>
  <c r="AY380" i="3"/>
  <c r="AY575" i="3"/>
  <c r="AY409" i="3"/>
  <c r="AY194" i="3"/>
  <c r="AY582" i="3"/>
  <c r="AY523" i="3"/>
  <c r="AY174" i="3"/>
  <c r="AY231" i="3"/>
  <c r="AY38" i="3"/>
  <c r="AY220" i="3"/>
  <c r="AY303" i="3"/>
  <c r="AY20" i="3"/>
  <c r="AY471" i="3"/>
  <c r="AY74" i="3"/>
  <c r="AY313" i="3"/>
  <c r="AY26" i="3"/>
  <c r="BN6" i="3"/>
  <c r="AY63" i="3"/>
  <c r="AY553" i="3"/>
  <c r="AY531" i="3"/>
  <c r="AY87" i="3"/>
  <c r="AY458" i="3"/>
  <c r="AY584" i="3"/>
  <c r="AY230" i="3"/>
  <c r="AY105" i="3"/>
  <c r="AY436" i="3"/>
  <c r="AY425" i="3"/>
  <c r="AY108" i="3"/>
  <c r="AY121" i="3"/>
  <c r="AY564" i="3"/>
  <c r="AY299" i="3"/>
  <c r="AY543" i="3"/>
  <c r="AY330" i="3"/>
  <c r="AY411" i="3"/>
  <c r="AY62" i="3"/>
  <c r="AY291" i="3"/>
  <c r="AY88" i="3"/>
  <c r="AY565" i="3"/>
  <c r="AY37" i="3"/>
  <c r="AY348" i="3"/>
  <c r="AY346" i="3"/>
  <c r="BT6" i="3"/>
  <c r="AY57" i="3"/>
  <c r="AY562" i="3"/>
  <c r="AY344" i="3"/>
  <c r="AY361" i="3"/>
  <c r="AY290" i="3"/>
  <c r="AY238" i="3"/>
  <c r="BE6" i="3"/>
  <c r="AY578" i="3"/>
  <c r="AY311" i="3"/>
  <c r="AY272" i="3"/>
  <c r="AY461" i="3"/>
  <c r="AY50" i="3"/>
  <c r="AY128" i="3"/>
  <c r="AY167" i="3"/>
  <c r="AY125" i="3"/>
  <c r="AY376" i="3"/>
  <c r="AY104" i="3"/>
  <c r="AY91" i="3"/>
  <c r="AY85" i="3"/>
  <c r="AY263" i="3"/>
  <c r="AY465" i="3"/>
  <c r="AY240" i="3"/>
  <c r="AY90" i="3"/>
  <c r="AY269" i="3"/>
  <c r="AY334" i="3"/>
  <c r="AY576" i="3"/>
  <c r="AY482" i="3"/>
  <c r="AY286" i="3"/>
  <c r="AY178" i="3"/>
  <c r="AY414" i="3"/>
  <c r="AY573" i="3"/>
  <c r="AY215" i="3"/>
  <c r="AY337" i="3"/>
  <c r="AY271" i="3"/>
  <c r="AY306" i="3"/>
  <c r="AY298" i="3"/>
  <c r="AY126" i="3"/>
  <c r="AY423" i="3"/>
  <c r="AY71" i="3"/>
  <c r="AY158" i="3"/>
  <c r="AY265" i="3"/>
  <c r="AY109" i="3"/>
  <c r="AY56" i="3"/>
  <c r="AY245" i="3"/>
  <c r="AY557" i="3"/>
  <c r="BC6" i="3"/>
  <c r="AY92" i="3"/>
  <c r="AY373" i="3"/>
  <c r="AY492" i="3"/>
  <c r="AY357" i="3"/>
  <c r="AY13" i="3"/>
  <c r="AY393" i="3"/>
  <c r="AY274" i="3"/>
  <c r="AY324" i="3"/>
  <c r="AY525" i="3"/>
  <c r="AY397" i="3"/>
  <c r="AY586" i="3"/>
  <c r="AY358" i="3"/>
  <c r="AY455" i="3"/>
  <c r="AY475" i="3"/>
  <c r="AY401" i="3"/>
  <c r="AY258" i="3"/>
  <c r="AY343" i="3"/>
  <c r="AY166" i="3"/>
  <c r="AY534" i="3"/>
  <c r="AY280" i="3"/>
  <c r="AY64" i="3"/>
  <c r="AY544" i="3"/>
  <c r="AY417" i="3"/>
  <c r="AY398" i="3"/>
  <c r="BG6" i="3"/>
  <c r="AY333" i="3"/>
  <c r="AY75" i="3"/>
  <c r="AY385" i="3"/>
  <c r="AY388" i="3"/>
  <c r="BP6" i="3"/>
  <c r="AY101" i="3"/>
  <c r="AY448" i="3"/>
  <c r="AY515" i="3"/>
  <c r="AY66" i="3"/>
  <c r="AY27" i="3"/>
  <c r="AY505" i="3"/>
  <c r="AY198" i="3"/>
  <c r="AY177" i="3"/>
  <c r="AY542" i="3"/>
  <c r="AY341" i="3"/>
  <c r="AY444" i="3"/>
  <c r="AY285" i="3"/>
  <c r="AY367" i="3"/>
  <c r="AY507" i="3"/>
  <c r="AY172" i="3"/>
  <c r="AY368" i="3"/>
  <c r="AY487" i="3"/>
  <c r="AY399" i="3"/>
  <c r="AY246" i="3"/>
  <c r="AY100" i="3"/>
  <c r="AY395" i="3"/>
  <c r="AY587" i="3"/>
  <c r="AY325" i="3"/>
  <c r="AY336" i="3"/>
  <c r="AY227" i="3"/>
  <c r="AY270" i="3"/>
  <c r="J7" i="33"/>
  <c r="F7" i="33"/>
  <c r="H7" i="35"/>
  <c r="J7" i="34"/>
  <c r="W7" i="34" s="1"/>
  <c r="K27" i="6"/>
  <c r="S6" i="1"/>
  <c r="M19" i="6"/>
  <c r="C17" i="71"/>
  <c r="D18" i="71"/>
  <c r="AC6" i="3"/>
  <c r="E6" i="3" s="1"/>
  <c r="C44" i="11"/>
  <c r="D41" i="11" s="1"/>
  <c r="C25" i="11"/>
  <c r="C26" i="11"/>
  <c r="D22" i="11" s="1"/>
  <c r="C16" i="12"/>
  <c r="C21" i="12" s="1"/>
  <c r="C22" i="12" s="1"/>
  <c r="C30" i="12" s="1"/>
  <c r="C28" i="12" s="1"/>
  <c r="C23" i="11"/>
  <c r="C26" i="68"/>
  <c r="D22" i="68" s="1"/>
  <c r="O36" i="43"/>
  <c r="L37" i="43"/>
  <c r="N37" i="43" s="1"/>
  <c r="C44" i="68"/>
  <c r="D41" i="68" s="1"/>
  <c r="C23" i="68"/>
  <c r="Q36" i="43"/>
  <c r="J26" i="15"/>
  <c r="J29" i="15" s="1"/>
  <c r="N36" i="43"/>
  <c r="P36" i="43"/>
  <c r="C29" i="12"/>
  <c r="D28" i="12" s="1"/>
  <c r="C29" i="68"/>
  <c r="D27" i="68" s="1"/>
  <c r="C47" i="68"/>
  <c r="D45" i="68" s="1"/>
  <c r="F45" i="68"/>
  <c r="C10" i="69"/>
  <c r="C8" i="69" s="1"/>
  <c r="C5" i="69" s="1"/>
  <c r="C23" i="69" s="1"/>
  <c r="D19" i="69"/>
  <c r="C47" i="11"/>
  <c r="D45" i="11" s="1"/>
  <c r="C29" i="11"/>
  <c r="D27" i="11" s="1"/>
  <c r="C10" i="68"/>
  <c r="D19" i="68"/>
  <c r="F45" i="69"/>
  <c r="C29" i="69"/>
  <c r="D27" i="69" s="1"/>
  <c r="C47" i="69"/>
  <c r="D45" i="69" s="1"/>
  <c r="F41" i="69"/>
  <c r="C44" i="69"/>
  <c r="D41" i="69" s="1"/>
  <c r="AB7" i="33"/>
  <c r="T48" i="33" s="1"/>
  <c r="G48" i="33" s="1"/>
  <c r="U7" i="33"/>
  <c r="S7" i="34"/>
  <c r="AA7" i="34"/>
  <c r="R49" i="34" s="1"/>
  <c r="Q57" i="67"/>
  <c r="Q66" i="67"/>
  <c r="AA7" i="33"/>
  <c r="R48" i="33" s="1"/>
  <c r="S7" i="33"/>
  <c r="AC7" i="34"/>
  <c r="V49" i="34" s="1"/>
  <c r="I49" i="34" s="1"/>
  <c r="C26" i="12"/>
  <c r="D25" i="12" s="1"/>
  <c r="AA7" i="36"/>
  <c r="R36" i="36" s="1"/>
  <c r="S7" i="36"/>
  <c r="H7" i="37"/>
  <c r="U10" i="40"/>
  <c r="AB10" i="40"/>
  <c r="AA10" i="39"/>
  <c r="S10" i="39"/>
  <c r="H7" i="34"/>
  <c r="E67" i="39"/>
  <c r="D69" i="39"/>
  <c r="J7" i="36"/>
  <c r="Q61" i="67"/>
  <c r="Q74" i="67"/>
  <c r="J7" i="21"/>
  <c r="J7" i="37"/>
  <c r="C41" i="43"/>
  <c r="C37" i="43"/>
  <c r="C42" i="43"/>
  <c r="T15" i="43"/>
  <c r="V15" i="43" s="1"/>
  <c r="T11" i="43"/>
  <c r="V11" i="43" s="1"/>
  <c r="T4" i="43"/>
  <c r="V4" i="43" s="1"/>
  <c r="T8" i="43"/>
  <c r="V8" i="43" s="1"/>
  <c r="T12" i="43"/>
  <c r="V12" i="43" s="1"/>
  <c r="T3" i="43"/>
  <c r="V3" i="43" s="1"/>
  <c r="C40" i="43"/>
  <c r="C39" i="43"/>
  <c r="T16" i="43"/>
  <c r="V16" i="43" s="1"/>
  <c r="T14" i="43"/>
  <c r="V14" i="43" s="1"/>
  <c r="C38" i="43"/>
  <c r="T9" i="43"/>
  <c r="V9" i="43" s="1"/>
  <c r="C33" i="43"/>
  <c r="T5" i="43"/>
  <c r="V5" i="43" s="1"/>
  <c r="T2" i="43"/>
  <c r="V2" i="43" s="1"/>
  <c r="T6" i="43"/>
  <c r="V6" i="43" s="1"/>
  <c r="T7" i="43"/>
  <c r="V7" i="43" s="1"/>
  <c r="T13" i="43"/>
  <c r="V13" i="43" s="1"/>
  <c r="T10" i="43"/>
  <c r="V10" i="43" s="1"/>
  <c r="D65" i="40"/>
  <c r="E63" i="40"/>
  <c r="S10" i="40"/>
  <c r="AA10" i="40"/>
  <c r="AA7" i="35"/>
  <c r="R38" i="35" s="1"/>
  <c r="S7" i="35"/>
  <c r="U7" i="36"/>
  <c r="AB7" i="36"/>
  <c r="T36" i="36" s="1"/>
  <c r="G36" i="36" s="1"/>
  <c r="S7" i="21"/>
  <c r="AA7" i="21"/>
  <c r="R48" i="21" s="1"/>
  <c r="AB10" i="39"/>
  <c r="U10" i="39"/>
  <c r="W10" i="39"/>
  <c r="AC10" i="39"/>
  <c r="U7" i="35"/>
  <c r="AB7" i="35"/>
  <c r="T38" i="35" s="1"/>
  <c r="G38" i="35" s="1"/>
  <c r="AC10" i="40"/>
  <c r="W10" i="40"/>
  <c r="W7" i="33"/>
  <c r="AC7" i="33"/>
  <c r="V48" i="33" s="1"/>
  <c r="I48" i="33" s="1"/>
  <c r="W7" i="35"/>
  <c r="AC7" i="35"/>
  <c r="V38" i="35" s="1"/>
  <c r="I38" i="35" s="1"/>
  <c r="Q52" i="67"/>
  <c r="F1" i="67"/>
  <c r="H7" i="21"/>
  <c r="F7" i="37"/>
  <c r="C26" i="15"/>
  <c r="C29" i="15" s="1"/>
  <c r="C38" i="15"/>
  <c r="C66" i="67"/>
  <c r="C66" i="15"/>
  <c r="C38" i="67"/>
  <c r="C14" i="67"/>
  <c r="C17" i="67"/>
  <c r="AE6" i="1"/>
  <c r="C18" i="67" l="1"/>
  <c r="C15" i="67"/>
  <c r="C19" i="67"/>
  <c r="C20" i="67" s="1"/>
  <c r="C26" i="67" s="1"/>
  <c r="C16" i="71"/>
  <c r="D17" i="71"/>
  <c r="C38" i="69"/>
  <c r="C35" i="69"/>
  <c r="I19" i="6"/>
  <c r="M27" i="6"/>
  <c r="D11" i="6"/>
  <c r="D21" i="6"/>
  <c r="D29" i="6"/>
  <c r="C18" i="4"/>
  <c r="D13" i="6"/>
  <c r="D20" i="6"/>
  <c r="R20" i="6" s="1"/>
  <c r="D15" i="6"/>
  <c r="H20" i="6"/>
  <c r="D28" i="6"/>
  <c r="H21" i="6"/>
  <c r="D10" i="6"/>
  <c r="E61" i="40"/>
  <c r="H22" i="6"/>
  <c r="D5" i="6"/>
  <c r="H26" i="6"/>
  <c r="D23" i="6"/>
  <c r="D22" i="6"/>
  <c r="R22" i="6" s="1"/>
  <c r="D19" i="6"/>
  <c r="D24" i="6"/>
  <c r="R24" i="6" s="1"/>
  <c r="D25" i="6"/>
  <c r="D12" i="6"/>
  <c r="D14" i="6"/>
  <c r="H25" i="6"/>
  <c r="D26" i="6"/>
  <c r="H23" i="6"/>
  <c r="D8" i="6"/>
  <c r="D16" i="6" s="1"/>
  <c r="D9" i="6"/>
  <c r="H24" i="6"/>
  <c r="D6" i="6"/>
  <c r="C34" i="68"/>
  <c r="N16" i="1"/>
  <c r="C34" i="11"/>
  <c r="L16" i="1"/>
  <c r="E6" i="70"/>
  <c r="E2" i="70" s="1"/>
  <c r="S16" i="1"/>
  <c r="AQ6" i="1"/>
  <c r="T6" i="1"/>
  <c r="T16" i="1" s="1"/>
  <c r="AR6" i="1"/>
  <c r="C22" i="11"/>
  <c r="C31" i="11" s="1"/>
  <c r="Q37" i="43"/>
  <c r="O37" i="43"/>
  <c r="P37" i="43"/>
  <c r="M37" i="43"/>
  <c r="C27" i="12"/>
  <c r="C25" i="12" s="1"/>
  <c r="C32" i="12" s="1"/>
  <c r="B2" i="12" s="1"/>
  <c r="B3" i="12" s="1"/>
  <c r="C19" i="69"/>
  <c r="C24" i="69" s="1"/>
  <c r="D37" i="69"/>
  <c r="C37" i="69" s="1"/>
  <c r="C33" i="69" s="1"/>
  <c r="C19" i="68"/>
  <c r="D37" i="68"/>
  <c r="C37" i="68" s="1"/>
  <c r="AC7" i="21"/>
  <c r="V48" i="21" s="1"/>
  <c r="I48" i="21" s="1"/>
  <c r="W7" i="21"/>
  <c r="I53" i="34"/>
  <c r="J53" i="34" s="1"/>
  <c r="S7" i="37"/>
  <c r="AA7" i="37"/>
  <c r="R42" i="37" s="1"/>
  <c r="I52" i="33"/>
  <c r="J52" i="33" s="1"/>
  <c r="G43" i="35"/>
  <c r="H43" i="35" s="1"/>
  <c r="G42" i="35"/>
  <c r="H42" i="35" s="1"/>
  <c r="G40" i="36"/>
  <c r="H40" i="36" s="1"/>
  <c r="E38" i="43"/>
  <c r="G38" i="43"/>
  <c r="I38" i="43" s="1"/>
  <c r="G40" i="43"/>
  <c r="I40" i="43" s="1"/>
  <c r="E40" i="43"/>
  <c r="E37" i="43"/>
  <c r="G37" i="43"/>
  <c r="I37" i="43" s="1"/>
  <c r="E69" i="39"/>
  <c r="F67" i="39"/>
  <c r="R37" i="36"/>
  <c r="E36" i="36"/>
  <c r="G52" i="33"/>
  <c r="H52" i="33" s="1"/>
  <c r="G53" i="33"/>
  <c r="H53" i="33" s="1"/>
  <c r="G39" i="43"/>
  <c r="I39" i="43" s="1"/>
  <c r="E39" i="43"/>
  <c r="G42" i="43"/>
  <c r="I42" i="43" s="1"/>
  <c r="E42" i="43"/>
  <c r="AB7" i="21"/>
  <c r="T48" i="21" s="1"/>
  <c r="G48" i="21" s="1"/>
  <c r="U7" i="21"/>
  <c r="G41" i="43"/>
  <c r="I41" i="43" s="1"/>
  <c r="E41" i="43"/>
  <c r="AB7" i="34"/>
  <c r="T49" i="34" s="1"/>
  <c r="G49" i="34" s="1"/>
  <c r="U7" i="34"/>
  <c r="E48" i="33"/>
  <c r="R49" i="33"/>
  <c r="R50" i="34"/>
  <c r="E49" i="34"/>
  <c r="I54" i="34" s="1"/>
  <c r="J54" i="34" s="1"/>
  <c r="R39" i="35"/>
  <c r="E38" i="35"/>
  <c r="I42" i="35"/>
  <c r="J42" i="35" s="1"/>
  <c r="I43" i="35"/>
  <c r="J43" i="35" s="1"/>
  <c r="E48" i="21"/>
  <c r="F63" i="40"/>
  <c r="E65" i="40"/>
  <c r="C34" i="43"/>
  <c r="E34" i="43" s="1"/>
  <c r="E33" i="43"/>
  <c r="W7" i="37"/>
  <c r="AC7" i="37"/>
  <c r="V42" i="37" s="1"/>
  <c r="I42" i="37" s="1"/>
  <c r="AC7" i="36"/>
  <c r="V36" i="36" s="1"/>
  <c r="I36" i="36" s="1"/>
  <c r="W7" i="36"/>
  <c r="AB7" i="37"/>
  <c r="T42" i="37" s="1"/>
  <c r="G42" i="37" s="1"/>
  <c r="U7" i="37"/>
  <c r="C13" i="15"/>
  <c r="C37" i="15" s="1"/>
  <c r="J59" i="15"/>
  <c r="J60" i="15" s="1"/>
  <c r="L46" i="15" s="1"/>
  <c r="C57" i="15"/>
  <c r="C64" i="15" s="1"/>
  <c r="J14" i="15"/>
  <c r="J22" i="15" s="1"/>
  <c r="C36" i="15"/>
  <c r="Q49" i="15"/>
  <c r="F41" i="67"/>
  <c r="C23" i="67" l="1"/>
  <c r="C29" i="67" s="1"/>
  <c r="C13" i="67" s="1"/>
  <c r="C56" i="67" s="1"/>
  <c r="C65" i="67" s="1"/>
  <c r="F50" i="11"/>
  <c r="F50" i="68"/>
  <c r="F50" i="69"/>
  <c r="S19" i="6"/>
  <c r="S27" i="6" s="1"/>
  <c r="L18" i="9"/>
  <c r="I27" i="6"/>
  <c r="H19" i="6"/>
  <c r="D16" i="71"/>
  <c r="U16" i="71" s="1"/>
  <c r="C15" i="71"/>
  <c r="T16" i="71"/>
  <c r="C38" i="68"/>
  <c r="C35" i="68"/>
  <c r="D27" i="6"/>
  <c r="D31" i="6" s="1"/>
  <c r="M19" i="9"/>
  <c r="C118" i="9" s="1"/>
  <c r="R21" i="6"/>
  <c r="D30" i="6"/>
  <c r="C38" i="11"/>
  <c r="C35" i="11"/>
  <c r="R26" i="6"/>
  <c r="R25" i="6"/>
  <c r="R23" i="6"/>
  <c r="A7" i="51"/>
  <c r="B7" i="72" s="1"/>
  <c r="C4" i="52"/>
  <c r="B45" i="72" s="1"/>
  <c r="A10" i="51"/>
  <c r="B9" i="72" s="1"/>
  <c r="F69" i="67"/>
  <c r="J29" i="67"/>
  <c r="J14" i="67"/>
  <c r="J22" i="67" s="1"/>
  <c r="Q49" i="67"/>
  <c r="R49" i="21"/>
  <c r="C49" i="21" s="1"/>
  <c r="C39" i="69"/>
  <c r="C43" i="69" s="1"/>
  <c r="C42" i="69"/>
  <c r="C20" i="68"/>
  <c r="C24" i="68"/>
  <c r="C20" i="69"/>
  <c r="F65" i="40"/>
  <c r="G63" i="40"/>
  <c r="C49" i="34"/>
  <c r="C50" i="34"/>
  <c r="G52" i="21"/>
  <c r="H52" i="21" s="1"/>
  <c r="G53" i="21"/>
  <c r="H53" i="21" s="1"/>
  <c r="C37" i="36"/>
  <c r="C36" i="36"/>
  <c r="R43" i="37"/>
  <c r="E42" i="37"/>
  <c r="I46" i="37"/>
  <c r="J46" i="37" s="1"/>
  <c r="G47" i="37"/>
  <c r="H47" i="37" s="1"/>
  <c r="G46" i="37"/>
  <c r="H46" i="37" s="1"/>
  <c r="G53" i="34"/>
  <c r="H53" i="34" s="1"/>
  <c r="G54" i="34"/>
  <c r="H54" i="34" s="1"/>
  <c r="C30" i="43"/>
  <c r="E53" i="21"/>
  <c r="F53" i="21" s="1"/>
  <c r="E52" i="21"/>
  <c r="F52" i="21" s="1"/>
  <c r="E43" i="35"/>
  <c r="F43" i="35" s="1"/>
  <c r="E42" i="35"/>
  <c r="F42" i="35" s="1"/>
  <c r="C49" i="33"/>
  <c r="C48" i="33"/>
  <c r="G67" i="39"/>
  <c r="F69" i="39"/>
  <c r="E54" i="34"/>
  <c r="F54" i="34" s="1"/>
  <c r="E53" i="34"/>
  <c r="F53" i="34" s="1"/>
  <c r="E40" i="36"/>
  <c r="F40" i="36" s="1"/>
  <c r="E41" i="36"/>
  <c r="F41" i="36" s="1"/>
  <c r="I40" i="36"/>
  <c r="J40" i="36" s="1"/>
  <c r="I41" i="36"/>
  <c r="J41" i="36" s="1"/>
  <c r="C31" i="43"/>
  <c r="C38" i="35"/>
  <c r="C39" i="35"/>
  <c r="M3" i="35" s="1"/>
  <c r="E52" i="33"/>
  <c r="F52" i="33" s="1"/>
  <c r="E53" i="33"/>
  <c r="F53" i="33" s="1"/>
  <c r="G41" i="36"/>
  <c r="H41" i="36" s="1"/>
  <c r="I53" i="33"/>
  <c r="J53" i="33" s="1"/>
  <c r="I53" i="21"/>
  <c r="J53" i="21" s="1"/>
  <c r="I52" i="21"/>
  <c r="J52" i="21" s="1"/>
  <c r="Q70" i="15"/>
  <c r="J13" i="67"/>
  <c r="J23" i="67" s="1"/>
  <c r="J16" i="67" s="1"/>
  <c r="J25" i="67" s="1"/>
  <c r="J13" i="15"/>
  <c r="J23" i="15" s="1"/>
  <c r="J16" i="15" s="1"/>
  <c r="J25" i="15" s="1"/>
  <c r="C75" i="67"/>
  <c r="C30" i="15"/>
  <c r="C39" i="15" s="1"/>
  <c r="C40" i="15" s="1"/>
  <c r="C56" i="15"/>
  <c r="C65" i="15" s="1"/>
  <c r="C58" i="15" s="1"/>
  <c r="C67" i="15" s="1"/>
  <c r="C68" i="15" s="1"/>
  <c r="C71" i="15" s="1"/>
  <c r="Q70" i="67"/>
  <c r="C75" i="15"/>
  <c r="C37" i="67"/>
  <c r="Q48" i="15"/>
  <c r="E6" i="76"/>
  <c r="C36" i="67" l="1"/>
  <c r="C33" i="68"/>
  <c r="C39" i="68" s="1"/>
  <c r="C43" i="68" s="1"/>
  <c r="C57" i="67"/>
  <c r="C64" i="67" s="1"/>
  <c r="C58" i="67" s="1"/>
  <c r="C67" i="67" s="1"/>
  <c r="C68" i="67" s="1"/>
  <c r="C71" i="67" s="1"/>
  <c r="C42" i="68"/>
  <c r="H27" i="6"/>
  <c r="R19" i="6"/>
  <c r="L19" i="9"/>
  <c r="C33" i="11"/>
  <c r="I6" i="6"/>
  <c r="I5" i="6"/>
  <c r="C14" i="71"/>
  <c r="D15" i="71"/>
  <c r="C30" i="67"/>
  <c r="C39" i="67" s="1"/>
  <c r="C40" i="67" s="1"/>
  <c r="Q56" i="67" s="1"/>
  <c r="Q62" i="67" s="1"/>
  <c r="C41" i="69"/>
  <c r="C46" i="69"/>
  <c r="C45" i="69" s="1"/>
  <c r="C48" i="21"/>
  <c r="C28" i="69"/>
  <c r="C27" i="69" s="1"/>
  <c r="C25" i="69"/>
  <c r="C22" i="69" s="1"/>
  <c r="C28" i="68"/>
  <c r="C27" i="68" s="1"/>
  <c r="C25" i="68"/>
  <c r="C22" i="68" s="1"/>
  <c r="E2" i="76"/>
  <c r="B2" i="43"/>
  <c r="G69" i="39"/>
  <c r="H67" i="39"/>
  <c r="E47" i="37"/>
  <c r="F47" i="37" s="1"/>
  <c r="E46" i="37"/>
  <c r="F46" i="37" s="1"/>
  <c r="C42" i="37"/>
  <c r="C43" i="37"/>
  <c r="G65" i="40"/>
  <c r="H63" i="40"/>
  <c r="B3" i="21"/>
  <c r="B2" i="21"/>
  <c r="I47" i="37"/>
  <c r="J47" i="37" s="1"/>
  <c r="C80" i="15"/>
  <c r="C79" i="15" s="1"/>
  <c r="C46" i="15"/>
  <c r="Q69" i="15"/>
  <c r="Q68" i="15" s="1"/>
  <c r="Q65" i="67"/>
  <c r="Q75" i="67" s="1"/>
  <c r="Q47" i="15"/>
  <c r="Q53" i="15" s="1"/>
  <c r="B2" i="15"/>
  <c r="B3" i="15" s="1"/>
  <c r="Q56" i="15"/>
  <c r="Q65" i="15"/>
  <c r="C43" i="15"/>
  <c r="C83" i="15"/>
  <c r="C82" i="15" s="1"/>
  <c r="D20" i="9"/>
  <c r="B6" i="76"/>
  <c r="L51" i="15"/>
  <c r="L51" i="67"/>
  <c r="D19" i="9"/>
  <c r="C41" i="68" l="1"/>
  <c r="C46" i="68"/>
  <c r="C45" i="68" s="1"/>
  <c r="C49" i="68" s="1"/>
  <c r="C51" i="68" s="1"/>
  <c r="R27" i="6"/>
  <c r="R6" i="1"/>
  <c r="C39" i="11"/>
  <c r="C42" i="11"/>
  <c r="D14" i="71"/>
  <c r="C13" i="71"/>
  <c r="L57" i="15"/>
  <c r="L60" i="15" s="1"/>
  <c r="Q66" i="15" s="1"/>
  <c r="Q75" i="15" s="1"/>
  <c r="Q67" i="15"/>
  <c r="Q47" i="67"/>
  <c r="Q53" i="67" s="1"/>
  <c r="C45" i="67"/>
  <c r="C46" i="67" s="1"/>
  <c r="C83" i="67"/>
  <c r="C82" i="67" s="1"/>
  <c r="D2" i="67"/>
  <c r="B3" i="67" s="1"/>
  <c r="C80" i="67"/>
  <c r="C79" i="67" s="1"/>
  <c r="C43" i="67"/>
  <c r="Q69" i="67"/>
  <c r="Q68" i="67" s="1"/>
  <c r="C49" i="69"/>
  <c r="C51" i="69" s="1"/>
  <c r="C31" i="68"/>
  <c r="C31" i="69"/>
  <c r="B2" i="76"/>
  <c r="B3" i="76" s="1"/>
  <c r="D102" i="9"/>
  <c r="D21" i="9"/>
  <c r="D103" i="9"/>
  <c r="I63" i="40"/>
  <c r="H65" i="40"/>
  <c r="I67" i="39"/>
  <c r="H69" i="39"/>
  <c r="B3" i="43"/>
  <c r="Q67" i="67"/>
  <c r="B2" i="67"/>
  <c r="M21" i="67"/>
  <c r="F35" i="67"/>
  <c r="AO6" i="1"/>
  <c r="C20" i="9"/>
  <c r="C19" i="9"/>
  <c r="Q57" i="15" l="1"/>
  <c r="Q62" i="15" s="1"/>
  <c r="C52" i="68"/>
  <c r="B2" i="68" s="1"/>
  <c r="B3" i="68" s="1"/>
  <c r="F63" i="67"/>
  <c r="J20" i="67"/>
  <c r="C12" i="71"/>
  <c r="D13" i="71"/>
  <c r="C43" i="11"/>
  <c r="C41" i="11" s="1"/>
  <c r="C49" i="11" s="1"/>
  <c r="C51" i="11" s="1"/>
  <c r="R16" i="1"/>
  <c r="C46" i="11"/>
  <c r="C45" i="11" s="1"/>
  <c r="C52" i="69"/>
  <c r="C57" i="69" s="1"/>
  <c r="C56" i="69" s="1"/>
  <c r="C57" i="68"/>
  <c r="C56" i="68" s="1"/>
  <c r="B2" i="69"/>
  <c r="B3" i="69" s="1"/>
  <c r="I69" i="39"/>
  <c r="J67" i="39"/>
  <c r="J63" i="40"/>
  <c r="I65" i="40"/>
  <c r="G20" i="9"/>
  <c r="C103" i="9"/>
  <c r="B6" i="70"/>
  <c r="B2" i="70" s="1"/>
  <c r="B3" i="70" s="1"/>
  <c r="C21" i="9"/>
  <c r="D22" i="9"/>
  <c r="C102" i="9"/>
  <c r="G19" i="9"/>
  <c r="C52" i="11" l="1"/>
  <c r="B2" i="11" s="1"/>
  <c r="B3" i="11" s="1"/>
  <c r="C56" i="11"/>
  <c r="C57" i="11" s="1"/>
  <c r="C11" i="71"/>
  <c r="D12" i="71"/>
  <c r="U12" i="71" s="1"/>
  <c r="T12" i="71"/>
  <c r="J69" i="39"/>
  <c r="K67" i="39"/>
  <c r="J65" i="40"/>
  <c r="K63" i="40"/>
  <c r="G21" i="9"/>
  <c r="D14" i="74"/>
  <c r="G24" i="9"/>
  <c r="C32" i="9"/>
  <c r="G22" i="9"/>
  <c r="C10" i="71" l="1"/>
  <c r="D11" i="71"/>
  <c r="L67" i="39"/>
  <c r="K69" i="39"/>
  <c r="L63" i="40"/>
  <c r="K65" i="40"/>
  <c r="C35" i="9"/>
  <c r="C34" i="9" s="1"/>
  <c r="E14" i="74"/>
  <c r="B5" i="74"/>
  <c r="F14" i="74"/>
  <c r="D10" i="71" l="1"/>
  <c r="C9" i="71"/>
  <c r="L65" i="40"/>
  <c r="M63" i="40"/>
  <c r="M67" i="39"/>
  <c r="L69" i="39"/>
  <c r="D5" i="74"/>
  <c r="D9" i="71" l="1"/>
  <c r="C8" i="71"/>
  <c r="N67" i="39"/>
  <c r="M69" i="39"/>
  <c r="M65" i="40"/>
  <c r="N63" i="40"/>
  <c r="C7" i="71" l="1"/>
  <c r="D8" i="71"/>
  <c r="O63" i="40"/>
  <c r="O65" i="40" s="1"/>
  <c r="N65" i="40"/>
  <c r="N69" i="39"/>
  <c r="O67" i="39"/>
  <c r="O69" i="39" s="1"/>
  <c r="D7" i="71" l="1"/>
  <c r="C6" i="71"/>
  <c r="F7" i="39"/>
  <c r="J7" i="39"/>
  <c r="H7" i="39"/>
  <c r="H7" i="40"/>
  <c r="J7" i="40"/>
  <c r="F7" i="40"/>
  <c r="D6" i="71" l="1"/>
  <c r="C5" i="71"/>
  <c r="AB7" i="40"/>
  <c r="T42" i="40" s="1"/>
  <c r="G42" i="40" s="1"/>
  <c r="U7" i="40"/>
  <c r="AB7" i="39"/>
  <c r="T47" i="39" s="1"/>
  <c r="G47" i="39" s="1"/>
  <c r="U7" i="39"/>
  <c r="AA7" i="40"/>
  <c r="R42" i="40" s="1"/>
  <c r="S7" i="40"/>
  <c r="W7" i="39"/>
  <c r="AC7" i="39"/>
  <c r="V47" i="39" s="1"/>
  <c r="I47" i="39" s="1"/>
  <c r="W7" i="40"/>
  <c r="AC7" i="40"/>
  <c r="V42" i="40" s="1"/>
  <c r="I42" i="40" s="1"/>
  <c r="AA7" i="39"/>
  <c r="R47" i="39" s="1"/>
  <c r="S7" i="39"/>
  <c r="D5" i="71" l="1"/>
  <c r="M24" i="43"/>
  <c r="G52" i="39"/>
  <c r="H52" i="39" s="1"/>
  <c r="G51" i="39"/>
  <c r="H51" i="39" s="1"/>
  <c r="I51" i="39"/>
  <c r="J51" i="39" s="1"/>
  <c r="E47" i="39"/>
  <c r="I52" i="39" s="1"/>
  <c r="J52" i="39" s="1"/>
  <c r="R48" i="39"/>
  <c r="I46" i="40"/>
  <c r="J46" i="40" s="1"/>
  <c r="R43" i="40"/>
  <c r="E42" i="40"/>
  <c r="I47" i="40" s="1"/>
  <c r="J47" i="40" s="1"/>
  <c r="G46" i="40"/>
  <c r="H46" i="40" s="1"/>
  <c r="G47" i="40"/>
  <c r="H47" i="40" s="1"/>
  <c r="C47" i="39" l="1"/>
  <c r="C48" i="39"/>
  <c r="E46" i="40"/>
  <c r="F46" i="40" s="1"/>
  <c r="E47" i="40"/>
  <c r="F47" i="40" s="1"/>
  <c r="C43" i="40"/>
  <c r="C42" i="40"/>
  <c r="E52" i="39"/>
  <c r="F52" i="39" s="1"/>
  <c r="E51" i="39"/>
  <c r="F51" i="39" s="1"/>
  <c r="B63" i="39" l="1"/>
  <c r="F63" i="39" s="1"/>
  <c r="B57" i="39"/>
  <c r="F57" i="39" s="1"/>
  <c r="B64" i="39"/>
  <c r="F64" i="39" s="1"/>
  <c r="B56" i="39"/>
  <c r="F56" i="39" s="1"/>
  <c r="F65" i="39" s="1"/>
  <c r="B2" i="39" s="1"/>
  <c r="B3" i="39" s="1"/>
  <c r="B62" i="39"/>
  <c r="F62" i="39" s="1"/>
  <c r="B61" i="39"/>
  <c r="F61" i="39" s="1"/>
  <c r="B59" i="39"/>
  <c r="F59" i="39" s="1"/>
  <c r="B60" i="39"/>
  <c r="F60" i="39" s="1"/>
  <c r="B58" i="39"/>
  <c r="F58" i="39" s="1"/>
  <c r="B57" i="40"/>
  <c r="F57" i="40" s="1"/>
  <c r="B56" i="40"/>
  <c r="F56" i="40" s="1"/>
  <c r="B52" i="40"/>
  <c r="F52" i="40" s="1"/>
  <c r="B53" i="40"/>
  <c r="F53" i="40" s="1"/>
  <c r="B51" i="40"/>
  <c r="F51" i="40" s="1"/>
  <c r="B58" i="40"/>
  <c r="F58" i="40" s="1"/>
  <c r="B54" i="40"/>
  <c r="F54" i="40" s="1"/>
  <c r="B60" i="40"/>
  <c r="F60" i="40" s="1"/>
  <c r="F61" i="40"/>
  <c r="B2" i="40" s="1"/>
  <c r="B3" i="40" s="1"/>
  <c r="B59" i="40"/>
  <c r="F59" i="40" s="1"/>
  <c r="M54" i="9" l="1"/>
  <c r="D56" i="9"/>
  <c r="D58" i="9"/>
  <c r="C97" i="9"/>
  <c r="C86" i="9"/>
  <c r="C93" i="9"/>
  <c r="M55" i="9"/>
  <c r="D59" i="9"/>
  <c r="H5" i="52"/>
  <c r="H119" i="9"/>
  <c r="E81" i="9"/>
  <c r="E80" i="9"/>
  <c r="C80" i="9"/>
  <c r="C73" i="9"/>
  <c r="C78" i="9"/>
  <c r="C6" i="74"/>
  <c r="D54" i="9"/>
  <c r="C64" i="9"/>
  <c r="C63" i="9"/>
  <c r="C67" i="9"/>
  <c r="C68" i="9"/>
  <c r="B53" i="72"/>
  <c r="F5" i="52"/>
  <c r="F119" i="9"/>
  <c r="C5" i="74"/>
  <c r="M48" i="9"/>
  <c r="B51" i="72"/>
  <c r="F4" i="52"/>
  <c r="B48" i="72"/>
  <c r="E4" i="52"/>
  <c r="E97" i="9"/>
  <c r="E96" i="9"/>
  <c r="C85" i="9"/>
  <c r="C95" i="9"/>
  <c r="C96" i="9"/>
  <c r="C105" i="9"/>
  <c r="I4" i="52"/>
  <c r="D9" i="52"/>
  <c r="D123" i="9"/>
  <c r="D4" i="52"/>
  <c r="B47" i="72"/>
  <c r="C72" i="9"/>
  <c r="C79" i="9"/>
  <c r="C81" i="9"/>
  <c r="H102" i="9"/>
  <c r="D7" i="53"/>
  <c r="B21" i="72"/>
  <c r="B32" i="72"/>
  <c r="D14" i="53"/>
  <c r="D122" i="9"/>
  <c r="D8" i="52"/>
  <c r="D13" i="53"/>
  <c r="B30" i="72"/>
  <c r="B20" i="72"/>
  <c r="D5" i="53"/>
  <c r="D6" i="53"/>
  <c r="B22" i="72"/>
  <c r="N60" i="9"/>
  <c r="N59" i="9"/>
  <c r="N61" i="9"/>
  <c r="F118" i="9"/>
  <c r="G118" i="9"/>
  <c r="G4" i="52"/>
  <c r="B52" i="72"/>
  <c r="N58" i="9"/>
  <c r="D55" i="9"/>
  <c r="M53" i="9"/>
  <c r="N57" i="9"/>
  <c r="P57" i="9"/>
  <c r="H4" i="52"/>
  <c r="C104" i="9"/>
  <c r="H107" i="9"/>
  <c r="H108" i="9"/>
  <c r="D15" i="53"/>
  <c r="B31" i="72"/>
  <c r="D53" i="9"/>
  <c r="H101" i="9"/>
  <c r="D45" i="9"/>
  <c r="D52" i="9"/>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<sst xmlns="http://schemas.openxmlformats.org/spreadsheetml/2006/main" count="8123" uniqueCount="3552">
  <si>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</si>
  <si>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</si>
  <si>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</si>
  <si>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</si>
  <si>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</si>
  <si>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</si>
  <si>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</si>
  <si>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</si>
  <si>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</si>
  <si>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</si>
  <si>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</si>
  <si>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</si>
  <si>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</si>
  <si>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</si>
  <si>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</si>
  <si>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</si>
  <si>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</si>
  <si>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</si>
  <si>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</si>
  <si>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</si>
  <si>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</si>
  <si>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</si>
  <si>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</si>
  <si>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</si>
  <si>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</si>
  <si>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</si>
  <si>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</si>
  <si>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</si>
  <si>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</si>
  <si>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</si>
  <si>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</si>
  <si>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</si>
  <si>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</si>
  <si>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</si>
  <si>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</si>
  <si>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</si>
  <si>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</si>
  <si>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</si>
  <si>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</si>
  <si>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</si>
  <si>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</si>
  <si>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</si>
  <si>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</si>
  <si>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</si>
  <si>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</si>
  <si>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</si>
  <si>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</si>
  <si>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</si>
  <si>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</si>
  <si>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</si>
  <si>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</si>
  <si>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</si>
  <si>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</si>
  <si>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</si>
  <si>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</si>
  <si>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</si>
  <si>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</si>
  <si>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</si>
  <si>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</si>
  <si>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</si>
  <si>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</si>
  <si>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</si>
  <si>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</si>
  <si>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</si>
  <si>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</si>
  <si>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</si>
  <si>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</si>
  <si>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</si>
  <si>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</si>
  <si>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</si>
  <si>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</si>
  <si>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</si>
  <si>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</si>
  <si>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</si>
  <si>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</si>
  <si>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</si>
  <si>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</si>
  <si>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</si>
  <si>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</si>
  <si>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</si>
  <si>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</si>
  <si>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</si>
  <si>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</si>
  <si>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</si>
  <si>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</si>
  <si>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</si>
  <si>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</si>
  <si>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</si>
  <si>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</si>
  <si>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</si>
  <si>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</si>
  <si>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</si>
  <si>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</si>
  <si>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</si>
  <si>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</si>
  <si>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</si>
  <si>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</si>
  <si>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</si>
  <si>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</si>
  <si>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</si>
  <si>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</si>
  <si>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</si>
  <si>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</si>
  <si>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</si>
  <si>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</si>
  <si>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</si>
  <si>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</si>
  <si>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</si>
  <si>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</si>
  <si>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</si>
  <si>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</si>
  <si>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</si>
  <si>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</si>
  <si>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</si>
  <si>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</si>
  <si>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</si>
  <si>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</si>
  <si>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</si>
  <si>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</si>
  <si>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</si>
  <si>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</si>
  <si>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</si>
  <si>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</si>
  <si>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</si>
  <si>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</si>
  <si>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</si>
  <si>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</si>
  <si>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</si>
  <si>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</si>
  <si>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</si>
  <si>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</si>
  <si>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</si>
  <si>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</si>
  <si>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</si>
  <si>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</si>
  <si>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</si>
  <si>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</si>
  <si>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</si>
  <si>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</si>
  <si>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</si>
  <si>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</si>
  <si>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</si>
  <si>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</si>
  <si>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</si>
  <si>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</si>
  <si>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</si>
  <si>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</si>
  <si>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</si>
  <si>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</si>
  <si>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</si>
  <si>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</si>
  <si>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</si>
  <si>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</si>
  <si>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</si>
  <si>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</si>
  <si>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</si>
  <si>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</si>
  <si>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</si>
  <si>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</si>
  <si>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</si>
  <si>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</si>
  <si>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</si>
  <si>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</si>
  <si>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</si>
  <si>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</si>
  <si>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</si>
  <si>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</si>
  <si>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</si>
  <si>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</si>
  <si>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</si>
  <si>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</si>
  <si>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</si>
  <si>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</si>
  <si>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</si>
  <si>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</si>
  <si>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</si>
  <si>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</si>
  <si>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</si>
  <si>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</si>
  <si>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</si>
  <si>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</si>
  <si>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</si>
  <si>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</si>
  <si>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</si>
  <si>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</si>
  <si>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</si>
  <si>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</si>
  <si>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</si>
  <si>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</si>
  <si>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</si>
  <si>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</si>
  <si>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</si>
  <si>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</si>
  <si>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</si>
  <si>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</si>
  <si>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</si>
  <si>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</si>
  <si>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</si>
  <si>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</si>
  <si>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</si>
  <si>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</si>
  <si>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</si>
  <si>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</si>
  <si>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</si>
  <si>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</si>
  <si>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</si>
  <si>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</si>
  <si>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</si>
  <si>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</si>
  <si>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</si>
  <si>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</si>
  <si>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</si>
  <si>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</si>
  <si>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</si>
  <si>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</si>
  <si>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</si>
  <si>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</si>
  <si>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</si>
  <si>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</si>
  <si>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</si>
  <si>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</si>
  <si>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</si>
  <si>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</si>
  <si>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</si>
  <si>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</si>
  <si>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</si>
  <si>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</si>
  <si>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</si>
  <si>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</si>
  <si>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</si>
  <si>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</si>
  <si>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</si>
  <si>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</si>
  <si>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</si>
  <si>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</si>
  <si>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</si>
  <si>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</si>
  <si>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</si>
  <si>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</si>
  <si>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</si>
  <si>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</si>
  <si>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</si>
  <si>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</si>
  <si>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</si>
  <si>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</si>
  <si>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</si>
  <si>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</si>
  <si>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</si>
  <si>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</si>
  <si>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</si>
  <si>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</si>
  <si>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</si>
  <si>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</si>
  <si>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</si>
  <si>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</si>
  <si>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</si>
  <si>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</si>
  <si>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</si>
  <si>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</si>
  <si>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</si>
  <si>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</si>
  <si>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</si>
  <si>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</si>
  <si>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</si>
  <si>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</si>
  <si>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</si>
  <si>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</si>
  <si>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</si>
  <si>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</si>
  <si>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</si>
  <si>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</si>
  <si>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</si>
  <si>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</si>
  <si>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</si>
  <si>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</si>
  <si>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</si>
  <si>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</si>
  <si>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</si>
  <si>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</si>
  <si>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</si>
  <si>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</si>
  <si>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</si>
  <si>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</si>
  <si>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</si>
  <si>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</si>
  <si>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</si>
  <si>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</si>
  <si>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</si>
  <si>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</si>
  <si>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</si>
  <si>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</si>
  <si>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</si>
  <si>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</si>
  <si>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</si>
  <si>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</si>
  <si>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</si>
  <si>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</si>
  <si>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</si>
  <si>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</si>
  <si>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</si>
  <si>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</si>
  <si>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</si>
  <si>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</si>
  <si>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</si>
  <si>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</si>
  <si>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</si>
  <si>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</si>
  <si>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</si>
  <si>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</si>
  <si>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</si>
  <si>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</si>
  <si>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</si>
  <si>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</si>
  <si>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</si>
  <si>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</si>
  <si>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</si>
  <si>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</si>
  <si>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</si>
  <si>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</si>
  <si>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</si>
  <si>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</si>
  <si>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</si>
  <si>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</si>
  <si>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</si>
  <si>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</si>
  <si>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</si>
  <si>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</si>
  <si>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</si>
  <si>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</si>
  <si>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</si>
  <si>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</si>
  <si>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</si>
  <si>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</si>
  <si>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</si>
  <si>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</si>
  <si>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</si>
  <si>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</si>
  <si>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</si>
  <si>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</si>
  <si>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</si>
  <si>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</si>
  <si>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</si>
  <si>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</si>
  <si>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</si>
  <si>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</si>
  <si>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</si>
  <si>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</si>
  <si>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</si>
  <si>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</si>
  <si>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</si>
  <si>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</si>
  <si>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</si>
  <si>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</si>
  <si>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</si>
  <si>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</si>
  <si>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</si>
  <si>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</si>
  <si>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</si>
  <si>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</si>
  <si>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</si>
  <si>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</si>
  <si>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</si>
  <si>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</si>
  <si>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</si>
  <si>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</si>
  <si>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</si>
  <si>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</si>
  <si>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</si>
  <si>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</si>
  <si>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</si>
  <si>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</si>
  <si>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</si>
  <si>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</si>
  <si>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</si>
  <si>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</si>
  <si>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</si>
  <si>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</si>
  <si>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</si>
  <si>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</si>
  <si>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</si>
  <si>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</si>
  <si>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</si>
  <si>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</si>
  <si>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</si>
  <si>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</si>
  <si>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</si>
  <si>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</si>
  <si>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</si>
  <si>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</si>
  <si>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</si>
  <si>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</si>
  <si>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</si>
  <si>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</si>
  <si>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</si>
  <si>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</si>
  <si>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</si>
  <si>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</si>
  <si>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</si>
  <si>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</si>
  <si>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</si>
  <si>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</si>
  <si>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</si>
  <si>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</si>
  <si>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</si>
  <si>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</si>
  <si>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</si>
  <si>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</si>
  <si>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</si>
  <si>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</si>
  <si>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</si>
  <si>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</si>
  <si>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</si>
  <si>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</si>
  <si>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</si>
  <si>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</si>
  <si>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</si>
  <si>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</si>
  <si>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</si>
  <si>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</si>
  <si>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</si>
  <si>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</si>
  <si>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</si>
  <si>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</si>
  <si>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</si>
  <si>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</si>
  <si>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</si>
  <si>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</si>
  <si>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</si>
  <si>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</si>
  <si>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</si>
  <si>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</si>
  <si>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</si>
  <si>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</si>
  <si>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</si>
  <si>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</si>
  <si>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</si>
  <si>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</si>
  <si>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</si>
  <si>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</si>
  <si>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</si>
  <si>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</si>
  <si>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</si>
  <si>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</si>
  <si>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</si>
  <si>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</si>
  <si>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</si>
  <si>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</si>
  <si>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</si>
  <si>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</si>
  <si>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</si>
  <si>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</si>
  <si>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</si>
  <si>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</si>
  <si>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</si>
  <si>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</si>
  <si>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</si>
  <si>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</si>
  <si>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</si>
  <si>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</si>
  <si>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</si>
  <si>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</si>
  <si>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</si>
  <si>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</si>
  <si>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</si>
  <si>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</si>
  <si>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</si>
  <si>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</si>
  <si>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</si>
  <si>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</si>
  <si>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</si>
  <si>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</si>
  <si>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</si>
  <si>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</si>
  <si>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</si>
  <si>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</si>
  <si>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</si>
  <si>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</si>
  <si>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</si>
  <si>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</si>
  <si>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</si>
  <si>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</si>
  <si>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</si>
  <si>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</si>
  <si>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</si>
  <si>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</si>
  <si>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</si>
  <si>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</si>
  <si>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</si>
  <si>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</si>
  <si>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</si>
  <si>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</si>
  <si>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</si>
  <si>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</si>
  <si>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</si>
  <si>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</si>
  <si>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</si>
  <si>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</si>
  <si>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</si>
  <si>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</si>
  <si>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</si>
  <si>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</si>
  <si>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</si>
  <si>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</si>
  <si>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</si>
  <si>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</si>
  <si>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</si>
  <si>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</si>
  <si>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</si>
  <si>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</si>
  <si>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</si>
  <si>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</si>
  <si>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</si>
  <si>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</si>
  <si>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</si>
  <si>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</si>
  <si>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</si>
  <si>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</si>
  <si>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</si>
  <si>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</si>
  <si>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</si>
  <si>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</si>
  <si>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</si>
  <si>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</si>
  <si>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</si>
  <si>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</si>
  <si>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</si>
  <si>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</si>
  <si>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</si>
  <si>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</si>
  <si>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</si>
  <si>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</si>
  <si>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</si>
  <si>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</si>
  <si>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</si>
  <si>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</si>
  <si>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</si>
  <si>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</si>
  <si>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</si>
  <si>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</si>
  <si>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</si>
  <si>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</si>
  <si>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</si>
  <si>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</si>
  <si>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</si>
  <si>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</si>
  <si>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</si>
  <si>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</si>
  <si>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</si>
  <si>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</si>
  <si>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</si>
  <si>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</si>
  <si>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</si>
  <si>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</si>
  <si>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</si>
  <si>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</si>
  <si>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</si>
  <si>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</si>
  <si>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</si>
  <si>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</si>
  <si>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</si>
  <si>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</si>
  <si>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</si>
  <si>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</si>
  <si>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</si>
  <si>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</si>
  <si>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</si>
  <si>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</si>
  <si>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</si>
  <si>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</si>
  <si>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</si>
  <si>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</si>
  <si>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</si>
  <si>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</si>
  <si>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</si>
  <si>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</si>
  <si>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</si>
  <si>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</si>
  <si>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</si>
  <si>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</si>
  <si>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</si>
  <si>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</si>
  <si>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</si>
  <si>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</si>
  <si>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</si>
  <si>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</si>
  <si>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</si>
  <si>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</si>
  <si>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</si>
  <si>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</si>
  <si>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</si>
  <si>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</si>
  <si>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</si>
  <si>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</si>
  <si>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</si>
  <si>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</si>
  <si>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</si>
  <si>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</si>
  <si>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</si>
  <si>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</si>
  <si>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</si>
  <si>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</si>
  <si>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</si>
  <si>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</si>
  <si>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</si>
  <si>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</si>
  <si>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</si>
  <si>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</si>
  <si>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</si>
  <si>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</si>
  <si>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</si>
  <si>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</si>
  <si>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</si>
  <si>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</si>
  <si>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</si>
  <si>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</si>
  <si>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</si>
  <si>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</si>
  <si>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</si>
  <si>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</si>
  <si>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</si>
  <si>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</si>
  <si>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</si>
  <si>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</si>
  <si>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</si>
  <si>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</si>
  <si>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</si>
  <si>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</si>
  <si>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</si>
  <si>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</si>
  <si>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</si>
  <si>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</si>
  <si>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</si>
  <si>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</si>
  <si>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</si>
  <si>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</si>
  <si>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</si>
  <si>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</si>
  <si>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</si>
  <si>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</si>
  <si>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</si>
  <si>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</si>
  <si>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</si>
  <si>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</si>
  <si>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</si>
  <si>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</si>
  <si>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</si>
  <si>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</si>
  <si>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</si>
  <si>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</si>
  <si>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</si>
  <si>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</si>
  <si>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</si>
  <si>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</si>
  <si>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</si>
  <si>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</si>
  <si>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</si>
  <si>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</si>
  <si>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</si>
  <si>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</si>
  <si>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</si>
  <si>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</si>
  <si>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</si>
  <si>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</si>
  <si>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</si>
  <si>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</si>
  <si>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</si>
  <si>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</si>
  <si>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</si>
  <si>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</si>
  <si>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</si>
  <si>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</si>
  <si>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</si>
  <si>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</si>
  <si>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</si>
  <si>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</si>
  <si>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</si>
  <si>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</si>
  <si>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</si>
  <si>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</si>
  <si>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</si>
  <si>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</si>
  <si>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</si>
  <si>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</si>
  <si>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</si>
  <si>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</si>
  <si>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</si>
  <si>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</si>
  <si>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</si>
  <si>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</si>
  <si>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</si>
  <si>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</si>
  <si>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</si>
  <si>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</si>
  <si>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</si>
  <si>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</si>
  <si>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</si>
  <si>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</si>
  <si>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</si>
  <si>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</si>
  <si>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</si>
  <si>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</si>
  <si>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</si>
  <si>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</si>
  <si>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</si>
  <si>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</si>
  <si>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</si>
  <si>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</si>
  <si>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</si>
  <si>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</si>
  <si>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</si>
  <si>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</si>
  <si>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</si>
  <si>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</si>
  <si>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</si>
  <si>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</si>
  <si>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</si>
  <si>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</si>
  <si>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</si>
  <si>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</si>
  <si>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</si>
  <si>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</si>
  <si>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</si>
  <si>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</si>
  <si>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</si>
  <si>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</si>
  <si>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</si>
  <si>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</si>
  <si>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</si>
  <si>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</si>
  <si>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</si>
  <si>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</si>
  <si>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</si>
  <si>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</si>
  <si>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</si>
  <si>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</si>
  <si>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</si>
  <si>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</si>
  <si>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</si>
  <si>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</si>
  <si>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</si>
  <si>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</si>
  <si>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</si>
  <si>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</si>
  <si>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</si>
  <si>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</si>
  <si>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</si>
  <si>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</si>
  <si>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</si>
  <si>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</si>
  <si>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</si>
  <si>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</si>
  <si>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</si>
  <si>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</si>
  <si>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</si>
  <si>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</si>
  <si>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</si>
  <si>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</si>
  <si>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</si>
  <si>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</si>
  <si>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</si>
  <si>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</si>
  <si>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</si>
  <si>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</si>
  <si>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</si>
  <si>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</si>
  <si>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</si>
  <si>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</si>
  <si>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</si>
  <si>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</si>
  <si>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</si>
  <si>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</si>
  <si>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</si>
  <si>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</si>
  <si>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</si>
  <si>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</si>
  <si>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</si>
  <si>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</si>
  <si>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</si>
  <si>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</si>
  <si>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</si>
  <si>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</si>
  <si>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</si>
  <si>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</si>
  <si>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</si>
  <si>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</si>
  <si>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</si>
  <si>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</si>
  <si>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</si>
  <si>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</si>
  <si>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</si>
  <si>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</si>
  <si>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</si>
  <si>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</si>
  <si>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</si>
  <si>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</si>
  <si>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</si>
  <si>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</si>
  <si>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</si>
  <si>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</si>
  <si>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</si>
  <si>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</si>
  <si>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</si>
  <si>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</si>
  <si>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</si>
  <si>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</si>
  <si>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</si>
  <si>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</si>
  <si>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</si>
  <si>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</si>
  <si>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</si>
  <si>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</si>
  <si>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</si>
  <si>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</si>
  <si>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</si>
  <si>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</si>
  <si>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</si>
  <si>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</si>
  <si>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</si>
  <si>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</si>
  <si>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</si>
  <si>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</si>
  <si>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</si>
  <si>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</si>
  <si>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</si>
  <si>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</si>
  <si>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</si>
  <si>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</si>
  <si>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</si>
  <si>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</si>
  <si>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</si>
  <si>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</si>
  <si>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</si>
  <si>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</si>
  <si>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</si>
  <si>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</si>
  <si>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</si>
  <si>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</si>
  <si>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</si>
  <si>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</si>
  <si>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</si>
  <si>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</si>
  <si>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</si>
  <si>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</si>
  <si>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</si>
  <si>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</si>
  <si>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</si>
  <si>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</si>
  <si>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</si>
  <si>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</si>
  <si>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</si>
  <si>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</si>
  <si>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</si>
  <si>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</si>
  <si>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</si>
  <si>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</si>
  <si>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</si>
  <si>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</si>
  <si>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</si>
  <si>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</si>
  <si>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</si>
  <si>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</si>
  <si>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</si>
  <si>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</si>
  <si>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</si>
  <si>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</si>
  <si>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</si>
  <si>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</si>
  <si>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</si>
  <si>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</si>
  <si>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</si>
  <si>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</si>
  <si>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</si>
  <si>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</si>
  <si>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</si>
  <si>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</si>
  <si>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</si>
  <si>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</si>
  <si>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</si>
  <si>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</si>
  <si>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</si>
  <si>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</si>
  <si>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</si>
  <si>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</si>
  <si>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</si>
  <si>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</si>
  <si>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</si>
  <si>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</si>
  <si>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</si>
  <si>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</si>
  <si>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</si>
  <si>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</si>
  <si>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</si>
  <si>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</si>
  <si>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</si>
  <si>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</si>
  <si>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</si>
  <si>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</si>
  <si>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</si>
  <si>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</si>
  <si>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</si>
  <si>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</si>
  <si>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</si>
  <si>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</si>
  <si>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</si>
  <si>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</si>
  <si>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</si>
  <si>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</si>
  <si>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</si>
  <si>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</si>
  <si>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</si>
  <si>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</si>
  <si>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</si>
  <si>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</si>
  <si>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</si>
  <si>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</si>
  <si>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</si>
  <si>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</si>
  <si>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</si>
  <si>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</si>
  <si>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</si>
  <si>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</si>
  <si>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</si>
  <si>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</si>
  <si>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</si>
  <si>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</si>
  <si>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</si>
  <si>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</si>
  <si>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</si>
  <si>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</si>
  <si>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</si>
  <si>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</si>
  <si>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</si>
  <si>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</si>
  <si>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</si>
  <si>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</si>
  <si>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</si>
  <si>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</si>
  <si>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</si>
  <si>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</si>
  <si>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</si>
  <si>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</si>
  <si>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</si>
  <si>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</si>
  <si>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</si>
  <si>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</si>
  <si>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</si>
  <si>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</si>
  <si>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</si>
  <si>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</si>
  <si>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</si>
  <si>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</si>
  <si>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</si>
  <si>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</si>
  <si>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</si>
  <si>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</si>
  <si>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</si>
  <si>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</si>
  <si>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</si>
  <si>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</si>
  <si>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</si>
  <si>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</si>
  <si>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</si>
  <si>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</si>
  <si>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</si>
  <si>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</si>
  <si>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</si>
  <si>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</si>
  <si>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</si>
  <si>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</si>
  <si>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</si>
  <si>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</si>
  <si>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</si>
  <si>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</si>
  <si>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</si>
  <si>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</si>
  <si>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</si>
  <si>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</si>
  <si>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</si>
  <si>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</si>
  <si>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</si>
  <si>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</si>
  <si>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</si>
  <si>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</si>
  <si>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</si>
  <si>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</si>
  <si>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</si>
  <si>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</si>
  <si>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</si>
  <si>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</si>
  <si>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</si>
  <si>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</si>
  <si>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</si>
  <si>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</si>
  <si>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</si>
  <si>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</si>
  <si>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</si>
  <si>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</si>
  <si>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</si>
  <si>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</si>
  <si>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</si>
  <si>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</si>
  <si>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</si>
  <si>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</si>
  <si>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</si>
  <si>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</si>
  <si>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</si>
  <si>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</si>
  <si>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</si>
  <si>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</si>
  <si>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</si>
  <si>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</si>
  <si>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</si>
  <si>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</si>
  <si>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</si>
  <si>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</si>
  <si>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</si>
  <si>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</si>
  <si>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</si>
  <si>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</si>
  <si>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</si>
  <si>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</si>
  <si>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</si>
  <si>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</si>
  <si>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</si>
  <si>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</si>
  <si>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</si>
  <si>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</si>
  <si>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</si>
  <si>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</si>
  <si>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</si>
  <si>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</si>
  <si>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</si>
  <si>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</si>
  <si>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</si>
  <si>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</si>
  <si>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</si>
  <si>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</si>
  <si>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</si>
  <si>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</si>
  <si>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</si>
  <si>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</si>
  <si>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</si>
  <si>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</si>
  <si>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</si>
  <si>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</si>
  <si>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</si>
  <si>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</si>
  <si>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</si>
  <si>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</si>
  <si>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</si>
  <si>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</si>
  <si>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</si>
  <si>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</si>
  <si>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</si>
  <si>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</si>
  <si>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</si>
  <si>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</si>
  <si>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</si>
  <si>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</si>
  <si>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</si>
  <si>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</si>
  <si>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</si>
  <si>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</si>
  <si>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</si>
  <si>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</si>
  <si>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</si>
  <si>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</si>
  <si>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</si>
  <si>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</si>
  <si>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</si>
  <si>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</si>
  <si>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</si>
  <si>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</si>
  <si>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</si>
  <si>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</si>
  <si>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</si>
  <si>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</si>
  <si>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</si>
  <si>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</si>
  <si>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</si>
  <si>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</si>
  <si>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</si>
  <si>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</si>
  <si>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</si>
  <si>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</si>
  <si>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</si>
  <si>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</si>
  <si>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</si>
  <si>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</si>
  <si>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</si>
  <si>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</si>
  <si>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</si>
  <si>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</si>
  <si>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</si>
  <si>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</si>
  <si>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</si>
  <si>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</si>
  <si>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</si>
  <si>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</si>
  <si>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</si>
  <si>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</si>
  <si>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</si>
  <si>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</si>
  <si>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</si>
  <si>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</si>
  <si>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</si>
  <si>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</si>
  <si>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</si>
  <si>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</si>
  <si>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</si>
  <si>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</si>
  <si>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</si>
  <si>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</si>
  <si>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</si>
  <si>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</si>
  <si>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</si>
  <si>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</si>
  <si>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</si>
  <si>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</si>
  <si>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</si>
  <si>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</si>
  <si>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</si>
  <si>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</si>
  <si>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</si>
  <si>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</si>
  <si>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</si>
  <si>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</si>
  <si>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</si>
  <si>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</si>
  <si>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</si>
  <si>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</si>
  <si>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</si>
  <si>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</si>
  <si>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</si>
  <si>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</si>
  <si>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</si>
  <si>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</si>
  <si>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</si>
  <si>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</si>
  <si>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</si>
  <si>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</si>
  <si>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</si>
  <si>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</si>
  <si>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</si>
  <si>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</si>
  <si>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</si>
  <si>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</si>
  <si>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</si>
  <si>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</si>
  <si>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</si>
  <si>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</si>
  <si>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</si>
  <si>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</si>
  <si>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</si>
  <si>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</si>
  <si>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</si>
  <si>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</si>
  <si>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</si>
  <si>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</si>
  <si>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</si>
  <si>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</si>
  <si>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</si>
  <si>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</si>
  <si>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</si>
  <si>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</si>
  <si>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</si>
  <si>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</si>
  <si>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</si>
  <si>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</si>
  <si>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</si>
  <si>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</si>
  <si>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</si>
  <si>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</si>
  <si>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</si>
  <si>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</si>
  <si>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</si>
  <si>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</si>
  <si>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</si>
  <si>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</si>
  <si>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</si>
  <si>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</si>
  <si>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</si>
  <si>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</si>
  <si>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</si>
  <si>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</si>
  <si>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</si>
  <si>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</si>
  <si>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</si>
  <si>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</si>
  <si>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</si>
  <si>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</si>
  <si>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</si>
  <si>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</si>
  <si>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</si>
  <si>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</si>
  <si>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</si>
  <si>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</si>
  <si>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</si>
  <si>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</si>
  <si>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</si>
  <si>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</si>
  <si>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</si>
  <si>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</si>
  <si>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</si>
  <si>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</si>
  <si>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</si>
  <si>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</si>
  <si>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</si>
  <si>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</si>
  <si>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</si>
  <si>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</si>
  <si>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</si>
  <si>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</si>
  <si>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</si>
  <si>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</si>
  <si>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</si>
  <si>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</si>
  <si>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</si>
  <si>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</si>
  <si>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</si>
  <si>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</si>
  <si>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</si>
  <si>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</si>
  <si>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</si>
  <si>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</si>
  <si>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</si>
  <si>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</si>
  <si>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</si>
  <si>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</si>
  <si>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</si>
  <si>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</si>
  <si>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</si>
  <si>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</si>
  <si>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</si>
  <si>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</si>
  <si>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</si>
  <si>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</si>
  <si>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</si>
  <si>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</si>
  <si>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</si>
  <si>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</si>
  <si>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</si>
  <si>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</si>
  <si>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</si>
  <si>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</si>
  <si>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</si>
  <si>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</si>
  <si>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</si>
  <si>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</si>
  <si>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</si>
  <si>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</si>
  <si>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</si>
  <si>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</si>
  <si>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</si>
  <si>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</si>
  <si>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</si>
  <si>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</si>
  <si>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</si>
  <si>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</si>
  <si>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</si>
  <si>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</si>
  <si>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</si>
  <si>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</si>
  <si>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</si>
  <si>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</si>
  <si>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</si>
  <si>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</si>
  <si>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</si>
  <si>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</si>
  <si>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</si>
  <si>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</si>
  <si>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</si>
  <si>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</si>
  <si>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</si>
  <si>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</si>
  <si>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</si>
  <si>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</si>
  <si>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</si>
  <si>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</si>
  <si>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</si>
  <si>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</si>
  <si>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</si>
  <si>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</si>
  <si>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</si>
  <si>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</si>
  <si>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</si>
  <si>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</si>
  <si>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</si>
  <si>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</si>
  <si>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</si>
  <si>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</si>
  <si>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</si>
  <si>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</si>
  <si>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</si>
  <si>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</si>
  <si>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</si>
  <si>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</si>
  <si>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</si>
  <si>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</si>
  <si>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</si>
  <si>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</si>
  <si>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</si>
  <si>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</si>
  <si>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</si>
  <si>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</si>
  <si>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</si>
  <si>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</si>
  <si>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</si>
  <si>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</si>
  <si>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</si>
  <si>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</si>
  <si>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</si>
  <si>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</si>
  <si>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</si>
  <si>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</si>
  <si>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</si>
  <si>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</si>
  <si>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</si>
  <si>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</si>
  <si>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</si>
  <si>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</si>
  <si>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</si>
  <si>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</si>
  <si>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</si>
  <si>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</si>
  <si>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</si>
  <si>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</si>
  <si>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</si>
  <si>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</si>
  <si>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</si>
  <si>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</si>
  <si>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</si>
  <si>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</si>
  <si>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</si>
  <si>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</si>
  <si>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</si>
  <si>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</si>
  <si>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</si>
  <si>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</si>
  <si>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</si>
  <si>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</si>
  <si>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</si>
  <si>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</si>
  <si>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</si>
  <si>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</si>
  <si>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</si>
  <si>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</si>
  <si>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</si>
  <si>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</si>
  <si>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</si>
  <si>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</si>
  <si>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</si>
  <si>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</si>
  <si>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</si>
  <si>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</si>
  <si>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</si>
  <si>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</si>
  <si>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</si>
  <si>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</si>
  <si>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</si>
  <si>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</si>
  <si>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</si>
  <si>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</si>
  <si>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</si>
  <si>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</si>
  <si>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</si>
  <si>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</si>
  <si>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</si>
  <si>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</si>
  <si>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</si>
  <si>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</si>
  <si>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</si>
  <si>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</si>
  <si>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</si>
  <si>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</si>
  <si>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</si>
  <si>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</si>
  <si>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</si>
  <si>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</si>
  <si>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</si>
  <si>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</si>
  <si>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</si>
  <si>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</si>
  <si>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</si>
  <si>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</si>
  <si>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</si>
  <si>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</si>
  <si>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</si>
  <si>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</si>
  <si>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</si>
  <si>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</si>
  <si>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</si>
  <si>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</si>
  <si>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</si>
  <si>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</si>
  <si>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</si>
  <si>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</si>
  <si>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</si>
  <si>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</si>
  <si>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</si>
  <si>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</si>
  <si>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</si>
  <si>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</si>
  <si>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</si>
  <si>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</si>
  <si>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</si>
  <si>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</si>
  <si>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</si>
  <si>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</si>
  <si>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</si>
  <si>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</si>
  <si>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</si>
  <si>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</si>
  <si>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</si>
  <si>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</si>
  <si>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</si>
  <si>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</si>
  <si>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</si>
  <si>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</si>
  <si>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</si>
  <si>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</si>
  <si>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</si>
  <si>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</si>
  <si>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</si>
  <si>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</si>
  <si>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</si>
  <si>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</si>
  <si>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</si>
  <si>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</si>
  <si>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</si>
  <si>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</si>
  <si>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</si>
  <si>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</si>
  <si>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</si>
  <si>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</si>
  <si>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</si>
  <si>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</si>
  <si>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</si>
  <si>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</si>
  <si>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</si>
  <si>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</si>
  <si>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</si>
  <si>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</si>
  <si>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</si>
  <si>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</si>
  <si>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</si>
  <si>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</si>
  <si>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</si>
  <si>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</si>
  <si>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</si>
  <si>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</si>
  <si>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</si>
  <si>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</si>
  <si>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</si>
  <si>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</si>
  <si>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</si>
  <si>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</si>
  <si>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</si>
  <si>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</si>
  <si>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</si>
  <si>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</si>
  <si>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</si>
  <si>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</si>
  <si>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</si>
  <si>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</si>
  <si>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</si>
  <si>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</si>
  <si>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</si>
  <si>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</si>
  <si>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</si>
  <si>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</si>
  <si>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</si>
  <si>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</si>
  <si>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</si>
  <si>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</si>
  <si>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</si>
  <si>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</si>
  <si>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</si>
  <si>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</si>
  <si>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</si>
  <si>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</si>
  <si>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</si>
  <si>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</si>
  <si>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</si>
  <si>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</si>
  <si>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</si>
  <si>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</si>
  <si>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</si>
  <si>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</si>
  <si>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</si>
  <si>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</si>
  <si>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</si>
  <si>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</si>
  <si>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</si>
  <si>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</si>
  <si>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</si>
  <si>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</si>
  <si>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</si>
  <si>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</si>
  <si>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</si>
  <si>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</si>
  <si>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</si>
  <si>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</si>
  <si>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</si>
  <si>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</si>
  <si>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</si>
  <si>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</si>
  <si>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</si>
  <si>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</si>
  <si>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</si>
  <si>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</si>
  <si>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</si>
  <si>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</si>
  <si>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</si>
  <si>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</si>
  <si>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</si>
  <si>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</si>
  <si>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</si>
  <si>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</si>
  <si>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</si>
  <si>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</si>
  <si>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</si>
  <si>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</si>
  <si>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</si>
  <si>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</si>
  <si>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</si>
  <si>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</si>
  <si>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</si>
  <si>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</si>
  <si>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</si>
  <si>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</si>
  <si>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</si>
  <si>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</si>
  <si>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</si>
  <si>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</si>
  <si>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</si>
  <si>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</si>
  <si>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</si>
  <si>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</si>
  <si>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</si>
  <si>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</si>
  <si>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</si>
  <si>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</si>
  <si>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</si>
  <si>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</si>
  <si>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</si>
  <si>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</si>
  <si>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</si>
  <si>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</si>
  <si>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</si>
  <si>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</si>
  <si>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</si>
  <si>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</si>
  <si>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</si>
  <si>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</si>
  <si>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</si>
  <si>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</si>
  <si>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</si>
  <si>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</si>
  <si>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</si>
  <si>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</si>
  <si>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</si>
  <si>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</si>
  <si>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</si>
  <si>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</si>
  <si>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</si>
  <si>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</si>
  <si>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</si>
  <si>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</si>
  <si>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</si>
  <si>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</si>
  <si>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</si>
  <si>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</si>
  <si>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</si>
  <si>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</si>
  <si>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</si>
  <si>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</si>
  <si>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</si>
  <si>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</si>
  <si>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</si>
  <si>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</si>
  <si>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</si>
  <si>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</si>
  <si>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</si>
  <si>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</si>
  <si>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</si>
  <si>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</si>
  <si>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</si>
  <si>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</si>
  <si>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</si>
  <si>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</si>
  <si>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</si>
  <si>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</si>
  <si>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</si>
  <si>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</si>
  <si>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</si>
  <si>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</si>
  <si>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</si>
  <si>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</si>
  <si>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</si>
  <si>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</si>
  <si>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</si>
  <si>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</si>
  <si>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</si>
  <si>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</si>
  <si>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</si>
  <si>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</si>
  <si>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</si>
  <si>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</si>
  <si>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</si>
  <si>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</si>
  <si>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</si>
  <si>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</si>
  <si>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</si>
  <si>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</si>
  <si>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</si>
  <si>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</si>
  <si>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</si>
  <si>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</si>
  <si>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</si>
  <si>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</si>
  <si>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</si>
  <si>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</si>
  <si>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</si>
  <si>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</si>
  <si>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</si>
  <si>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</si>
  <si>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</si>
  <si>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</si>
  <si>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</si>
  <si>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</si>
  <si>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</si>
  <si>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</si>
  <si>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</si>
  <si>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</si>
  <si>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</si>
  <si>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</si>
  <si>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</si>
  <si>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</si>
  <si>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</si>
  <si>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</si>
  <si>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</si>
  <si>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</si>
  <si>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</si>
  <si>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</si>
  <si>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</si>
  <si>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</si>
  <si>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</si>
  <si>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</si>
  <si>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</si>
  <si>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</si>
  <si>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</si>
  <si>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</si>
  <si>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</si>
  <si>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</si>
  <si>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</si>
  <si>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</si>
  <si>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</si>
  <si>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</si>
  <si>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</si>
  <si>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</si>
  <si>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</si>
  <si>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</si>
  <si>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</si>
  <si>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</si>
  <si>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</si>
  <si>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</si>
  <si>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</si>
  <si>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</si>
  <si>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</si>
  <si>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</si>
  <si>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</si>
  <si>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</si>
  <si>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</si>
  <si>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</si>
  <si>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</si>
  <si>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</si>
  <si>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</si>
  <si>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</si>
  <si>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</si>
  <si>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</si>
  <si>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</si>
  <si>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</si>
  <si>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</si>
  <si>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</si>
  <si>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</si>
  <si>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</si>
  <si>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</si>
  <si>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</si>
  <si>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</si>
  <si>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</si>
  <si>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</si>
  <si>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</si>
  <si>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</si>
  <si>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</si>
  <si>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</si>
  <si>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</si>
  <si>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</si>
  <si>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</si>
  <si>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</si>
  <si>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</si>
  <si>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</si>
  <si>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</si>
  <si>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</si>
  <si>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</si>
  <si>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</si>
  <si>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</si>
  <si>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</si>
  <si>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</si>
  <si>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</si>
  <si>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</si>
  <si>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</si>
  <si>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</si>
  <si>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</si>
  <si>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</si>
  <si>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</si>
  <si>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</si>
  <si>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</si>
  <si>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</si>
  <si>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</si>
  <si>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</si>
  <si>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</si>
  <si>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</si>
  <si>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</si>
  <si>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</si>
  <si>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</si>
  <si>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</si>
  <si>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</si>
  <si>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</si>
  <si>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</si>
  <si>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</si>
  <si>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</si>
  <si>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</si>
  <si>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</si>
  <si>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</si>
  <si>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</si>
  <si>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</si>
  <si>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</si>
  <si>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</si>
  <si>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</si>
  <si>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</si>
  <si>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</si>
  <si>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</si>
  <si>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</si>
  <si>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</si>
  <si>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</si>
  <si>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</si>
  <si>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</si>
  <si>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</si>
  <si>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</si>
  <si>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</si>
  <si>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</si>
  <si>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</si>
  <si>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</si>
  <si>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</si>
  <si>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</si>
  <si>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</si>
  <si>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</si>
  <si>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</si>
  <si>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</si>
  <si>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</si>
  <si>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</si>
  <si>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</si>
  <si>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</si>
  <si>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</si>
  <si>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</si>
  <si>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</si>
  <si>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</si>
  <si>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</si>
  <si>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</si>
  <si>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</si>
  <si>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</si>
  <si>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</si>
  <si>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</si>
  <si>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</si>
  <si>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</si>
  <si>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</si>
  <si>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</si>
  <si>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</si>
  <si>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</si>
  <si>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</si>
  <si>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</si>
  <si>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</si>
  <si>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</si>
  <si>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</si>
  <si>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</si>
  <si>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</si>
  <si>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</si>
  <si>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</si>
  <si>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</si>
  <si>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</si>
  <si>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</si>
  <si>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</si>
  <si>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</si>
  <si>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</si>
  <si>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</si>
  <si>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</si>
  <si>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</si>
  <si>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</si>
  <si>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</si>
  <si>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</si>
  <si>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</si>
  <si>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</si>
  <si>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</si>
  <si>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</si>
  <si>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</si>
  <si>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</si>
  <si>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</si>
  <si>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</si>
  <si>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</si>
  <si>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</si>
  <si>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</si>
  <si>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</si>
  <si>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</si>
  <si>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</si>
  <si>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</si>
  <si>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</si>
  <si>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</si>
  <si>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</si>
  <si>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</si>
  <si>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</si>
  <si>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</si>
  <si>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</si>
  <si>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</si>
  <si>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</si>
  <si>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</si>
  <si>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</si>
  <si>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</si>
  <si>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</si>
  <si>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</si>
  <si>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</si>
  <si>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</si>
  <si>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</si>
  <si>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</si>
  <si>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</si>
  <si>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</si>
  <si>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</si>
  <si>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</si>
  <si>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</si>
  <si>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</si>
  <si>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</si>
  <si>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</si>
  <si>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</si>
  <si>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</si>
  <si>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</si>
  <si>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</si>
  <si>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</si>
  <si>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</si>
  <si>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</si>
  <si>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</si>
  <si>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</si>
  <si>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</si>
  <si>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</si>
  <si>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</si>
  <si>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</si>
  <si>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</si>
  <si>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</si>
  <si>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</si>
  <si>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</si>
  <si>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</si>
  <si>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</si>
  <si>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</si>
  <si>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</si>
  <si>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</si>
  <si>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</si>
  <si>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</si>
  <si>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</si>
  <si>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</si>
  <si>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</si>
  <si>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</si>
  <si>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</si>
  <si>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</si>
  <si>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</si>
  <si>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</si>
  <si>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</si>
  <si>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</si>
  <si>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</si>
  <si>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</si>
  <si>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</si>
  <si>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</si>
  <si>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</si>
  <si>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</si>
  <si>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</si>
  <si>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</si>
  <si>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</si>
  <si>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</si>
  <si>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</si>
  <si>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</si>
  <si>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</si>
  <si>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</si>
  <si>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</si>
  <si>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</si>
  <si>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</si>
  <si>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</si>
  <si>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</si>
  <si>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</si>
  <si>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</si>
  <si>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</si>
  <si>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</si>
  <si>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</si>
  <si>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</si>
  <si>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</si>
  <si>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</si>
  <si>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</si>
  <si>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</si>
  <si>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</si>
  <si>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</si>
  <si>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</si>
  <si>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</si>
  <si>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</si>
  <si>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</si>
  <si>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</si>
  <si>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</si>
  <si>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</si>
  <si>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</si>
  <si>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</si>
  <si>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</si>
  <si>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</si>
  <si>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</si>
  <si>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</si>
  <si>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</si>
  <si>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</si>
  <si>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</si>
  <si>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</si>
  <si>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</si>
  <si>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</si>
  <si>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</si>
  <si>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</si>
  <si>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</si>
  <si>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</si>
  <si>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</si>
  <si>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</si>
  <si>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</si>
  <si>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</si>
  <si>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</si>
  <si>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</si>
  <si>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</si>
  <si>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</si>
  <si>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</si>
  <si>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</si>
  <si>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</si>
  <si>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</si>
  <si>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</si>
  <si>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</si>
  <si>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</si>
  <si>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</si>
  <si>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</si>
  <si>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</si>
  <si>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</si>
  <si>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</si>
  <si>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</si>
  <si>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</si>
  <si>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</si>
  <si>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</si>
  <si>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</si>
  <si>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</si>
  <si>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</si>
  <si>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</si>
  <si>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</si>
  <si>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</si>
  <si>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</si>
  <si>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</si>
  <si>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</si>
  <si>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</si>
  <si>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</si>
  <si>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</si>
  <si>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</si>
  <si>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</si>
  <si>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</si>
  <si>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</si>
  <si>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</si>
  <si>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</si>
  <si>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</si>
  <si>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</si>
  <si>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</si>
  <si>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</si>
  <si>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</si>
  <si>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</si>
  <si>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</si>
  <si>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</si>
  <si>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</si>
  <si>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</si>
  <si>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</si>
  <si>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</si>
  <si>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</si>
  <si>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</si>
  <si>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</si>
  <si>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</si>
  <si>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</si>
  <si>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</si>
  <si>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</si>
  <si>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</si>
  <si>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</si>
  <si>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</si>
  <si>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</si>
  <si>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</si>
  <si>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</si>
  <si>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</si>
  <si>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</si>
  <si>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</si>
  <si>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</si>
  <si>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</si>
  <si>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</si>
  <si>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</si>
  <si>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</si>
  <si>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</si>
  <si>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</si>
  <si>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</si>
  <si>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</si>
  <si>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</si>
  <si>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</si>
  <si>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</si>
  <si>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</si>
  <si>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</si>
  <si>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</si>
  <si>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</si>
  <si>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</si>
  <si>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</si>
  <si>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</si>
  <si>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</si>
  <si>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</si>
  <si>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</si>
  <si>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</si>
  <si>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</si>
  <si>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</si>
  <si>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</si>
  <si>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</si>
  <si>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</si>
  <si>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</si>
  <si>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</si>
  <si>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</si>
  <si>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</si>
  <si>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</si>
  <si>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</si>
  <si>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</si>
  <si>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</si>
  <si>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</si>
  <si>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</si>
  <si>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</si>
  <si>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</si>
  <si>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</si>
  <si>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</si>
  <si>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</si>
  <si>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</si>
  <si>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</si>
  <si>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</si>
  <si>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</si>
  <si>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</si>
  <si>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</si>
  <si>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</si>
  <si>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</si>
  <si>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</si>
  <si>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</si>
  <si>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</si>
  <si>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</si>
  <si>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</si>
  <si>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</si>
  <si>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</si>
  <si>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</si>
  <si>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</si>
  <si>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</si>
  <si>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</si>
  <si>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</si>
  <si>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</si>
  <si>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</si>
  <si>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</si>
  <si>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</si>
  <si>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</si>
  <si>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</si>
  <si>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</si>
  <si>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</si>
  <si>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</si>
  <si>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</si>
  <si>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</si>
  <si>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</si>
  <si>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</si>
  <si>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</si>
  <si>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</si>
  <si>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</si>
  <si>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</si>
  <si>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</si>
  <si>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</si>
  <si>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</si>
  <si>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</si>
  <si>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</si>
  <si>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</si>
  <si>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</si>
  <si>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</si>
  <si>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</si>
  <si>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</si>
  <si>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</si>
  <si>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</si>
  <si>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</si>
  <si>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</si>
  <si>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</si>
  <si>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</si>
  <si>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</si>
  <si>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</si>
  <si>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</si>
  <si>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</si>
  <si>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</si>
  <si>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</si>
  <si>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</si>
  <si>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</si>
  <si>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</si>
  <si>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</si>
  <si>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</si>
  <si>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</si>
  <si>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</si>
  <si>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</si>
  <si>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</si>
  <si>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</si>
  <si>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</si>
  <si>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</si>
  <si>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</si>
  <si>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</si>
  <si>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</si>
  <si>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</si>
  <si>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</si>
  <si>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</si>
  <si>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</si>
  <si>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</si>
  <si>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</si>
  <si>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</si>
  <si>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</si>
  <si>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</si>
  <si>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</si>
  <si>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</si>
  <si>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</si>
  <si>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</si>
  <si>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</si>
  <si>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</si>
  <si>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</si>
  <si>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</si>
  <si>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</si>
  <si>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</si>
  <si>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</si>
  <si>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</si>
  <si>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</si>
  <si>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</si>
  <si>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</si>
  <si>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</si>
  <si>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</si>
  <si>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</si>
  <si>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</si>
  <si>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</si>
  <si>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</si>
  <si>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</si>
  <si>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</si>
  <si>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</si>
  <si>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</si>
  <si>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</si>
  <si>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</si>
  <si>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</si>
  <si>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</si>
  <si>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</si>
  <si>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</si>
  <si>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</si>
  <si>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</si>
  <si>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</si>
  <si>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</si>
  <si>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</si>
  <si>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</si>
  <si>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</si>
  <si>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</si>
  <si>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</si>
  <si>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</si>
  <si>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</si>
  <si>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</si>
  <si>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</si>
  <si>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</si>
  <si>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</si>
  <si>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</si>
  <si>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</si>
  <si>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</si>
  <si>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</si>
  <si>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</si>
  <si>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</si>
  <si>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</si>
  <si>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</si>
  <si>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</si>
  <si>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</si>
  <si>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</si>
  <si>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</si>
  <si>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</si>
  <si>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</si>
  <si>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</si>
  <si>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</si>
  <si>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</si>
  <si>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</si>
  <si>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</si>
  <si>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</si>
  <si>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</si>
  <si>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</si>
  <si>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</si>
  <si>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</si>
  <si>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</si>
  <si>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</si>
  <si>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</si>
  <si>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</si>
  <si>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</si>
  <si>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</si>
  <si>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</si>
  <si>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</si>
  <si>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</si>
  <si>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</si>
  <si>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</si>
  <si>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</si>
  <si>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</si>
  <si>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</si>
  <si>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</si>
  <si>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</si>
  <si>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</si>
  <si>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</si>
  <si>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</si>
  <si>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</si>
  <si>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</si>
  <si>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</si>
  <si>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</si>
  <si>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</si>
  <si>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</si>
  <si>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</si>
  <si>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</si>
  <si>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</si>
  <si>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</si>
  <si>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</si>
  <si>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</si>
  <si>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</si>
  <si>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</si>
  <si>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</si>
  <si>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</si>
  <si>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</si>
  <si>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</si>
  <si>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</si>
  <si>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</si>
  <si>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</si>
  <si>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</si>
  <si>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</si>
  <si>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</si>
  <si>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</si>
  <si>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</si>
  <si>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</si>
  <si>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</si>
  <si>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</si>
  <si>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</si>
  <si>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</si>
  <si>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</si>
  <si>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</si>
  <si>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</si>
  <si>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</si>
  <si>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</si>
  <si>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</si>
  <si>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</si>
  <si>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</si>
  <si>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</si>
  <si>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</si>
  <si>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</si>
  <si>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</si>
  <si>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</si>
  <si>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</si>
  <si>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</si>
  <si>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</si>
  <si>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</si>
  <si>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</si>
  <si>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</si>
  <si>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</si>
  <si>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</si>
  <si>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</si>
  <si>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</si>
  <si>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</si>
  <si>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</si>
  <si>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</si>
  <si>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</si>
  <si>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</si>
  <si>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</si>
  <si>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</si>
  <si>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</si>
  <si>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</si>
  <si>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</si>
  <si>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</si>
  <si>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</si>
  <si>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</si>
  <si>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</si>
  <si>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</si>
  <si>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</si>
  <si>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</si>
  <si>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</si>
  <si>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</si>
  <si>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</si>
  <si>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</si>
  <si>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</si>
  <si>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</si>
  <si>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</si>
  <si>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</si>
  <si>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</si>
  <si>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</si>
  <si>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</si>
  <si>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</si>
  <si>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</si>
  <si>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</si>
  <si>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</si>
  <si>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</si>
  <si>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</si>
  <si>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</si>
  <si>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</si>
  <si>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</si>
  <si>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</si>
  <si>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</si>
  <si>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</si>
  <si>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</si>
  <si>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</si>
  <si>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</si>
  <si>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</si>
  <si>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</si>
  <si>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</si>
  <si>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</si>
  <si>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</si>
  <si>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</si>
  <si>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</si>
  <si>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</si>
  <si>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</si>
  <si>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</si>
  <si>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</si>
  <si>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</si>
  <si>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</si>
  <si>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</si>
  <si>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</si>
  <si>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</si>
  <si>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</si>
  <si>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</si>
  <si>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</si>
  <si>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</si>
  <si>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</si>
  <si>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</si>
  <si>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</si>
  <si>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</si>
  <si>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</si>
  <si>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</si>
  <si>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</si>
  <si>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</si>
  <si>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</si>
  <si>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</si>
  <si>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</si>
  <si>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</si>
  <si>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</si>
  <si>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</si>
  <si>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</si>
  <si>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</si>
  <si>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</si>
  <si>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</si>
  <si>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</si>
  <si>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</si>
  <si>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</si>
  <si>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</si>
  <si>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</si>
  <si>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</si>
  <si>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</si>
  <si>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</si>
  <si>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</si>
  <si>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</si>
  <si>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</si>
  <si>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</si>
  <si>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</si>
  <si>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</si>
  <si>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</si>
  <si>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</si>
  <si>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</si>
  <si>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</si>
  <si>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</si>
  <si>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</si>
  <si>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</si>
  <si>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</si>
  <si>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</si>
  <si>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</si>
  <si>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</si>
  <si>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</si>
  <si>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</si>
  <si>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</si>
  <si>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</si>
  <si>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</si>
  <si>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</si>
  <si>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</si>
  <si>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</si>
  <si>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</si>
  <si>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</si>
  <si>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</si>
  <si>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</si>
  <si>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</si>
  <si>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</si>
  <si>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</si>
  <si>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</si>
  <si>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</si>
  <si>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</si>
  <si>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</si>
  <si>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</si>
  <si>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</si>
  <si>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</si>
  <si>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</si>
  <si>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</si>
  <si>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</si>
  <si>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</si>
  <si>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</si>
  <si>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</si>
  <si>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</si>
  <si>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</si>
  <si>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</si>
  <si>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</si>
  <si>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</si>
  <si>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</si>
  <si>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</si>
  <si>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</si>
  <si>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</si>
  <si>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</si>
  <si>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</si>
  <si>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</si>
  <si>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</si>
  <si>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</si>
  <si>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</si>
  <si>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</si>
  <si>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</si>
  <si>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</si>
  <si>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</si>
  <si>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</si>
  <si>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</si>
  <si>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</si>
  <si>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</si>
  <si>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</si>
  <si>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</si>
  <si>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</si>
  <si>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</si>
  <si>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</si>
  <si>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</si>
  <si>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</si>
  <si>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</si>
  <si>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</si>
  <si>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</si>
  <si>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</si>
  <si>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</si>
  <si>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</si>
  <si>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</si>
  <si>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</si>
  <si>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</si>
  <si>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</si>
  <si>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</si>
  <si>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</si>
  <si>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</si>
  <si>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</si>
  <si>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</si>
  <si>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</si>
  <si>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</si>
  <si>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</si>
  <si>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</si>
  <si>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</si>
  <si>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</si>
  <si>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</si>
  <si>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</si>
  <si>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</si>
  <si>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</si>
  <si>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</si>
  <si>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</si>
  <si>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</si>
  <si>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</si>
  <si>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</si>
  <si>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</si>
  <si>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</si>
  <si>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</si>
  <si>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</si>
  <si>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</si>
  <si>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</si>
  <si>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</si>
  <si>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</si>
  <si>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</si>
  <si>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</si>
  <si>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</si>
  <si>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</si>
  <si>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</si>
  <si>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</si>
  <si>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</si>
  <si>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</si>
  <si>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</si>
  <si>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</si>
  <si>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</si>
  <si>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</si>
  <si>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</si>
  <si>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</si>
  <si>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</si>
  <si>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</si>
  <si>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</si>
  <si>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</si>
  <si>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</si>
  <si>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</si>
  <si>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</si>
  <si>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</si>
  <si>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</si>
  <si>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</si>
  <si>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</si>
  <si>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</si>
  <si>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</si>
  <si>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</si>
  <si>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</si>
  <si>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</si>
  <si>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</si>
  <si>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</si>
  <si>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</si>
  <si>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</si>
  <si>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</si>
  <si>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</si>
  <si>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</si>
  <si>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</si>
  <si>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</si>
  <si>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</si>
  <si>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</si>
  <si>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</si>
  <si>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</si>
  <si>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</si>
  <si>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</si>
  <si>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</si>
  <si>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</si>
  <si>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</si>
  <si>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</si>
  <si>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</si>
  <si>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</si>
  <si>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</si>
  <si>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</si>
  <si>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</si>
  <si>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</si>
  <si>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</si>
  <si>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</si>
  <si>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</si>
  <si>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</si>
  <si>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</si>
  <si>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</si>
  <si>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</si>
  <si>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</si>
  <si>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</si>
  <si>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</si>
  <si>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</si>
  <si>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</si>
  <si>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</si>
  <si>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</si>
  <si>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</si>
  <si>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</si>
  <si>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</si>
  <si>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</si>
  <si>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</si>
  <si>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</si>
  <si>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</si>
  <si>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</si>
  <si>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</si>
  <si>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</si>
  <si>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</si>
  <si>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</si>
  <si>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</si>
  <si>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</si>
  <si>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</si>
  <si>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</si>
  <si>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</si>
  <si>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</si>
  <si>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</si>
  <si>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</si>
  <si>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</si>
  <si>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</si>
  <si>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</si>
  <si>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</si>
  <si>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</si>
  <si>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</si>
  <si>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</si>
  <si>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</si>
  <si>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</si>
  <si>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</si>
  <si>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</si>
  <si>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</si>
  <si>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</si>
  <si>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</si>
  <si>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</si>
  <si>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</si>
  <si>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</si>
  <si>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</si>
  <si>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</si>
  <si>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</si>
  <si>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</si>
  <si>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</si>
  <si>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</si>
  <si>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</si>
  <si>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</si>
  <si>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</si>
  <si>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</si>
  <si>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</si>
  <si>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</si>
  <si>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</si>
  <si>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</si>
  <si>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</si>
  <si>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</si>
  <si>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</si>
  <si>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</si>
  <si>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</si>
  <si>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</si>
  <si>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</si>
  <si>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</si>
  <si>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</si>
  <si>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</si>
  <si>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</si>
  <si>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</si>
  <si>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</si>
  <si>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</si>
  <si>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</si>
  <si>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</si>
  <si>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</si>
  <si>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</si>
  <si>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</si>
  <si>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</si>
  <si>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</si>
  <si>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</si>
  <si>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</si>
  <si>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</si>
  <si>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</si>
  <si>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</si>
  <si>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</si>
  <si>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</si>
  <si>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</si>
  <si>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</si>
  <si>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</si>
  <si>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</si>
  <si>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</si>
  <si>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</si>
  <si>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</si>
  <si>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</si>
  <si>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</si>
  <si>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</si>
  <si>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</si>
  <si>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</si>
  <si>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</si>
  <si>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</si>
  <si>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</si>
  <si>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</si>
  <si>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</si>
  <si>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</si>
  <si>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</si>
  <si>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</si>
  <si>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</si>
  <si>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</si>
  <si>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</si>
  <si>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</si>
  <si>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</si>
  <si>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</si>
  <si>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</si>
  <si>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</si>
  <si>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</si>
  <si>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</si>
  <si>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</si>
  <si>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</si>
  <si>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</si>
  <si>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</si>
  <si>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</si>
  <si>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</si>
  <si>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</si>
  <si>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</si>
  <si>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</si>
  <si>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</si>
  <si>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</si>
  <si>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</si>
  <si>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</si>
  <si>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</si>
  <si>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</si>
  <si>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</si>
  <si>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</si>
  <si>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</si>
  <si>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</si>
  <si>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</si>
  <si>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</si>
  <si>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</si>
  <si>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</si>
  <si>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</si>
  <si>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</si>
  <si>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</si>
  <si>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</si>
  <si>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</si>
  <si>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</si>
  <si>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</si>
  <si>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</si>
  <si>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</si>
  <si>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</si>
  <si>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</si>
  <si>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</si>
  <si>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</si>
  <si>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</si>
  <si>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</si>
  <si>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</si>
  <si>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</si>
  <si>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</si>
  <si>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</si>
  <si>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</si>
  <si>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</si>
  <si>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</si>
  <si>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</si>
  <si>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</si>
  <si>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</si>
  <si>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</si>
  <si>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</si>
  <si>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</si>
  <si>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</si>
  <si>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</si>
  <si>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</si>
  <si>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</si>
  <si>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</si>
  <si>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</si>
  <si>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</si>
  <si>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</si>
  <si>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</si>
  <si>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</si>
  <si>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</si>
  <si>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</si>
  <si>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</si>
  <si>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</si>
  <si>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</si>
  <si>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</si>
  <si>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</si>
  <si>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</si>
  <si>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</si>
  <si>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</si>
  <si>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</si>
  <si>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</si>
  <si>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</si>
  <si>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</si>
  <si>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</si>
  <si>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</si>
  <si>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</si>
  <si>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</si>
  <si>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</si>
  <si>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</si>
  <si>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</si>
  <si>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</si>
  <si>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</si>
  <si>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</si>
  <si>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</si>
  <si>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</si>
  <si>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</si>
  <si>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</si>
  <si>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</si>
  <si>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</si>
  <si>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</si>
  <si>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</si>
  <si>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</si>
  <si>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</si>
  <si>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</si>
  <si>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</si>
  <si>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</si>
  <si>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</si>
  <si>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</si>
  <si>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</si>
  <si>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</si>
  <si>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</si>
  <si>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</si>
  <si>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</si>
  <si>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</si>
  <si>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</si>
  <si>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</si>
  <si>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</si>
  <si>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</si>
  <si>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</si>
  <si>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</si>
  <si>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</si>
  <si>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</si>
  <si>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</si>
  <si>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</si>
  <si>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</si>
  <si>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</si>
  <si>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</si>
  <si>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</si>
  <si>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</si>
  <si>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</si>
  <si>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</si>
  <si>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</si>
  <si>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</si>
  <si>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</si>
  <si>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</si>
  <si>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</si>
  <si>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</si>
  <si>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</si>
  <si>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</si>
  <si>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</si>
  <si>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</si>
  <si>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</si>
  <si>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</si>
  <si>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</si>
  <si>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</si>
  <si>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</si>
  <si>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</si>
  <si>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</si>
  <si>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</si>
  <si>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</si>
  <si>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</si>
  <si>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</si>
  <si>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</si>
  <si>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</si>
  <si>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</si>
  <si>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</si>
  <si>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</si>
  <si>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</si>
  <si>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</si>
  <si>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</si>
  <si>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</si>
  <si>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</si>
  <si>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</si>
  <si>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</si>
  <si>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</si>
  <si>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</si>
  <si>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</si>
  <si>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</si>
  <si>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</si>
  <si>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</si>
  <si>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</si>
  <si>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</si>
  <si>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</si>
  <si>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</si>
  <si>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</si>
  <si>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</si>
  <si>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</si>
  <si>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</si>
  <si>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</si>
  <si>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</si>
  <si>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</si>
  <si>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</si>
  <si>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</si>
  <si>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</si>
  <si>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</si>
  <si>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</si>
  <si>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</si>
  <si>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</si>
  <si>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</si>
  <si>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</si>
  <si>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</si>
  <si>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</si>
  <si>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</si>
  <si>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</si>
  <si>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</si>
  <si>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</si>
  <si>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</si>
  <si>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</si>
  <si>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</si>
  <si>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</si>
  <si>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</si>
  <si>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</si>
  <si>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</si>
  <si>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</si>
  <si>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</si>
  <si>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</si>
  <si>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</si>
  <si>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</si>
  <si>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</si>
  <si>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</si>
  <si>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</si>
  <si>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</si>
  <si>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</si>
  <si>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</si>
  <si>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</si>
  <si>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</si>
  <si>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</si>
  <si>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</si>
  <si>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</si>
  <si>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</si>
  <si>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</si>
  <si>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</si>
  <si>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</si>
  <si>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</si>
  <si>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</si>
  <si>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</si>
  <si>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</si>
  <si>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</si>
  <si>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</si>
  <si>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</si>
  <si>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</si>
  <si>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</si>
  <si>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</si>
  <si>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</si>
  <si>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</si>
  <si>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</si>
  <si>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</si>
  <si>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</si>
  <si>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</si>
  <si>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</si>
  <si>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</si>
  <si>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</si>
  <si>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</si>
  <si>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</si>
  <si>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</si>
  <si>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</si>
  <si>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</si>
  <si>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</si>
  <si>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</si>
  <si>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</si>
  <si>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</si>
  <si>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</si>
  <si>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</si>
  <si>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</si>
  <si>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</si>
  <si>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</si>
  <si>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</si>
  <si>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</si>
  <si>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</si>
  <si>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</si>
  <si>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</si>
  <si>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</si>
  <si>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</si>
  <si>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</si>
  <si>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</si>
  <si>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</si>
  <si>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</si>
  <si>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</si>
  <si>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</si>
  <si>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</si>
  <si>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</si>
  <si>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</si>
  <si>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</si>
  <si>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</si>
  <si>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</si>
  <si>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</si>
  <si>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</si>
  <si>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</si>
  <si>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</si>
  <si>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</si>
  <si>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</si>
  <si>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</si>
  <si>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</si>
  <si>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</si>
  <si>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</si>
  <si>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</si>
  <si>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</si>
  <si>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</si>
  <si>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</si>
  <si>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</si>
  <si>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</si>
  <si>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</si>
  <si>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</si>
  <si>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</si>
  <si>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</si>
  <si>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</si>
  <si>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</si>
  <si>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</si>
  <si>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</si>
  <si>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</si>
  <si>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</si>
  <si>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</si>
  <si>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</si>
  <si>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</si>
  <si>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</si>
  <si>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</si>
  <si>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</si>
  <si>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</si>
  <si>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</si>
  <si>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</si>
  <si>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</si>
  <si>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</si>
  <si>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</si>
  <si>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</si>
  <si>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</si>
  <si>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</si>
  <si>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</si>
  <si>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</si>
  <si>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</si>
  <si>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</si>
  <si>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</si>
  <si>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</si>
  <si>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</si>
  <si>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</si>
  <si>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</si>
  <si>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</si>
  <si>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</si>
  <si>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</si>
  <si>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</si>
  <si>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</si>
  <si>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</si>
  <si>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</si>
  <si>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</si>
  <si>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</si>
  <si>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</si>
  <si>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</si>
  <si>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</si>
  <si>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</si>
  <si>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</si>
  <si>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</si>
  <si>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</si>
  <si>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</si>
  <si>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</si>
  <si>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</si>
  <si>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</si>
  <si>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</si>
  <si>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</si>
  <si>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</si>
  <si>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</si>
  <si>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</si>
  <si>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</si>
  <si>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</si>
  <si>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</si>
  <si>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</si>
  <si>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</si>
  <si>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</si>
  <si>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</si>
  <si>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</si>
  <si>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</si>
  <si>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</si>
  <si>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</si>
  <si>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</si>
  <si>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</si>
  <si>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</si>
  <si>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</si>
  <si>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</si>
  <si>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</si>
  <si>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</si>
  <si>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</si>
  <si>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</si>
  <si>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</si>
  <si>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</si>
  <si>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</si>
  <si>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</si>
  <si>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</si>
  <si>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</si>
  <si>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</si>
  <si>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</si>
  <si>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</si>
  <si>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</si>
  <si>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</si>
  <si>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</si>
  <si>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</si>
  <si>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</si>
  <si>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</si>
  <si>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</si>
  <si>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</si>
  <si>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</si>
  <si>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</si>
  <si>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</si>
  <si>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</si>
  <si>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</si>
  <si>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</si>
  <si>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</si>
  <si>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</si>
  <si>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</si>
  <si>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</si>
  <si>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</si>
  <si>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</si>
  <si>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</si>
  <si>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</si>
  <si>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</si>
  <si>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</si>
  <si>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</si>
  <si>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</si>
  <si>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</si>
  <si>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</si>
  <si>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</si>
  <si>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</si>
  <si>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</si>
  <si>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</si>
  <si>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</si>
  <si>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</si>
  <si>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</si>
  <si>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</si>
  <si>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</si>
  <si>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</si>
  <si>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</si>
  <si>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</si>
  <si>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</si>
  <si>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</si>
  <si>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</si>
  <si>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</si>
  <si>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</si>
  <si>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</si>
  <si>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</si>
  <si>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</si>
  <si>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</si>
  <si>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</si>
  <si>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</si>
  <si>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</si>
  <si>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</si>
  <si>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</si>
  <si>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</si>
  <si>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</si>
  <si>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</si>
  <si>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</si>
  <si>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</si>
  <si>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</si>
  <si>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</si>
  <si>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</si>
  <si>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</si>
  <si>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</si>
  <si>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</si>
  <si>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</si>
  <si>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</si>
  <si>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</si>
  <si>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</si>
  <si>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</si>
  <si>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</si>
  <si>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</si>
  <si>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</si>
  <si>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</si>
  <si>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</si>
  <si>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</si>
  <si>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</si>
  <si>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</si>
  <si>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</si>
  <si>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</si>
  <si>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</si>
  <si>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</si>
  <si>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</si>
  <si>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</si>
  <si>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</si>
  <si>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</si>
  <si>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</si>
  <si>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</si>
  <si>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</si>
  <si>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</si>
  <si>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</si>
  <si>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</si>
  <si>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</si>
  <si>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</si>
  <si>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</si>
  <si>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</si>
  <si>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</si>
  <si>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</si>
  <si>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</si>
  <si>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</si>
  <si>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</si>
  <si>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</si>
  <si>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</si>
  <si>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</si>
  <si>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</si>
  <si>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</si>
  <si>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</si>
  <si>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</si>
  <si>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</si>
  <si>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</si>
  <si>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</si>
  <si>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</si>
  <si>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</si>
  <si>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</si>
  <si>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</si>
  <si>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</si>
  <si>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</si>
  <si>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</si>
  <si>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</si>
  <si>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</si>
  <si>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</si>
  <si>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</si>
  <si>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</si>
  <si>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</si>
  <si>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</si>
  <si>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</si>
  <si>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</si>
  <si>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</si>
  <si>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</si>
  <si>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</si>
  <si>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</si>
  <si>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</si>
  <si>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</si>
  <si>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</si>
  <si>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</si>
  <si>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</si>
  <si>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</si>
  <si>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</si>
  <si>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</si>
  <si>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</si>
  <si>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</si>
  <si>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</si>
  <si>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</si>
  <si>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</si>
  <si>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</si>
  <si>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</si>
  <si>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</si>
  <si>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</si>
  <si>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</si>
  <si>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</si>
  <si>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</si>
  <si>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</si>
  <si>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</si>
  <si>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</si>
  <si>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</si>
  <si>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</si>
  <si>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</si>
  <si>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</si>
  <si>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</si>
  <si>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</si>
  <si>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</si>
  <si>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</si>
  <si>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</si>
  <si>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</si>
  <si>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</si>
  <si>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</si>
  <si>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</si>
  <si>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</si>
  <si>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</si>
  <si>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</si>
  <si>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</si>
  <si>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</si>
  <si>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</si>
  <si>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</si>
  <si>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</si>
  <si>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</si>
  <si>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</si>
  <si>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</si>
  <si>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</si>
  <si>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</si>
  <si>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</si>
  <si>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</si>
  <si>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</si>
  <si>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</si>
  <si>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</si>
  <si>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</si>
  <si>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</si>
  <si>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</si>
  <si>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</si>
  <si>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</si>
  <si>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</si>
  <si>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</si>
  <si>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</si>
  <si>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</si>
  <si>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</si>
  <si>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</si>
  <si>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</si>
  <si>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</si>
  <si>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</si>
  <si>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</si>
  <si>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</si>
  <si>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</si>
  <si>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</si>
  <si>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</si>
  <si>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</si>
  <si>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</si>
  <si>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</si>
  <si>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</si>
  <si>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</si>
  <si>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</si>
  <si>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</si>
  <si>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</si>
  <si>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</si>
  <si>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</si>
  <si>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</si>
  <si>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</si>
  <si>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</si>
  <si>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</si>
  <si>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</si>
  <si>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</si>
  <si>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</si>
  <si>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</si>
  <si>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</si>
  <si>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</si>
  <si>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</si>
  <si>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</si>
  <si>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</si>
  <si>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</si>
  <si>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</si>
  <si>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</si>
  <si>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</si>
  <si>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</si>
  <si>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</si>
  <si>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</si>
  <si>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</si>
  <si>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</si>
  <si>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</si>
  <si>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</si>
  <si>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</si>
  <si>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</si>
  <si>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</si>
  <si>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</si>
  <si>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</si>
  <si>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</si>
  <si>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</si>
  <si>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</si>
  <si>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</si>
  <si>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</si>
  <si>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</si>
  <si>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</si>
  <si>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</si>
  <si>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</si>
  <si>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</si>
  <si>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</si>
  <si>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</si>
  <si>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</si>
  <si>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</si>
  <si>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</si>
  <si>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</si>
  <si>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</si>
  <si>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</si>
  <si>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</si>
  <si>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</si>
  <si>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</si>
  <si>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</si>
  <si>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</si>
  <si>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</si>
  <si>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</si>
  <si>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</si>
  <si>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</si>
  <si>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</si>
  <si>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</si>
  <si>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</si>
  <si>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</si>
  <si>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</si>
  <si>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</si>
  <si>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</si>
  <si>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</si>
  <si>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</si>
  <si>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</si>
  <si>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</si>
  <si>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</si>
  <si>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</si>
  <si>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</si>
  <si>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</si>
  <si>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</si>
  <si>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</si>
  <si>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</si>
  <si>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</si>
  <si>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</si>
  <si>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</si>
  <si>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</si>
  <si>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</si>
  <si>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</si>
  <si>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</si>
  <si>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</si>
  <si>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</si>
  <si>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</si>
  <si>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</si>
  <si>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</si>
  <si>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</si>
  <si>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</si>
  <si>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</si>
  <si>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</si>
  <si>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</si>
  <si>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</si>
  <si>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</si>
  <si>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</si>
  <si>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</si>
  <si>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</si>
  <si>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</si>
  <si>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</si>
  <si>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</si>
  <si>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</si>
  <si>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</si>
  <si>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</si>
  <si>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</si>
  <si>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</si>
  <si>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</si>
  <si>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</si>
  <si>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</si>
  <si>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</si>
  <si>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</si>
  <si>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</si>
  <si>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</si>
  <si>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</si>
  <si>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</si>
  <si>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</si>
  <si>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</si>
  <si>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</si>
  <si>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</si>
  <si>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</si>
  <si>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</si>
  <si>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</si>
  <si>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</si>
  <si>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</si>
  <si>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</si>
  <si>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</si>
  <si>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</si>
  <si>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</si>
  <si>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</si>
  <si>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</si>
  <si>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</si>
  <si>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</si>
  <si>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</si>
  <si>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</si>
  <si>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</si>
  <si>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</si>
  <si>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</si>
  <si>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</si>
  <si>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</si>
  <si>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</si>
  <si>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</si>
  <si>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</si>
  <si>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</si>
  <si>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</si>
  <si>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</si>
  <si>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</si>
  <si>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</si>
  <si>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</si>
  <si>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</si>
  <si>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</si>
  <si>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</si>
  <si>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</si>
  <si>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</si>
  <si>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</si>
  <si>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</si>
  <si>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</si>
  <si>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</si>
  <si>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</si>
  <si>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</si>
  <si>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</si>
  <si>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</si>
  <si>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</si>
  <si>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</si>
  <si>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</si>
  <si>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</si>
  <si>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</si>
  <si>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</si>
  <si>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</si>
  <si>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</si>
  <si>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</si>
  <si>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</si>
  <si>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</si>
  <si>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</si>
  <si>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</si>
  <si>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</si>
  <si>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</si>
  <si>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</si>
  <si>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</si>
  <si>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</si>
  <si>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</si>
  <si>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</si>
  <si>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</si>
  <si>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</si>
  <si>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</si>
  <si>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</si>
  <si>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</si>
  <si>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</si>
  <si>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</si>
  <si>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</si>
  <si>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</si>
  <si>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住宅</t>
  </si>
  <si>
    <t>商品房</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</si>
  <si>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</si>
  <si>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</si>
  <si>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</si>
  <si>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</si>
  <si>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</si>
  <si>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</si>
  <si>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</si>
  <si>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</si>
  <si>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</si>
  <si>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</si>
  <si>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</si>
  <si>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</si>
  <si>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</si>
  <si>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</si>
  <si>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</si>
  <si>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</si>
  <si>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</si>
  <si>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</si>
  <si>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</si>
  <si>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</si>
  <si>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</si>
  <si>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</si>
  <si>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</si>
  <si>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</si>
  <si>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</si>
  <si>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</si>
  <si>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</si>
  <si>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</si>
  <si>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</si>
  <si>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</si>
  <si>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</si>
  <si>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</si>
  <si>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</si>
  <si>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</si>
  <si>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</si>
  <si>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</si>
  <si>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</si>
  <si>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</si>
  <si>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</si>
  <si>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</si>
  <si>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</si>
  <si>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</si>
  <si>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</si>
  <si>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</si>
  <si>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</si>
  <si>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</si>
  <si>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</si>
  <si>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</si>
  <si>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</si>
  <si>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</si>
  <si>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</si>
  <si>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</si>
  <si>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</si>
  <si>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</si>
  <si>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</si>
  <si>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</si>
  <si>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</si>
  <si>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</si>
  <si>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城市主干道</t>
    <phoneticPr fontId="24" type="noConversion"/>
  </si>
  <si>
    <t>普通装修</t>
  </si>
  <si>
    <t>公寓</t>
    <phoneticPr fontId="24" type="noConversion"/>
  </si>
  <si>
    <t>较好</t>
  </si>
  <si>
    <t>平层</t>
  </si>
  <si>
    <t>一般</t>
  </si>
  <si>
    <t>单套模式</t>
  </si>
  <si>
    <t>售价</t>
  </si>
  <si>
    <t>比较法-住宅</t>
  </si>
  <si>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</si>
  <si>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</si>
  <si>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</si>
  <si>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</si>
  <si>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</si>
  <si>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</si>
  <si>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三居室</t>
    <phoneticPr fontId="24" type="noConversion"/>
  </si>
  <si>
    <t>二居室</t>
    <phoneticPr fontId="24" type="noConversion"/>
  </si>
  <si>
    <t>一居室</t>
    <phoneticPr fontId="24" type="noConversion"/>
  </si>
  <si>
    <t>南北</t>
  </si>
  <si>
    <t>建筑面积</t>
    <phoneticPr fontId="134" type="noConversion"/>
  </si>
  <si>
    <t>月租金</t>
    <phoneticPr fontId="134" type="noConversion"/>
  </si>
  <si>
    <t>租金单价</t>
    <phoneticPr fontId="134" type="noConversion"/>
  </si>
  <si>
    <t>北京市房山区</t>
  </si>
  <si>
    <t>芭蕾雨悦都南区</t>
  </si>
  <si>
    <t>9（-1）</t>
  </si>
  <si>
    <t>长阳镇悦盛路5号院8号楼4层1单元401</t>
  </si>
  <si>
    <t>9（-01）</t>
  </si>
  <si>
    <t>长阳镇悦盛路5号院8号楼1层1单元102</t>
  </si>
  <si>
    <t>长阳镇悦盛路5号院12号楼7层4单元701</t>
  </si>
  <si>
    <t>长阳镇悦盛路5号院6号楼5层4单元501</t>
  </si>
  <si>
    <t>长阳镇悦盛路5号院14号楼8层2单元801</t>
  </si>
  <si>
    <t>长阳镇悦盛路5号院7号楼6层3单元601</t>
  </si>
  <si>
    <t>长阳镇悦盛路5号院4号楼8层4单元801</t>
  </si>
  <si>
    <t>长阳镇悦盛路5号院3号楼5层3单元501</t>
  </si>
  <si>
    <t>长阳镇悦盛路5号院7号楼1层2单元102</t>
  </si>
  <si>
    <t>长阳镇悦盛路5号院8号楼3层5单元301</t>
  </si>
  <si>
    <t>长阳镇悦盛路5号院12号楼4层5单元401</t>
  </si>
  <si>
    <t>南北</t>
    <phoneticPr fontId="134" type="noConversion"/>
  </si>
  <si>
    <t>普通装修</t>
    <phoneticPr fontId="134" type="noConversion"/>
  </si>
  <si>
    <t>南北</t>
    <phoneticPr fontId="134" type="noConversion"/>
  </si>
  <si>
    <r>
      <t>3/9</t>
    </r>
    <r>
      <rPr>
        <sz val="11"/>
        <color indexed="8"/>
        <rFont val="宋体"/>
        <family val="3"/>
        <charset val="134"/>
      </rPr>
      <t>（低楼层）</t>
    </r>
    <phoneticPr fontId="24" type="noConversion"/>
  </si>
  <si>
    <r>
      <t>7/9</t>
    </r>
    <r>
      <rPr>
        <sz val="11"/>
        <color indexed="8"/>
        <rFont val="宋体"/>
        <family val="3"/>
        <charset val="134"/>
      </rPr>
      <t>（高楼层）</t>
    </r>
    <phoneticPr fontId="24" type="noConversion"/>
  </si>
  <si>
    <t>城市主干道-长于北大街</t>
    <phoneticPr fontId="24" type="noConversion"/>
  </si>
  <si>
    <t>长阳镇悦盛路5号院9号楼2层5单元203</t>
    <phoneticPr fontId="134" type="noConversion"/>
  </si>
  <si>
    <t>https://paimai.jd.com/299385525</t>
  </si>
  <si>
    <t>https://paimai.jd.com/299236047</t>
    <phoneticPr fontId="134" type="noConversion"/>
  </si>
  <si>
    <t>https://paimai.jd.com/302378465</t>
    <phoneticPr fontId="134" type="noConversion"/>
  </si>
  <si>
    <t>https://paimai.jd.com/308053807</t>
    <phoneticPr fontId="134" type="noConversion"/>
  </si>
  <si>
    <t>https://paimai.jd.com/289100617</t>
    <phoneticPr fontId="134" type="noConversion"/>
  </si>
  <si>
    <t>https://sf-item.taobao.com/sf_item/844654171564.htm?spm=a213w.7398504.paiList.1.2303c54eyvRD3z&amp;track_id=0608fbea-1a95-452b-82fb-040a87832368</t>
    <phoneticPr fontId="134" type="noConversion"/>
  </si>
  <si>
    <t>芭蕾雨悦都南区</t>
    <phoneticPr fontId="134" type="noConversion"/>
  </si>
  <si>
    <t>悦盛路三号院1号4层2单元402</t>
  </si>
  <si>
    <t>芭蕾雨悦都北区</t>
  </si>
  <si>
    <t>8（-1）</t>
  </si>
  <si>
    <t>悦盛路三号院4号6层1单元601</t>
  </si>
  <si>
    <t>芭蕾雨悦都</t>
  </si>
  <si>
    <t>悦盛路三号院7号2层3单元201</t>
  </si>
  <si>
    <t>悦盛路三号院6号8层2单元802</t>
  </si>
  <si>
    <t xml:space="preserve"> </t>
    <phoneticPr fontId="24" type="noConversion"/>
  </si>
  <si>
    <r>
      <t>6/9</t>
    </r>
    <r>
      <rPr>
        <sz val="11"/>
        <color indexed="8"/>
        <rFont val="宋体"/>
        <family val="3"/>
        <charset val="134"/>
      </rPr>
      <t>（中楼层）</t>
    </r>
    <phoneticPr fontId="24" type="noConversion"/>
  </si>
  <si>
    <r>
      <t>4/8</t>
    </r>
    <r>
      <rPr>
        <sz val="11"/>
        <color indexed="8"/>
        <rFont val="宋体"/>
        <family val="3"/>
        <charset val="134"/>
      </rPr>
      <t>（中楼层）</t>
    </r>
    <phoneticPr fontId="24" type="noConversion"/>
  </si>
  <si>
    <r>
      <t>2/9</t>
    </r>
    <r>
      <rPr>
        <sz val="11"/>
        <color indexed="8"/>
        <rFont val="宋体"/>
        <family val="3"/>
        <charset val="134"/>
      </rPr>
      <t>（低楼层）</t>
    </r>
    <phoneticPr fontId="24" type="noConversion"/>
  </si>
  <si>
    <r>
      <t>6/9</t>
    </r>
    <r>
      <rPr>
        <sz val="11"/>
        <color indexed="8"/>
        <rFont val="宋体"/>
        <family val="3"/>
        <charset val="134"/>
      </rPr>
      <t>（中楼层）</t>
    </r>
    <phoneticPr fontId="24" type="noConversion"/>
  </si>
  <si>
    <t>城市支路-长兴路</t>
    <phoneticPr fontId="24" type="noConversion"/>
  </si>
  <si>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24" type="noConversion"/>
  </si>
  <si>
    <t>城市支路-长兴路</t>
    <phoneticPr fontId="24" type="noConversion"/>
  </si>
  <si>
    <r>
      <rPr>
        <sz val="11"/>
        <rFont val="宋体"/>
        <family val="3"/>
        <charset val="134"/>
      </rPr>
      <t>城市支路</t>
    </r>
    <r>
      <rPr>
        <sz val="11"/>
        <rFont val="Arial"/>
        <family val="2"/>
      </rPr>
      <t>-</t>
    </r>
    <r>
      <rPr>
        <sz val="11"/>
        <rFont val="宋体"/>
        <family val="3"/>
        <charset val="134"/>
      </rPr>
      <t>长兴路</t>
    </r>
    <phoneticPr fontId="24" type="noConversion"/>
  </si>
  <si>
    <t>芭蕾雨悦都北区</t>
    <phoneticPr fontId="134" type="noConversion"/>
  </si>
  <si>
    <t>原告</t>
    <phoneticPr fontId="8" type="noConversion"/>
  </si>
  <si>
    <t>被告</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</si>
</sst>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theme="5"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177" fontId="128" fillId="2" borderId="5" xfId="1" applyNumberFormat="1" applyFont="1" applyFill="1" applyBorder="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275" fillId="22" borderId="176" xfId="0" applyFont="1" applyFill="1" applyBorder="1" applyAlignment="1">
      <alignment horizontal="center" vertical="center" wrapText="1"/>
    </xf>
    <xf numFmtId="31" fontId="275" fillId="22"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4" fontId="0" fillId="0" borderId="0" xfId="0" applyNumberFormat="1">
      <alignment vertical="center"/>
    </xf>
    <xf numFmtId="0" fontId="278" fillId="0" borderId="0" xfId="19">
      <alignment vertical="center"/>
    </xf>
    <xf numFmtId="0" fontId="128" fillId="0" borderId="37" xfId="0" applyFont="1" applyBorder="1" applyAlignment="1" applyProtection="1">
      <alignment horizontal="center" vertical="center" wrapText="1"/>
      <protection locked="0"/>
    </xf>
    <xf numFmtId="0" fontId="0" fillId="5" borderId="0" xfId="0" applyFill="1">
      <alignment vertical="center"/>
    </xf>
    <xf numFmtId="0" fontId="272" fillId="22" borderId="176" xfId="0"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0" fontId="273"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1" fontId="52" fillId="9" borderId="24" xfId="0" applyNumberFormat="1"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375656</xdr:colOff>
      <xdr:row>32</xdr:row>
      <xdr:rowOff>178015</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stretch>
          <a:fillRect/>
        </a:stretch>
      </xdr:blipFill>
      <xdr:spPr>
        <a:xfrm>
          <a:off x="0" y="0"/>
          <a:ext cx="7690856" cy="6030175"/>
        </a:xfrm>
        <a:prstGeom prst="rect">
          <a:avLst/>
        </a:prstGeom>
      </xdr:spPr>
    </xdr:pic>
    <xdr:clientData/>
  </xdr:twoCellAnchor>
  <xdr:twoCellAnchor editAs="oneCell">
    <xdr:from>
      <xdr:col>0</xdr:col>
      <xdr:colOff>0</xdr:colOff>
      <xdr:row>33</xdr:row>
      <xdr:rowOff>68580</xdr:rowOff>
    </xdr:from>
    <xdr:to>
      <xdr:col>12</xdr:col>
      <xdr:colOff>487990</xdr:colOff>
      <xdr:row>67</xdr:row>
      <xdr:rowOff>21793</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0" y="6103620"/>
          <a:ext cx="7803190" cy="613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175260</xdr:rowOff>
    </xdr:from>
    <xdr:to>
      <xdr:col>11</xdr:col>
      <xdr:colOff>95153</xdr:colOff>
      <xdr:row>38</xdr:row>
      <xdr:rowOff>90259</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1638300"/>
          <a:ext cx="6800753" cy="5401399"/>
        </a:xfrm>
        <a:prstGeom prst="rect">
          <a:avLst/>
        </a:prstGeom>
      </xdr:spPr>
    </xdr:pic>
    <xdr:clientData/>
  </xdr:twoCellAnchor>
  <xdr:twoCellAnchor editAs="oneCell">
    <xdr:from>
      <xdr:col>0</xdr:col>
      <xdr:colOff>0</xdr:colOff>
      <xdr:row>39</xdr:row>
      <xdr:rowOff>82580</xdr:rowOff>
    </xdr:from>
    <xdr:to>
      <xdr:col>10</xdr:col>
      <xdr:colOff>548640</xdr:colOff>
      <xdr:row>66</xdr:row>
      <xdr:rowOff>57994</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7214900"/>
          <a:ext cx="6644640" cy="4913174"/>
        </a:xfrm>
        <a:prstGeom prst="rect">
          <a:avLst/>
        </a:prstGeom>
      </xdr:spPr>
    </xdr:pic>
    <xdr:clientData/>
  </xdr:twoCellAnchor>
  <xdr:twoCellAnchor editAs="oneCell">
    <xdr:from>
      <xdr:col>0</xdr:col>
      <xdr:colOff>0</xdr:colOff>
      <xdr:row>0</xdr:row>
      <xdr:rowOff>0</xdr:rowOff>
    </xdr:from>
    <xdr:to>
      <xdr:col>11</xdr:col>
      <xdr:colOff>335280</xdr:colOff>
      <xdr:row>8</xdr:row>
      <xdr:rowOff>123474</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0"/>
          <a:ext cx="7040880" cy="1586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4</xdr:row>
      <xdr:rowOff>129539</xdr:rowOff>
    </xdr:from>
    <xdr:to>
      <xdr:col>10</xdr:col>
      <xdr:colOff>445231</xdr:colOff>
      <xdr:row>22</xdr:row>
      <xdr:rowOff>99060</xdr:rowOff>
    </xdr:to>
    <xdr:pic>
      <xdr:nvPicPr>
        <xdr:cNvPr id="5" name="图片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68580" y="861059"/>
          <a:ext cx="7295611" cy="3261361"/>
        </a:xfrm>
        <a:prstGeom prst="rect">
          <a:avLst/>
        </a:prstGeom>
      </xdr:spPr>
    </xdr:pic>
    <xdr:clientData/>
  </xdr:twoCellAnchor>
  <xdr:twoCellAnchor editAs="oneCell">
    <xdr:from>
      <xdr:col>0</xdr:col>
      <xdr:colOff>1</xdr:colOff>
      <xdr:row>29</xdr:row>
      <xdr:rowOff>91440</xdr:rowOff>
    </xdr:from>
    <xdr:to>
      <xdr:col>8</xdr:col>
      <xdr:colOff>182880</xdr:colOff>
      <xdr:row>45</xdr:row>
      <xdr:rowOff>123351</xdr:rowOff>
    </xdr:to>
    <xdr:pic>
      <xdr:nvPicPr>
        <xdr:cNvPr id="6" name="图片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stretch>
          <a:fillRect/>
        </a:stretch>
      </xdr:blipFill>
      <xdr:spPr>
        <a:xfrm>
          <a:off x="1" y="5394960"/>
          <a:ext cx="5882639" cy="2957991"/>
        </a:xfrm>
        <a:prstGeom prst="rect">
          <a:avLst/>
        </a:prstGeom>
      </xdr:spPr>
    </xdr:pic>
    <xdr:clientData/>
  </xdr:twoCellAnchor>
  <xdr:twoCellAnchor editAs="oneCell">
    <xdr:from>
      <xdr:col>0</xdr:col>
      <xdr:colOff>0</xdr:colOff>
      <xdr:row>52</xdr:row>
      <xdr:rowOff>165684</xdr:rowOff>
    </xdr:from>
    <xdr:to>
      <xdr:col>9</xdr:col>
      <xdr:colOff>60960</xdr:colOff>
      <xdr:row>69</xdr:row>
      <xdr:rowOff>123133</xdr:rowOff>
    </xdr:to>
    <xdr:pic>
      <xdr:nvPicPr>
        <xdr:cNvPr id="7" name="图片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3"/>
        <a:stretch>
          <a:fillRect/>
        </a:stretch>
      </xdr:blipFill>
      <xdr:spPr>
        <a:xfrm>
          <a:off x="0" y="9675444"/>
          <a:ext cx="6370320" cy="3066409"/>
        </a:xfrm>
        <a:prstGeom prst="rect">
          <a:avLst/>
        </a:prstGeom>
      </xdr:spPr>
    </xdr:pic>
    <xdr:clientData/>
  </xdr:twoCellAnchor>
  <xdr:twoCellAnchor editAs="oneCell">
    <xdr:from>
      <xdr:col>0</xdr:col>
      <xdr:colOff>0</xdr:colOff>
      <xdr:row>75</xdr:row>
      <xdr:rowOff>50012</xdr:rowOff>
    </xdr:from>
    <xdr:to>
      <xdr:col>9</xdr:col>
      <xdr:colOff>53340</xdr:colOff>
      <xdr:row>91</xdr:row>
      <xdr:rowOff>114300</xdr:rowOff>
    </xdr:to>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4"/>
        <a:stretch>
          <a:fillRect/>
        </a:stretch>
      </xdr:blipFill>
      <xdr:spPr>
        <a:xfrm>
          <a:off x="0" y="13766012"/>
          <a:ext cx="6362700" cy="2990368"/>
        </a:xfrm>
        <a:prstGeom prst="rect">
          <a:avLst/>
        </a:prstGeom>
      </xdr:spPr>
    </xdr:pic>
    <xdr:clientData/>
  </xdr:twoCellAnchor>
  <xdr:twoCellAnchor editAs="oneCell">
    <xdr:from>
      <xdr:col>0</xdr:col>
      <xdr:colOff>0</xdr:colOff>
      <xdr:row>98</xdr:row>
      <xdr:rowOff>143098</xdr:rowOff>
    </xdr:from>
    <xdr:to>
      <xdr:col>8</xdr:col>
      <xdr:colOff>93923</xdr:colOff>
      <xdr:row>115</xdr:row>
      <xdr:rowOff>29794</xdr:rowOff>
    </xdr:to>
    <xdr:pic>
      <xdr:nvPicPr>
        <xdr:cNvPr id="9" name="图片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5"/>
        <a:stretch>
          <a:fillRect/>
        </a:stretch>
      </xdr:blipFill>
      <xdr:spPr>
        <a:xfrm>
          <a:off x="0" y="18065338"/>
          <a:ext cx="5793683" cy="2995656"/>
        </a:xfrm>
        <a:prstGeom prst="rect">
          <a:avLst/>
        </a:prstGeom>
      </xdr:spPr>
    </xdr:pic>
    <xdr:clientData/>
  </xdr:twoCellAnchor>
  <xdr:twoCellAnchor editAs="oneCell">
    <xdr:from>
      <xdr:col>0</xdr:col>
      <xdr:colOff>0</xdr:colOff>
      <xdr:row>121</xdr:row>
      <xdr:rowOff>129540</xdr:rowOff>
    </xdr:from>
    <xdr:to>
      <xdr:col>8</xdr:col>
      <xdr:colOff>543507</xdr:colOff>
      <xdr:row>139</xdr:row>
      <xdr:rowOff>81153</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6"/>
        <a:stretch>
          <a:fillRect/>
        </a:stretch>
      </xdr:blipFill>
      <xdr:spPr>
        <a:xfrm>
          <a:off x="0" y="22258020"/>
          <a:ext cx="6243267" cy="32434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paimai.jd.com/308053807" TargetMode="External"/><Relationship Id="rId2" Type="http://schemas.openxmlformats.org/officeDocument/2006/relationships/hyperlink" Target="https://paimai.jd.com/302378465" TargetMode="External"/><Relationship Id="rId1" Type="http://schemas.openxmlformats.org/officeDocument/2006/relationships/hyperlink" Target="https://paimai.jd.com/299236047" TargetMode="External"/><Relationship Id="rId6" Type="http://schemas.openxmlformats.org/officeDocument/2006/relationships/drawing" Target="../drawings/drawing3.xml"/><Relationship Id="rId5" Type="http://schemas.openxmlformats.org/officeDocument/2006/relationships/hyperlink" Target="https://sf-item.taobao.com/sf_item/844654171564.htm?spm=a213w.7398504.paiList.1.2303c54eyvRD3z&amp;track_id=0608fbea-1a95-452b-82fb-040a87832368" TargetMode="External"/><Relationship Id="rId4" Type="http://schemas.openxmlformats.org/officeDocument/2006/relationships/hyperlink" Target="https://paimai.jd.com/289100617"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估价对象为北京市房地产，为所有。根据《国有土地使用证》[]，估价对象（分摊）出让国有建设用地使用权面积为0平方米，建筑面积为89.91平方米。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估价对象为北京市房地产,属开发建设的，该项目尚在开发建设中。根据《国有土地使用证》[]，估价对象（分摊）出让国有建设用地使用权面积为0平方米，规划建筑面积为89.91平方米。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2025年4月2日（评估专业人员实地查勘之日）</v>
      </c>
    </row>
    <row r="13" spans="1:2">
      <c r="A13" s="1119" t="s">
        <v>529</v>
      </c>
      <c r="B13" s="1120" t="str">
        <f>'预评函-1'!A18</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89.91</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4" t="s">
        <v>2579</v>
      </c>
      <c r="J2" s="3224"/>
      <c r="K2" s="3224"/>
      <c r="L2" s="3224"/>
      <c r="M2" s="3224"/>
      <c r="N2" s="3224"/>
      <c r="O2" s="3224"/>
      <c r="P2" s="3224"/>
      <c r="Q2" s="3224"/>
      <c r="R2" s="3224"/>
    </row>
    <row r="3" spans="1:18">
      <c r="A3" s="2760" t="s">
        <v>2500</v>
      </c>
      <c r="B3" s="2761">
        <f>项目基本情况!D3</f>
        <v>45749</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1.71</v>
      </c>
      <c r="D5" s="2765">
        <f>IF(ISERROR(ROUND(POWER(1+E5,A5-C5)*(POWER(1+E5,C5)-1)/(POWER(1+E5,A5)-1),3)),0,ROUND(POWER(1+E5,A5-C5)*(POWER(1+E5,C5)-1)/(POWER(1+E5,A5)-1),4))</f>
        <v>8.1900000000000001E-2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11.72</v>
      </c>
      <c r="D6" s="2765">
        <f>IF(ISERROR(ROUND(POWER(1+E6,A6-C6)*(POWER(1+E6,C6)-1)/(POWER(1+E6,A6)-1),3)),0,ROUND(POWER(1+E6,A6-C6)*(POWER(1+E6,C6)-1)/(POWER(1+E6,A6)-1),4))</f>
        <v>0.4289</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31.73</v>
      </c>
      <c r="D7" s="2765">
        <f>IF(ISERROR(ROUND(POWER(1+E7,A7-C7)*(POWER(1+E7,C7)-1)/(POWER(1+E7,A7)-1),3)),0,ROUND(POWER(1+E7,A7-C7)*(POWER(1+E7,C7)-1)/(POWER(1+E7,A7)-1),4))</f>
        <v>0.76080000000000003</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4.25" thickBot="1">
      <c r="A18" s="2770" t="s">
        <v>2515</v>
      </c>
      <c r="B18" s="2771">
        <f>ROUND(B17*F11/F12,2)</f>
        <v>5541.87</v>
      </c>
      <c r="C18" s="2771">
        <f>ROUND(F11/F12,4)</f>
        <v>1.1521999999999999</v>
      </c>
      <c r="D18" s="2772"/>
      <c r="E18" s="2772"/>
      <c r="F18" s="2773"/>
    </row>
    <row r="19" spans="1:14" ht="14.25" thickBot="1"/>
    <row r="20" spans="1:14" s="2806" customFormat="1" ht="14.2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4.2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27" sqref="H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225" t="str">
        <f>IF(B10="北京市","北京市",C10)&amp;F10&amp;IF(结果表!G1="在建","出让国有建设用地使用权及在建建筑物",IF(结果表!G1="土地","出让国有建设用地使用权",))&amp;B9&amp;"预评估"</f>
        <v>北京市房地产市场价值预评估</v>
      </c>
      <c r="C1" s="3226"/>
      <c r="D1" s="3226"/>
      <c r="E1" s="3226"/>
      <c r="F1" s="3226"/>
      <c r="G1" s="3226"/>
      <c r="H1" s="3226"/>
      <c r="I1" s="3227"/>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45749</v>
      </c>
      <c r="C3" s="2183" t="s">
        <v>2171</v>
      </c>
      <c r="D3" s="2182">
        <f>B3</f>
        <v>45749</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3404</v>
      </c>
      <c r="C8" s="2198"/>
      <c r="D8" s="3228" t="s">
        <v>2177</v>
      </c>
      <c r="E8" s="2199"/>
      <c r="F8" s="2200"/>
      <c r="G8" s="2439"/>
      <c r="H8" s="2439"/>
      <c r="I8" s="2439"/>
      <c r="J8" s="2242"/>
      <c r="K8" s="2397"/>
      <c r="L8" s="2396"/>
      <c r="M8" s="2396"/>
      <c r="N8" s="2242"/>
      <c r="O8" s="1670"/>
      <c r="P8" s="2242"/>
      <c r="Q8" s="2242"/>
      <c r="R8" s="2242"/>
    </row>
    <row r="9" spans="1:30" ht="13.5" thickBot="1">
      <c r="A9" s="2201" t="s">
        <v>2178</v>
      </c>
      <c r="B9" s="2202" t="s">
        <v>3405</v>
      </c>
      <c r="C9" s="2203"/>
      <c r="D9" s="3229"/>
      <c r="E9" s="2202"/>
      <c r="F9" s="2204"/>
      <c r="G9" s="2440"/>
      <c r="H9" s="2440"/>
      <c r="I9" s="2440"/>
      <c r="J9" s="2242"/>
      <c r="K9" s="2399"/>
      <c r="L9" s="2396"/>
      <c r="M9" s="2396"/>
      <c r="N9" s="2242"/>
      <c r="O9" s="1670"/>
      <c r="P9" s="2242"/>
      <c r="Q9" s="2242"/>
      <c r="R9" s="2242"/>
    </row>
    <row r="10" spans="1:30" ht="13.5" thickTop="1">
      <c r="A10" s="2205" t="s">
        <v>2179</v>
      </c>
      <c r="B10" s="2206" t="s">
        <v>3406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3407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2575</v>
      </c>
      <c r="J12" s="2800"/>
      <c r="K12" s="2396"/>
      <c r="L12" s="2396"/>
      <c r="M12" s="2242"/>
      <c r="N12" s="1670"/>
      <c r="O12" s="2242"/>
      <c r="P12" s="2242"/>
      <c r="Q12" s="2242"/>
      <c r="AD12" s="1618"/>
    </row>
    <row r="13" spans="1:30">
      <c r="A13" s="3119" t="s">
        <v>3331</v>
      </c>
      <c r="B13" s="2215" t="s">
        <v>2190</v>
      </c>
      <c r="C13" s="803">
        <v>66190</v>
      </c>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f>IF(A13="出让",IF(C13="","",ROUNDDOWN(MIN((C13-$D$3)/365,C14),2)),C14)</f>
        <v>56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35"/>
      <c r="C16" s="3236"/>
      <c r="D16" s="3237"/>
      <c r="E16" s="2219" t="s">
        <v>2194</v>
      </c>
      <c r="F16" s="3238"/>
      <c r="G16" s="3239"/>
      <c r="H16" s="3239"/>
      <c r="I16" s="3240"/>
      <c r="J16" s="2242"/>
      <c r="K16" s="2400"/>
      <c r="L16" s="1670"/>
      <c r="M16" s="1670"/>
      <c r="N16" s="2242"/>
      <c r="O16" s="1670"/>
      <c r="P16" s="2242"/>
      <c r="Q16" s="2242"/>
      <c r="R16" s="2242"/>
    </row>
    <row r="17" spans="1:28">
      <c r="A17" s="305" t="s">
        <v>2195</v>
      </c>
      <c r="B17" s="294" t="s">
        <v>2196</v>
      </c>
      <c r="C17" s="8">
        <f>'数据-汇总表'!E3</f>
        <v>89.91</v>
      </c>
      <c r="D17" s="1256" t="s">
        <v>2197</v>
      </c>
      <c r="E17" s="3241" t="s">
        <v>2198</v>
      </c>
      <c r="F17" s="3242"/>
      <c r="G17" s="3242"/>
      <c r="H17" s="3242"/>
      <c r="I17" s="3243"/>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44" t="s">
        <v>2202</v>
      </c>
      <c r="F18" s="3245"/>
      <c r="G18" s="3245"/>
      <c r="H18" s="3245"/>
      <c r="I18" s="3246"/>
      <c r="J18" s="2242"/>
      <c r="K18" s="2401"/>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1" t="s">
        <v>2206</v>
      </c>
      <c r="C20" s="3232"/>
      <c r="D20" s="3233" t="s">
        <v>2207</v>
      </c>
      <c r="E20" s="3234"/>
      <c r="F20" s="2427" t="s">
        <v>1056</v>
      </c>
      <c r="G20" s="2439"/>
      <c r="H20" s="2439"/>
      <c r="I20" s="2439"/>
      <c r="J20" s="2242"/>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48"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48"/>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48"/>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49"/>
      <c r="B30" s="294" t="s">
        <v>2218</v>
      </c>
      <c r="C30" s="3250"/>
      <c r="D30" s="3251"/>
      <c r="E30" s="2439"/>
      <c r="F30" s="2439"/>
      <c r="G30" s="2439"/>
      <c r="H30" s="2439"/>
      <c r="I30" s="2439"/>
      <c r="J30" s="2242"/>
      <c r="K30" s="2399"/>
      <c r="L30" s="2396"/>
      <c r="M30" s="2396"/>
      <c r="N30" s="2242"/>
      <c r="O30" s="1670"/>
      <c r="P30" s="2242"/>
      <c r="Q30" s="2242"/>
      <c r="R30" s="2242"/>
      <c r="S30" s="2242"/>
      <c r="T30" s="2242"/>
      <c r="U30" s="2242"/>
      <c r="V30" s="2242"/>
    </row>
    <row r="31" spans="1:28">
      <c r="A31" s="3252"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3"/>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3"/>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2"/>
      <c r="V34" s="2242"/>
    </row>
    <row r="35" spans="1:30">
      <c r="A35" s="2233"/>
      <c r="B35" s="3247" t="s">
        <v>2229</v>
      </c>
      <c r="C35" s="3247"/>
      <c r="D35" s="3247"/>
      <c r="E35" s="3247"/>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2578</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8" sqref="C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89.91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89.91</v>
      </c>
      <c r="H5" s="13">
        <f t="shared" ref="H5:AT5" si="0">SUM(H13:H656)</f>
        <v>89.91</v>
      </c>
      <c r="I5" s="13">
        <f t="shared" si="0"/>
        <v>89.91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89.91</v>
      </c>
      <c r="BA5" s="15">
        <f t="shared" si="1"/>
        <v>89.91</v>
      </c>
      <c r="BB5" s="15">
        <f t="shared" si="1"/>
        <v>89.91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3425</v>
      </c>
      <c r="E13" s="13">
        <f>IF($C$3="是",ROUND($A$3*G13/$B$3,2),ROUND($A$3*(G13-AT13)/$B$3,2))</f>
        <v>0</v>
      </c>
      <c r="F13" s="29"/>
      <c r="G13" s="30">
        <f>H13+AC13+AT13</f>
        <v>89.91</v>
      </c>
      <c r="H13" s="17">
        <f>SUMIF(I$12:AB$12,"总值",I13:AB13)</f>
        <v>89.91</v>
      </c>
      <c r="I13" s="1514">
        <v>89.91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89.91</v>
      </c>
      <c r="BA13" s="13">
        <f>SUM(BB13:BK13)</f>
        <v>89.91</v>
      </c>
      <c r="BB13" s="13">
        <f>IF($D13="是",I13-J13,0)</f>
        <v>89.91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3" t="s">
        <v>1131</v>
      </c>
      <c r="B2" s="3263"/>
      <c r="C2" s="3263"/>
      <c r="D2" s="748" t="s">
        <v>1107</v>
      </c>
      <c r="E2" s="1523" t="s">
        <v>1108</v>
      </c>
      <c r="F2" s="2436"/>
      <c r="G2" s="2429"/>
      <c r="H2" s="2430"/>
      <c r="I2" s="2143" t="s">
        <v>1132</v>
      </c>
      <c r="J2" s="2436"/>
      <c r="K2" s="2436"/>
      <c r="L2" s="2436"/>
      <c r="M2" s="2436"/>
      <c r="N2" s="2437"/>
      <c r="O2" s="2436"/>
      <c r="P2" s="2436"/>
    </row>
    <row r="3" spans="1:16" ht="15.75" thickBot="1">
      <c r="A3" s="3264" t="s">
        <v>1105</v>
      </c>
      <c r="B3" s="3264"/>
      <c r="C3" s="3264"/>
      <c r="D3" s="41">
        <f>'数据-基础表'!AY6</f>
        <v>0</v>
      </c>
      <c r="E3" s="41">
        <f>'数据-基础表'!AZ5</f>
        <v>89.91</v>
      </c>
      <c r="F3" s="2436"/>
      <c r="G3" s="42"/>
      <c r="H3" s="43" t="s">
        <v>1106</v>
      </c>
      <c r="I3" s="802" t="e">
        <f>ROUND('数据-基础表'!B3/'数据-基础表'!A3,2)</f>
        <v>#DIV/0!</v>
      </c>
      <c r="J3" s="2436"/>
      <c r="K3" s="2436"/>
      <c r="L3" s="2436"/>
      <c r="M3" s="2436"/>
      <c r="N3" s="2437"/>
      <c r="O3" s="2436"/>
      <c r="P3" s="2436"/>
    </row>
    <row r="4" spans="1:16" ht="15">
      <c r="A4" s="3265"/>
      <c r="B4" s="3266"/>
      <c r="C4" s="3267"/>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68" t="s">
        <v>1110</v>
      </c>
      <c r="C5" s="3268"/>
      <c r="D5" s="43">
        <f>ROUND($D$3*E5/$E$3,2)</f>
        <v>0</v>
      </c>
      <c r="E5" s="44">
        <f>SUMIF('数据-基础表'!$11:$11,"住宅",'数据-基础表'!$5:$5)</f>
        <v>89.91</v>
      </c>
      <c r="F5" s="2436"/>
      <c r="G5" s="42"/>
      <c r="H5" s="43" t="s">
        <v>1106</v>
      </c>
      <c r="I5" s="802" t="e">
        <f>ROUND(E31/D31,2)</f>
        <v>#DIV/0!</v>
      </c>
      <c r="J5" s="2436"/>
      <c r="K5" s="2436"/>
      <c r="L5" s="2436"/>
      <c r="M5" s="2436"/>
      <c r="N5" s="2436"/>
      <c r="O5" s="2436"/>
      <c r="P5" s="2436"/>
    </row>
    <row r="6" spans="1:16" ht="15" thickBot="1">
      <c r="A6" s="1527"/>
      <c r="B6" s="3268" t="s">
        <v>1111</v>
      </c>
      <c r="C6" s="3268"/>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60"/>
      <c r="B7" s="3261"/>
      <c r="C7" s="3262"/>
      <c r="D7" s="1524" t="s">
        <v>1107</v>
      </c>
      <c r="E7" s="1528" t="s">
        <v>1114</v>
      </c>
      <c r="F7" s="2436"/>
      <c r="G7" s="2433" t="s">
        <v>1115</v>
      </c>
      <c r="H7" s="95"/>
      <c r="I7" s="2434">
        <v>2.5</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89.91</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89.91</v>
      </c>
      <c r="F16" s="2436"/>
      <c r="G16" s="2436"/>
      <c r="H16" s="1531" t="s">
        <v>1135</v>
      </c>
      <c r="I16" s="1532"/>
      <c r="J16" s="1071"/>
      <c r="K16" s="3257" t="s">
        <v>1135</v>
      </c>
      <c r="L16" s="3258"/>
      <c r="M16" s="3258"/>
      <c r="N16" s="3258"/>
      <c r="O16" s="3258"/>
      <c r="P16" s="3259"/>
    </row>
    <row r="17" spans="1:19" ht="15">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3426</v>
      </c>
      <c r="D19" s="43">
        <f>ROUND($D$3*E19/$E$3,2)</f>
        <v>0</v>
      </c>
      <c r="E19" s="51">
        <f t="shared" ref="E19:E26" si="1">SUM(F19:G19)</f>
        <v>89.91</v>
      </c>
      <c r="F19" s="2555">
        <f>'数据-基础表'!I13</f>
        <v>89.91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89.91</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89.91</v>
      </c>
      <c r="F27" s="1072">
        <f>IF(SUM(F19:F26)=E8,SUM(F19:F26),"地上面积有误")</f>
        <v>89.91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89.91</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89.91</v>
      </c>
      <c r="F31" s="644">
        <f>F27+F30</f>
        <v>89.91</v>
      </c>
      <c r="G31" s="645">
        <f>G27+G30</f>
        <v>0</v>
      </c>
      <c r="H31" s="2436"/>
      <c r="I31" s="2436"/>
      <c r="J31" s="2436"/>
      <c r="K31" s="2436"/>
      <c r="L31" s="2436"/>
      <c r="M31" s="2436"/>
      <c r="N31" s="2436"/>
      <c r="O31" s="2436"/>
      <c r="P31" s="2436"/>
    </row>
    <row r="32" spans="1:19">
      <c r="A32" s="1526"/>
      <c r="B32" s="1526" t="s">
        <v>1159</v>
      </c>
      <c r="C32" s="1526"/>
      <c r="D32" s="1526"/>
      <c r="E32" s="990">
        <f>SUMIF(C19:C26,"*住宅*",E19:E26)</f>
        <v>89.91</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618" customWidth="1"/>
    <col min="2" max="2" width="12" style="1561" customWidth="1"/>
    <col min="3" max="3" width="22.8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0.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45749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3153" t="s">
        <v>3427</v>
      </c>
      <c r="D6" s="805">
        <f>SUMIF(项目基本情况!C$12:I$12,C6,项目基本情况!C$14:I$14)</f>
        <v>70</v>
      </c>
      <c r="E6" s="804">
        <f>IF(B6="","",SUMIF(项目基本情况!C$12:I$12,C6,项目基本情况!C$13:I$13))</f>
        <v>66190</v>
      </c>
      <c r="F6" s="61">
        <f>SUMIF(项目基本情况!C$12:I$12,C6,项目基本情况!C$15:I$15)</f>
        <v>56</v>
      </c>
      <c r="G6" s="62">
        <f>IF(ISERROR(ROUND(POWER(1+H6,D6-F6)*(POWER(1+H6,F6)-1)/(POWER(1+H6,D6)-1),3)),0,ROUND(POWER(1+H6,D6-F6)*(POWER(1+H6,F6)-1)/(POWER(1+H6,D6)-1),3))</f>
        <v>0.95</v>
      </c>
      <c r="H6" s="691">
        <v>0.04</v>
      </c>
      <c r="I6" s="691">
        <v>4.4999999999999998E-2</v>
      </c>
      <c r="J6" s="63">
        <v>0.06</v>
      </c>
      <c r="K6" s="970">
        <f>SUMIF('数据-汇总表'!C$19:C$33,A6,'数据-汇总表'!E$19:E$33)</f>
        <v>89.91</v>
      </c>
      <c r="L6" s="692">
        <v>3500</v>
      </c>
      <c r="M6" s="64">
        <f t="shared" ref="M6:M14" si="0">ROUND(K6*L6/10000,0)</f>
        <v>31</v>
      </c>
      <c r="N6" s="690">
        <f>O21</f>
        <v>0.83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4700</v>
      </c>
      <c r="V6" s="67">
        <v>0.02</v>
      </c>
      <c r="W6" s="67">
        <v>0.05</v>
      </c>
      <c r="X6" s="979"/>
      <c r="Y6" s="68">
        <f>N6</f>
        <v>0.83</v>
      </c>
      <c r="Z6" s="69"/>
      <c r="AA6" s="63"/>
      <c r="AB6" s="63"/>
      <c r="AC6" s="979"/>
      <c r="AD6" s="70"/>
      <c r="AE6" s="980">
        <f ca="1">IF(AN6="",0,SUMIF(INDIRECT("'"&amp;AN6&amp;"'"&amp;"!E:E"),$AE$5,INDIRECT("'"&amp;AN6&amp;"'"&amp;"!F:F")))</f>
        <v>56</v>
      </c>
      <c r="AF6" s="74"/>
      <c r="AG6" s="130">
        <f>IF(AF6="",0,AE6-AF6)</f>
        <v>0</v>
      </c>
      <c r="AH6" s="71">
        <v>1</v>
      </c>
      <c r="AI6" s="73">
        <v>12</v>
      </c>
      <c r="AJ6" s="74"/>
      <c r="AK6" s="75">
        <v>5.0000000000000001E-3</v>
      </c>
      <c r="AL6" s="76">
        <v>1E-3</v>
      </c>
      <c r="AM6" s="77">
        <v>5.0000000000000001E-3</v>
      </c>
      <c r="AN6" s="1589" t="s">
        <v>3429</v>
      </c>
      <c r="AO6" s="50">
        <f ca="1">SUMIF(INDIRECT("'"&amp;AN6&amp;"'"&amp;"!A:A"),"总价",INDIRECT("'"&amp;AN6&amp;"'"&amp;"!B:B"))</f>
        <v>145.94999999999999</v>
      </c>
      <c r="AP6" s="1590">
        <f>IF(C6="住宅",K6*L6,0)</f>
        <v>314685</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0.95</v>
      </c>
      <c r="H16" s="84">
        <f>ROUND(SUMPRODUCT(H6:H13,K6:K13)/SUMPRODUCT((H6:H13&gt;0)*(K6:K13)),3)</f>
        <v>0.04</v>
      </c>
      <c r="I16" s="85"/>
      <c r="J16" s="85"/>
      <c r="K16" s="86">
        <f>SUM(K6:K15)</f>
        <v>89.91</v>
      </c>
      <c r="L16" s="87">
        <f>ROUND(M16*10000/SUM(K6:K14),0)</f>
        <v>3448</v>
      </c>
      <c r="M16" s="87">
        <f>SUM(M6:M14)</f>
        <v>31</v>
      </c>
      <c r="N16" s="88">
        <f>ROUND(SUMPRODUCT(M6:M14,N6:N14)/M16,3)</f>
        <v>0.83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2025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6"/>
      <c r="F19" s="2436"/>
      <c r="G19" s="2436"/>
      <c r="H19" s="2436"/>
      <c r="I19" s="2436"/>
      <c r="J19" s="2436"/>
      <c r="K19" s="2447"/>
      <c r="L19" s="2447"/>
      <c r="M19" s="2446"/>
      <c r="N19" s="2446">
        <v>2013</v>
      </c>
      <c r="O19" s="3154">
        <f>ROUND(1-(N18-N19)/60,2)</f>
        <v>0.8</v>
      </c>
      <c r="P19" s="3155">
        <v>0.5</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6"/>
      <c r="F20" s="2436"/>
      <c r="G20" s="2436"/>
      <c r="H20" s="2436"/>
      <c r="I20" s="2436"/>
      <c r="J20" s="2436"/>
      <c r="K20" s="2447"/>
      <c r="L20" s="2447"/>
      <c r="M20" s="2446"/>
      <c r="N20" s="2446"/>
      <c r="O20" s="3155">
        <v>0.85</v>
      </c>
      <c r="P20" s="3155">
        <v>0.5</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c r="M21" s="2446"/>
      <c r="N21" s="2446"/>
      <c r="O21" s="3156">
        <f>ROUND(O19*P19+O20*P20,2)</f>
        <v>0.83</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2304</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2295</v>
      </c>
      <c r="D34" s="2457" t="s">
        <v>2301</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0.01</v>
      </c>
      <c r="C37" s="2562" t="s">
        <v>3386</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0.03</v>
      </c>
      <c r="C38" s="2562" t="s">
        <v>3387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3430</v>
      </c>
      <c r="B40" s="1015">
        <f ca="1">IF(A40="利息：取LPR",存贷款利率!G1,存贷款利率!G1+C40)</f>
        <v>3.1E-2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3388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7" t="s">
        <v>1246</v>
      </c>
      <c r="D53" s="2563" t="s">
        <v>2303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69" t="s">
        <v>2286</v>
      </c>
      <c r="B1" s="3270"/>
      <c r="C1" s="3270"/>
      <c r="D1" s="3270"/>
      <c r="E1" s="3270"/>
      <c r="F1" s="3270"/>
      <c r="G1" s="327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21" sqref="D21"/>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89.91</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45749</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277</v>
      </c>
      <c r="C5" s="2297" t="e">
        <f ca="1">IF(B5=D14,结果表!H102,ROUND(B5*10000/$B$1,0))</f>
        <v>#DIV/0!</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3355</v>
      </c>
      <c r="D10" s="2297" t="s">
        <v>3356</v>
      </c>
      <c r="E10" s="3134"/>
      <c r="F10" s="3138" t="s">
        <v>3357</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'数据-汇总表'!E19</f>
        <v>89.91</v>
      </c>
      <c r="C14" s="2303"/>
      <c r="D14" s="2303">
        <f ca="1">结果表!G19</f>
        <v>277</v>
      </c>
      <c r="E14" s="2303">
        <f ca="1">ROUND(D14*10000/B14,0)</f>
        <v>30809</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20" sqref="K2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3422</v>
      </c>
      <c r="D1" s="646"/>
      <c r="E1" s="646"/>
      <c r="F1" s="1621" t="s">
        <v>1263</v>
      </c>
      <c r="G1" s="1453"/>
      <c r="H1" s="1621" t="str">
        <f>IF(G1="现房","——","估价对象范围")</f>
        <v>估价对象范围</v>
      </c>
      <c r="I1" s="1622"/>
    </row>
    <row r="2" spans="1:12" ht="21.75" customHeight="1" thickBot="1">
      <c r="A2" s="3338" t="str">
        <f>项目基本情况!S2</f>
        <v>北京市房地产</v>
      </c>
      <c r="B2" s="3339"/>
      <c r="C2" s="3339"/>
      <c r="D2" s="3339"/>
      <c r="E2" s="3339"/>
      <c r="F2" s="3339"/>
      <c r="G2" s="3339"/>
      <c r="H2" s="3339"/>
      <c r="I2" s="3340"/>
    </row>
    <row r="3" spans="1:12" ht="12.75">
      <c r="A3" s="3342" t="s">
        <v>1264</v>
      </c>
      <c r="B3" s="3343"/>
      <c r="C3" s="3343"/>
      <c r="D3" s="3343"/>
      <c r="E3" s="3343"/>
      <c r="F3" s="3343"/>
      <c r="G3" s="3343"/>
      <c r="H3" s="3343"/>
      <c r="I3" s="3343"/>
    </row>
    <row r="4" spans="1:12" ht="14.25">
      <c r="A4" s="1624" t="s">
        <v>1265</v>
      </c>
      <c r="B4" s="1625" t="s">
        <v>1266</v>
      </c>
      <c r="C4" s="1626" t="s">
        <v>3429</v>
      </c>
      <c r="D4" s="1626" t="s">
        <v>3490</v>
      </c>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6" t="s">
        <v>1268</v>
      </c>
      <c r="B5" s="3341">
        <v>25</v>
      </c>
      <c r="C5" s="3344">
        <v>2</v>
      </c>
      <c r="D5" s="3332">
        <f>10-C5</f>
        <v>8</v>
      </c>
      <c r="E5" s="123" t="s">
        <v>1269</v>
      </c>
      <c r="F5" s="1627"/>
      <c r="G5" s="1627"/>
      <c r="H5" s="1627"/>
      <c r="I5" s="1281"/>
    </row>
    <row r="6" spans="1:12" ht="13.5" thickBot="1">
      <c r="A6" s="3286"/>
      <c r="B6" s="3341"/>
      <c r="C6" s="3346"/>
      <c r="D6" s="3332"/>
      <c r="E6" s="123" t="s">
        <v>1270</v>
      </c>
      <c r="F6" s="1627"/>
      <c r="G6" s="1627"/>
      <c r="H6" s="1627"/>
      <c r="I6" s="1281"/>
    </row>
    <row r="7" spans="1:12" ht="12.75" hidden="1">
      <c r="A7" s="3286"/>
      <c r="B7" s="3341"/>
      <c r="C7" s="3345"/>
      <c r="D7" s="3332"/>
      <c r="E7" s="123" t="s">
        <v>1271</v>
      </c>
      <c r="F7" s="1627"/>
      <c r="G7" s="1627"/>
      <c r="H7" s="1627"/>
      <c r="I7" s="1281"/>
    </row>
    <row r="8" spans="1:12" ht="12.75" hidden="1">
      <c r="A8" s="3286" t="s">
        <v>1272</v>
      </c>
      <c r="B8" s="3341">
        <v>15</v>
      </c>
      <c r="C8" s="3344"/>
      <c r="D8" s="3332"/>
      <c r="E8" s="123" t="s">
        <v>1273</v>
      </c>
      <c r="F8" s="1627"/>
      <c r="G8" s="1627"/>
      <c r="H8" s="1627"/>
      <c r="I8" s="1281"/>
    </row>
    <row r="9" spans="1:12" ht="12.75" hidden="1">
      <c r="A9" s="3286"/>
      <c r="B9" s="3341"/>
      <c r="C9" s="3345"/>
      <c r="D9" s="3332"/>
      <c r="E9" s="123" t="s">
        <v>1274</v>
      </c>
      <c r="F9" s="1627"/>
      <c r="G9" s="1627"/>
      <c r="H9" s="1627"/>
      <c r="I9" s="1281"/>
    </row>
    <row r="10" spans="1:12" ht="12.75" hidden="1">
      <c r="A10" s="3286" t="s">
        <v>1275</v>
      </c>
      <c r="B10" s="3341">
        <v>15</v>
      </c>
      <c r="C10" s="3344"/>
      <c r="D10" s="3332"/>
      <c r="E10" s="123" t="s">
        <v>1276</v>
      </c>
      <c r="F10" s="1627"/>
      <c r="G10" s="1627"/>
      <c r="H10" s="1627"/>
      <c r="I10" s="1281"/>
    </row>
    <row r="11" spans="1:12" ht="12.75" hidden="1">
      <c r="A11" s="3286"/>
      <c r="B11" s="3341"/>
      <c r="C11" s="3345"/>
      <c r="D11" s="3332"/>
      <c r="E11" s="123" t="s">
        <v>1277</v>
      </c>
      <c r="F11" s="1627"/>
      <c r="G11" s="1627"/>
      <c r="H11" s="1627"/>
      <c r="I11" s="1281"/>
    </row>
    <row r="12" spans="1:12" ht="12.75" hidden="1">
      <c r="A12" s="3286" t="s">
        <v>1278</v>
      </c>
      <c r="B12" s="3341">
        <v>15</v>
      </c>
      <c r="C12" s="3344"/>
      <c r="D12" s="3332"/>
      <c r="E12" s="123" t="s">
        <v>1279</v>
      </c>
      <c r="F12" s="1627"/>
      <c r="G12" s="1627"/>
      <c r="H12" s="1627"/>
      <c r="I12" s="1281"/>
    </row>
    <row r="13" spans="1:12" ht="12.75" hidden="1">
      <c r="A13" s="3286"/>
      <c r="B13" s="3341"/>
      <c r="C13" s="3345"/>
      <c r="D13" s="3332"/>
      <c r="E13" s="123" t="s">
        <v>1280</v>
      </c>
      <c r="F13" s="1627"/>
      <c r="G13" s="1627"/>
      <c r="H13" s="1627"/>
      <c r="I13" s="1281"/>
    </row>
    <row r="14" spans="1:12" ht="12.75" hidden="1">
      <c r="A14" s="3286" t="s">
        <v>1281</v>
      </c>
      <c r="B14" s="3341">
        <v>30</v>
      </c>
      <c r="C14" s="3344"/>
      <c r="D14" s="3332"/>
      <c r="E14" s="123" t="s">
        <v>1282</v>
      </c>
      <c r="F14" s="1627"/>
      <c r="G14" s="1627"/>
      <c r="H14" s="1627"/>
      <c r="I14" s="1281"/>
    </row>
    <row r="15" spans="1:12" ht="12.75" hidden="1">
      <c r="A15" s="3286"/>
      <c r="B15" s="3341"/>
      <c r="C15" s="3346"/>
      <c r="D15" s="3332"/>
      <c r="E15" s="123" t="s">
        <v>1283</v>
      </c>
      <c r="F15" s="1627"/>
      <c r="G15" s="1627"/>
      <c r="H15" s="1627"/>
      <c r="I15" s="1281"/>
    </row>
    <row r="16" spans="1:12" ht="12.75" hidden="1">
      <c r="A16" s="3286"/>
      <c r="B16" s="3341"/>
      <c r="C16" s="3345"/>
      <c r="D16" s="3332"/>
      <c r="E16" s="123" t="s">
        <v>1284</v>
      </c>
      <c r="F16" s="1627"/>
      <c r="G16" s="1627"/>
      <c r="H16" s="1627"/>
      <c r="I16" s="1281"/>
    </row>
    <row r="17" spans="1:36" ht="15" hidden="1">
      <c r="A17" s="1628" t="s">
        <v>1285</v>
      </c>
      <c r="B17" s="54"/>
      <c r="C17" s="124">
        <f>SUM(C5:C16)</f>
        <v>2</v>
      </c>
      <c r="D17" s="124">
        <f>SUM(D5:D16)</f>
        <v>8</v>
      </c>
      <c r="E17" s="121"/>
      <c r="F17" s="121"/>
      <c r="G17" s="121"/>
      <c r="H17" s="121"/>
      <c r="I17" s="121"/>
      <c r="K17" s="294"/>
      <c r="L17" s="294" t="s">
        <v>1286</v>
      </c>
      <c r="M17" s="294" t="s">
        <v>1287</v>
      </c>
    </row>
    <row r="18" spans="1:36" ht="31.9" hidden="1" customHeight="1" thickBot="1">
      <c r="A18" s="1629" t="s">
        <v>1288</v>
      </c>
      <c r="B18" s="1542"/>
      <c r="C18" s="125">
        <f>ROUND(C17/SUM(C17:D17),2)</f>
        <v>0.2</v>
      </c>
      <c r="D18" s="125">
        <f>1-C18</f>
        <v>0.8</v>
      </c>
      <c r="E18" s="3363" t="s">
        <v>2131</v>
      </c>
      <c r="F18" s="3364"/>
      <c r="G18" s="3364"/>
      <c r="H18" s="3364"/>
      <c r="I18" s="3364"/>
      <c r="K18" s="294" t="s">
        <v>1289</v>
      </c>
      <c r="L18" s="294">
        <f>IF(C1="",'数据-汇总表'!E3,SUMIF(项目类型,C1,'数据-汇总表'!E17:E26)+SUMIF(项目类型,C1,'数据-汇总表'!I17:I26))</f>
        <v>89.91</v>
      </c>
      <c r="M18" s="294">
        <f>IF(C1="",'数据-汇总表'!E3,SUMIF(项目类型,C1,'数据-汇总表'!E17:E26))</f>
        <v>89.91</v>
      </c>
    </row>
    <row r="19" spans="1:36" ht="15">
      <c r="A19" s="1630" t="s">
        <v>1290</v>
      </c>
      <c r="B19" s="1631" t="s">
        <v>1291</v>
      </c>
      <c r="C19" s="126">
        <f ca="1">SUMIF(INDIRECT("'"&amp;C4&amp;"'"&amp;"!A:A"),结果表!B19,INDIRECT("'"&amp;C4&amp;"'"&amp;"!B:B"))</f>
        <v>145.94999999999999</v>
      </c>
      <c r="D19" s="127">
        <f ca="1">SUMIF(INDIRECT("'"&amp;D4&amp;"'"&amp;"!A:A"),结果表!B19,INDIRECT("'"&amp;D4&amp;"'"&amp;"!B:B"))</f>
        <v>309.72199999999998</v>
      </c>
      <c r="E19" s="1630" t="s">
        <v>1292</v>
      </c>
      <c r="F19" s="1631" t="s">
        <v>1291</v>
      </c>
      <c r="G19" s="128">
        <f ca="1">ROUND(C19*$C$18+D19*$D$18,0)</f>
        <v>277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16233</v>
      </c>
      <c r="D20" s="130">
        <f ca="1">SUMIF(INDIRECT("'"&amp;D4&amp;"'"&amp;"!A:A"),结果表!B20,INDIRECT("'"&amp;D4&amp;"'"&amp;"!B:B"))</f>
        <v>34448</v>
      </c>
      <c r="E20" s="1633"/>
      <c r="F20" s="43" t="s">
        <v>1295</v>
      </c>
      <c r="G20" s="131">
        <f ca="1">ROUND(C20*$C$18+D20*$D$18,0)</f>
        <v>30805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1.1221103117505997</v>
      </c>
      <c r="E22" s="121"/>
      <c r="F22" s="121"/>
      <c r="G22" s="121">
        <f ca="1">G20*'数据-汇总表'!E3</f>
        <v>2769677.55</v>
      </c>
      <c r="H22" s="121"/>
      <c r="I22" s="121"/>
    </row>
    <row r="23" spans="1:36" ht="13.5" thickBot="1">
      <c r="A23" s="646"/>
      <c r="B23" s="646"/>
      <c r="C23" s="646"/>
      <c r="D23" s="646"/>
      <c r="E23" s="121"/>
      <c r="F23" s="121"/>
      <c r="G23" s="121"/>
      <c r="H23" s="121"/>
      <c r="I23" s="121"/>
    </row>
    <row r="24" spans="1:36" ht="14.25">
      <c r="A24" s="3356" t="s">
        <v>1299</v>
      </c>
      <c r="B24" s="1631" t="s">
        <v>1291</v>
      </c>
      <c r="C24" s="128">
        <f>IF(B30=0,0,D30)</f>
        <v>0</v>
      </c>
      <c r="D24" s="1637"/>
      <c r="E24" s="121"/>
      <c r="F24" s="121"/>
      <c r="G24" s="121">
        <f ca="1">G20/'比较法-住宅'!G47</f>
        <v>0.87076349040336942</v>
      </c>
      <c r="H24" s="3182" t="s">
        <v>3550</v>
      </c>
      <c r="I24" s="121">
        <v>290</v>
      </c>
    </row>
    <row r="25" spans="1:36" ht="14.25">
      <c r="A25" s="3357"/>
      <c r="B25" s="43" t="s">
        <v>1295</v>
      </c>
      <c r="C25" s="133">
        <f>IF(B30=0,0,C30)</f>
        <v>0</v>
      </c>
      <c r="D25" s="1638"/>
      <c r="E25" s="121"/>
      <c r="F25" s="121"/>
      <c r="G25" s="121"/>
      <c r="H25" s="3182" t="s">
        <v>3551</v>
      </c>
      <c r="I25" s="121">
        <v>230</v>
      </c>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f ca="1">IF(D32="总价",G19-C24,G20-C25)</f>
        <v>30805</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3" t="s">
        <v>1312</v>
      </c>
      <c r="B36" s="1652" t="s">
        <v>1313</v>
      </c>
      <c r="C36" s="137"/>
      <c r="D36" s="1653"/>
      <c r="E36" s="1567"/>
      <c r="F36" s="1654"/>
      <c r="G36" s="121"/>
      <c r="H36" s="121"/>
      <c r="I36" s="121"/>
    </row>
    <row r="37" spans="1:15" ht="15.75" thickBot="1">
      <c r="A37" s="3334"/>
      <c r="B37" s="1555" t="s">
        <v>1314</v>
      </c>
      <c r="C37" s="139"/>
      <c r="D37" s="1071"/>
      <c r="E37" s="1071"/>
      <c r="F37" s="1654"/>
      <c r="G37" s="121"/>
      <c r="H37" s="121"/>
      <c r="I37" s="121"/>
    </row>
    <row r="38" spans="1:15" ht="15.75" thickBot="1">
      <c r="A38" s="333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3" t="s">
        <v>1326</v>
      </c>
      <c r="B45" s="3354"/>
      <c r="C45" s="3355"/>
      <c r="D45" s="147" t="e">
        <f ca="1">ROUND(H101*F45,0)</f>
        <v>#REF!</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8"/>
      <c r="I46" s="151"/>
      <c r="J46" s="2307">
        <v>1</v>
      </c>
      <c r="K46" s="3274" t="s">
        <v>1331</v>
      </c>
      <c r="L46" s="3274"/>
      <c r="M46" s="3275"/>
      <c r="N46" s="3275"/>
      <c r="O46" s="3275"/>
    </row>
    <row r="47" spans="1:15" ht="12" customHeight="1">
      <c r="A47" s="152" t="s">
        <v>1332</v>
      </c>
      <c r="B47" s="153"/>
      <c r="C47" s="154"/>
      <c r="D47" s="1024" t="s">
        <v>1333</v>
      </c>
      <c r="E47" s="294" t="s">
        <v>1334</v>
      </c>
      <c r="F47" s="155" t="s">
        <v>1335</v>
      </c>
      <c r="G47" s="2330" t="s">
        <v>1336</v>
      </c>
      <c r="H47" s="2331"/>
      <c r="I47" s="151"/>
      <c r="J47" s="2307">
        <v>2</v>
      </c>
      <c r="K47" s="3274" t="s">
        <v>1337</v>
      </c>
      <c r="L47" s="3274"/>
      <c r="M47" s="3276">
        <f>'数据-取费表'!B2</f>
        <v>45749</v>
      </c>
      <c r="N47" s="3276"/>
      <c r="O47" s="3276"/>
    </row>
    <row r="48" spans="1:15" ht="25.5">
      <c r="A48" s="3336" t="s">
        <v>1338</v>
      </c>
      <c r="B48" s="3337"/>
      <c r="C48" s="3337"/>
      <c r="D48" s="12" t="b">
        <f>IF(H48="情况1",0,IF(H48="情况2",D52,IF(H48="情况3",D53,IF(H48="情况4",D54))))</f>
        <v>0</v>
      </c>
      <c r="E48" s="1256" t="str">
        <f>IF(H48="情况4","(销售额-原购置价)×税（费）率","销售额×税（费）率")</f>
        <v>销售额×税（费）率</v>
      </c>
      <c r="F48" s="2332">
        <f>IF(H48="情况1","免征",'数据-取费表'!B41)</f>
        <v>5.5000000000000007E-2</v>
      </c>
      <c r="G48" s="2333" t="s">
        <v>1339</v>
      </c>
      <c r="H48" s="2334"/>
      <c r="I48" s="1668"/>
      <c r="J48" s="2307">
        <v>3</v>
      </c>
      <c r="K48" s="3274" t="s">
        <v>1340</v>
      </c>
      <c r="L48" s="3274"/>
      <c r="M48" s="3277" t="e">
        <f ca="1">H101</f>
        <v>#REF!</v>
      </c>
      <c r="N48" s="3277"/>
      <c r="O48" s="3277"/>
    </row>
    <row r="49" spans="1:35" ht="25.5" customHeight="1">
      <c r="A49" s="2149" t="s">
        <v>1341</v>
      </c>
      <c r="B49" s="3322" t="s">
        <v>1342</v>
      </c>
      <c r="C49" s="3322"/>
      <c r="D49" s="1478">
        <v>0</v>
      </c>
      <c r="E49" s="316" t="s">
        <v>1343</v>
      </c>
      <c r="F49" s="2230" t="s">
        <v>28</v>
      </c>
      <c r="G49" s="3305"/>
      <c r="H49" s="2131" t="s">
        <v>2134</v>
      </c>
      <c r="I49" s="2132"/>
      <c r="J49" s="2307">
        <v>4</v>
      </c>
      <c r="K49" s="3274" t="str">
        <f>IF(项目基本情况!E8="房地产抵押价值","房地产抵押价值","抵押担保权已注销时的房地产抵押价值")</f>
        <v>抵押担保权已注销时的房地产抵押价值</v>
      </c>
      <c r="L49" s="3274"/>
      <c r="M49" s="3277" t="str">
        <f>IF(项目基本情况!E8="房地产抵押价值",H107,H109)</f>
        <v>——</v>
      </c>
      <c r="N49" s="3277"/>
      <c r="O49" s="3277"/>
    </row>
    <row r="50" spans="1:35" ht="25.5" customHeight="1">
      <c r="A50" s="2335"/>
      <c r="B50" s="3322" t="s">
        <v>1344</v>
      </c>
      <c r="C50" s="3322"/>
      <c r="D50" s="2186"/>
      <c r="E50" s="323"/>
      <c r="F50" s="2230"/>
      <c r="G50" s="3306"/>
      <c r="H50" s="2133" t="s">
        <v>2135</v>
      </c>
      <c r="I50" s="2132"/>
      <c r="J50" s="3273" t="s">
        <v>1345</v>
      </c>
      <c r="K50" s="3273"/>
      <c r="L50" s="3273"/>
      <c r="M50" s="3273"/>
      <c r="N50" s="3273"/>
      <c r="O50" s="3273"/>
    </row>
    <row r="51" spans="1:35" ht="20.45" customHeight="1">
      <c r="A51" s="2336"/>
      <c r="B51" s="3322" t="s">
        <v>1346</v>
      </c>
      <c r="C51" s="3322"/>
      <c r="D51" s="1024"/>
      <c r="E51" s="319"/>
      <c r="F51" s="2230"/>
      <c r="G51" s="3307"/>
      <c r="H51" s="2133" t="s">
        <v>2136</v>
      </c>
      <c r="I51" s="2132"/>
      <c r="J51" s="2308" t="s">
        <v>1347</v>
      </c>
      <c r="K51" s="3274" t="s">
        <v>1348</v>
      </c>
      <c r="L51" s="3274"/>
      <c r="M51" s="2308" t="s">
        <v>1349</v>
      </c>
      <c r="N51" s="2308" t="s">
        <v>1350</v>
      </c>
      <c r="O51" s="2308" t="s">
        <v>1351</v>
      </c>
    </row>
    <row r="52" spans="1:35" ht="24" customHeight="1">
      <c r="A52" s="2150" t="s">
        <v>1352</v>
      </c>
      <c r="B52" s="3322" t="s">
        <v>1353</v>
      </c>
      <c r="C52" s="3322"/>
      <c r="D52" s="1024" t="e">
        <f ca="1">ROUND(D45*'数据-取费表'!B41/(1+'数据-取费表'!C42),0)</f>
        <v>#REF!</v>
      </c>
      <c r="E52" s="1256" t="s">
        <v>1354</v>
      </c>
      <c r="F52" s="2337">
        <f>'数据-取费表'!B41</f>
        <v>5.5000000000000007E-2</v>
      </c>
      <c r="G52" s="2338"/>
      <c r="H52" s="2328"/>
      <c r="I52" s="1669"/>
      <c r="J52" s="2307">
        <v>1</v>
      </c>
      <c r="K52" s="3299" t="s">
        <v>1355</v>
      </c>
      <c r="L52" s="3299"/>
      <c r="M52" s="2309" t="b">
        <f>D48</f>
        <v>0</v>
      </c>
      <c r="N52" s="2307" t="str">
        <f>E48</f>
        <v>销售额×税（费）率</v>
      </c>
      <c r="O52" s="2310">
        <f>F48</f>
        <v>5.5000000000000007E-2</v>
      </c>
    </row>
    <row r="53" spans="1:35" ht="12" customHeight="1">
      <c r="A53" s="2150" t="s">
        <v>1356</v>
      </c>
      <c r="B53" s="3323" t="s">
        <v>2291</v>
      </c>
      <c r="C53" s="3324"/>
      <c r="D53" s="1024" t="e">
        <f ca="1">ROUND(D45*'数据-取费表'!B41/(1+'数据-取费表'!C42),0)</f>
        <v>#REF!</v>
      </c>
      <c r="E53" s="1256" t="s">
        <v>1354</v>
      </c>
      <c r="F53" s="2337">
        <f>'数据-取费表'!B41</f>
        <v>5.5000000000000007E-2</v>
      </c>
      <c r="G53" s="2338"/>
      <c r="H53" s="2328"/>
      <c r="I53" s="1669"/>
      <c r="J53" s="2307">
        <v>2</v>
      </c>
      <c r="K53" s="3299" t="s">
        <v>1357</v>
      </c>
      <c r="L53" s="3299"/>
      <c r="M53" s="2309" t="e">
        <f t="shared" ref="M53:O54" ca="1" si="0">D55</f>
        <v>#REF!</v>
      </c>
      <c r="N53" s="2307" t="str">
        <f t="shared" si="0"/>
        <v>销售额×税（费）率</v>
      </c>
      <c r="O53" s="2310" t="str">
        <f t="shared" si="0"/>
        <v>免征</v>
      </c>
    </row>
    <row r="54" spans="1:35" ht="12" customHeight="1">
      <c r="A54" s="2150" t="s">
        <v>1358</v>
      </c>
      <c r="B54" s="3323" t="s">
        <v>2292</v>
      </c>
      <c r="C54" s="3324"/>
      <c r="D54" s="1024" t="e">
        <f ca="1">C68</f>
        <v>#REF!</v>
      </c>
      <c r="E54" s="319" t="s">
        <v>1359</v>
      </c>
      <c r="F54" s="2337">
        <f>'数据-取费表'!B41</f>
        <v>5.5000000000000007E-2</v>
      </c>
      <c r="G54" s="2338"/>
      <c r="H54" s="2339"/>
      <c r="I54" s="1669"/>
      <c r="J54" s="2307">
        <v>3</v>
      </c>
      <c r="K54" s="3299" t="s">
        <v>1360</v>
      </c>
      <c r="L54" s="3299"/>
      <c r="M54" s="2309" t="e">
        <f t="shared" ca="1" si="0"/>
        <v>#REF!</v>
      </c>
      <c r="N54" s="2307" t="str">
        <f t="shared" si="0"/>
        <v>增值额×税（费）率</v>
      </c>
      <c r="O54" s="2311" t="str">
        <f t="shared" si="0"/>
        <v>免征</v>
      </c>
    </row>
    <row r="55" spans="1:35" ht="24" customHeight="1">
      <c r="A55" s="3359" t="s">
        <v>1361</v>
      </c>
      <c r="B55" s="3337"/>
      <c r="C55" s="3337"/>
      <c r="D55" s="12" t="e">
        <f ca="1">IF(H55="个人住宅",0,ROUND(D45*I55,0))</f>
        <v>#REF!</v>
      </c>
      <c r="E55" s="1256" t="s">
        <v>1362</v>
      </c>
      <c r="F55" s="2337" t="str">
        <f>IF(H55="正常",I55,"免征")</f>
        <v>免征</v>
      </c>
      <c r="G55" s="2338"/>
      <c r="H55" s="2334"/>
      <c r="I55" s="157">
        <f>'数据-取费表'!B49</f>
        <v>5.0000000000000001E-4</v>
      </c>
      <c r="J55" s="2307">
        <f>IF(H59="非个人房产","",4)</f>
        <v>4</v>
      </c>
      <c r="K55" s="3299" t="str">
        <f>IF(H59="非个人房产","——","个人所得税")</f>
        <v>个人所得税</v>
      </c>
      <c r="L55" s="3299"/>
      <c r="M55" s="2312" t="e">
        <f ca="1">D59</f>
        <v>#REF!</v>
      </c>
      <c r="N55" s="1880" t="str">
        <f>E59</f>
        <v>差额计税</v>
      </c>
      <c r="O55" s="2313">
        <f>F59</f>
        <v>0.01</v>
      </c>
    </row>
    <row r="56" spans="1:35" ht="24.75">
      <c r="A56" s="3359" t="s">
        <v>1363</v>
      </c>
      <c r="B56" s="3337"/>
      <c r="C56" s="3337"/>
      <c r="D56" s="12" t="e">
        <f ca="1">IF(H56="个人住宅",D57,D58)</f>
        <v>#REF!</v>
      </c>
      <c r="E56" s="1256" t="s">
        <v>1364</v>
      </c>
      <c r="F56" s="2337" t="str">
        <f>IF(H56="正常",F58,"免征")</f>
        <v>免征</v>
      </c>
      <c r="G56" s="2340" t="s">
        <v>1365</v>
      </c>
      <c r="H56" s="2341"/>
      <c r="I56" s="1670"/>
      <c r="J56" s="2307" t="str">
        <f>IF(项目基本情况!K6="上海银行",IF(J55="",4,J55+1),"")</f>
        <v/>
      </c>
      <c r="K56" s="3280" t="str">
        <f>IF(项目基本情况!K6="上海银行","其他处置费用","")</f>
        <v/>
      </c>
      <c r="L56" s="3281"/>
      <c r="M56" s="2309" t="str">
        <f>IF(项目基本情况!K6="上海银行",M69,"")</f>
        <v/>
      </c>
      <c r="N56" s="3280" t="str">
        <f>IF(项目基本情况!K6="上海银行","包含处置中涉及的律师、诉讼、拍卖、评估等费用","")</f>
        <v/>
      </c>
      <c r="O56" s="3283"/>
    </row>
    <row r="57" spans="1:35" ht="12.75">
      <c r="A57" s="2150" t="s">
        <v>1341</v>
      </c>
      <c r="B57" s="3323" t="s">
        <v>1366</v>
      </c>
      <c r="C57" s="3324"/>
      <c r="D57" s="1478">
        <v>0</v>
      </c>
      <c r="E57" s="316" t="s">
        <v>1343</v>
      </c>
      <c r="F57" s="294"/>
      <c r="G57" s="2338"/>
      <c r="H57" s="2342"/>
      <c r="I57" s="1670"/>
      <c r="J57" s="3299">
        <f>IF(AND(J55="",J56=""),4,IF(项目基本情况!K6="上海银行",结果表!J56+1,结果表!J55+1))</f>
        <v>5</v>
      </c>
      <c r="K57" s="3299" t="s">
        <v>1367</v>
      </c>
      <c r="L57" s="2314" t="s">
        <v>1368</v>
      </c>
      <c r="M57" s="2315"/>
      <c r="N57" s="2316">
        <f ca="1">SUMIF(M52:M56,"&lt;9e307")</f>
        <v>0</v>
      </c>
      <c r="O57" s="2317"/>
      <c r="P57" s="2462" t="e">
        <f ca="1">N57/M49</f>
        <v>#VALUE!</v>
      </c>
    </row>
    <row r="58" spans="1:35" ht="24.75">
      <c r="A58" s="2150" t="s">
        <v>1352</v>
      </c>
      <c r="B58" s="3323" t="s">
        <v>1369</v>
      </c>
      <c r="C58" s="3322"/>
      <c r="D58" s="12" t="e">
        <f ca="1">IF(H58="转让取得",C81,C97)</f>
        <v>#REF!</v>
      </c>
      <c r="E58" s="1256" t="s">
        <v>1364</v>
      </c>
      <c r="F58" s="294" t="s">
        <v>28</v>
      </c>
      <c r="G58" s="2338"/>
      <c r="H58" s="2341"/>
      <c r="I58" s="1670"/>
      <c r="J58" s="3299"/>
      <c r="K58" s="3299"/>
      <c r="L58" s="2314" t="s">
        <v>1370</v>
      </c>
      <c r="M58" s="2318"/>
      <c r="N58" s="2319" t="str">
        <f ca="1">NUMBERSTRING(INT(N57*10000),2)&amp;"元整"</f>
        <v>零元整</v>
      </c>
      <c r="O58" s="2320"/>
    </row>
    <row r="59" spans="1:35" ht="24.75" thickBot="1">
      <c r="A59" s="3303" t="s">
        <v>1371</v>
      </c>
      <c r="B59" s="3304"/>
      <c r="C59" s="3304"/>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01">
        <f>J57+1</f>
        <v>6</v>
      </c>
      <c r="K59" s="3299" t="s">
        <v>1372</v>
      </c>
      <c r="L59" s="2307" t="s">
        <v>1368</v>
      </c>
      <c r="M59" s="2321"/>
      <c r="N59" s="2322" t="e">
        <f ca="1">M49-N57</f>
        <v>#VALUE!</v>
      </c>
      <c r="O59" s="2323"/>
    </row>
    <row r="60" spans="1:35" ht="12" customHeight="1">
      <c r="A60" s="1671"/>
      <c r="B60" s="646"/>
      <c r="C60" s="646"/>
      <c r="D60" s="646"/>
      <c r="E60" s="1466"/>
      <c r="F60" s="1670"/>
      <c r="G60" s="1670"/>
      <c r="H60" s="151"/>
      <c r="I60" s="121"/>
      <c r="J60" s="3302"/>
      <c r="K60" s="3299"/>
      <c r="L60" s="2314" t="s">
        <v>1370</v>
      </c>
      <c r="M60" s="2318"/>
      <c r="N60" s="2319" t="e">
        <f ca="1">NUMBERSTRING(INT(N59*10000),2)&amp;"元整"</f>
        <v>#VALUE!</v>
      </c>
      <c r="O60" s="2320"/>
    </row>
    <row r="61" spans="1:35" ht="13.5" thickBot="1">
      <c r="A61" s="3358" t="s">
        <v>1373</v>
      </c>
      <c r="B61" s="3358"/>
      <c r="C61" s="3358"/>
      <c r="D61" s="3358"/>
      <c r="E61" s="3358"/>
      <c r="F61" s="1670"/>
      <c r="G61" s="1670"/>
      <c r="H61" s="151"/>
      <c r="I61" s="121"/>
      <c r="J61" s="2307">
        <f>J59+1</f>
        <v>7</v>
      </c>
      <c r="K61" s="3299" t="s">
        <v>1374</v>
      </c>
      <c r="L61" s="3299"/>
      <c r="M61" s="2324"/>
      <c r="N61" s="2325" t="e">
        <f ca="1">ROUND(N59*10000/'数据-汇总表'!E3,0)</f>
        <v>#VALUE!</v>
      </c>
      <c r="O61" s="2326"/>
    </row>
    <row r="62" spans="1:35" ht="12.75">
      <c r="A62" s="3318" t="s">
        <v>1375</v>
      </c>
      <c r="B62" s="3319"/>
      <c r="C62" s="1862"/>
      <c r="D62" s="1862"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282"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8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82"/>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82"/>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8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5.5000000000000007E-2</v>
      </c>
      <c r="E68" s="170"/>
      <c r="F68" s="1670"/>
      <c r="G68" s="1670"/>
      <c r="H68" s="151"/>
      <c r="I68" s="121"/>
      <c r="J68" s="3282"/>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82"/>
      <c r="K69" s="1245" t="s">
        <v>1393</v>
      </c>
      <c r="L69" s="1245"/>
      <c r="M69" s="294" t="e">
        <f>ROUND(SUM(M63:M68),0)</f>
        <v>#VALUE!</v>
      </c>
      <c r="N69" s="2329" t="e">
        <f>M69/M49</f>
        <v>#VALUE!</v>
      </c>
      <c r="Z69" s="1623"/>
      <c r="AI69" s="1561"/>
    </row>
    <row r="70" spans="1:35" s="642" customFormat="1" ht="15"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8" t="s">
        <v>1375</v>
      </c>
      <c r="B71" s="3319"/>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3" t="s">
        <v>1402</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5.000000000000001E-3</v>
      </c>
      <c r="E78" s="3315" t="s">
        <v>1406</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8" t="s">
        <v>1375</v>
      </c>
      <c r="B84" s="3319"/>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5"/>
      <c r="G90" s="3284" t="s">
        <v>2129</v>
      </c>
      <c r="H90" s="3285"/>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5" t="s">
        <v>1422</v>
      </c>
      <c r="F92" s="3316"/>
      <c r="G92" s="3316"/>
      <c r="H92" s="3317"/>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5.000000000000001E-3</v>
      </c>
      <c r="E93" s="3315" t="s">
        <v>1406</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0" t="s">
        <v>1426</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68" t="str">
        <f>C4</f>
        <v>收益法 (元)</v>
      </c>
      <c r="D101" s="2369" t="str">
        <f>D4</f>
        <v>比较法-住宅</v>
      </c>
      <c r="E101" s="3278" t="s">
        <v>1431</v>
      </c>
      <c r="F101" s="3279"/>
      <c r="G101" s="1687" t="s">
        <v>1432</v>
      </c>
      <c r="H101" s="2378" t="e">
        <f ca="1">H118</f>
        <v>#REF!</v>
      </c>
      <c r="I101" s="121"/>
    </row>
    <row r="102" spans="1:35" ht="18.75" customHeight="1">
      <c r="A102" s="3310" t="s">
        <v>1433</v>
      </c>
      <c r="B102" s="2367" t="s">
        <v>1432</v>
      </c>
      <c r="C102" s="2368">
        <f ca="1">IF(D32="楼面单价",ROUND(C19,0),C19)</f>
        <v>145.94999999999999</v>
      </c>
      <c r="D102" s="2369">
        <f ca="1">IF(D32="楼面单价",ROUND(D19,0),D19)</f>
        <v>309.72199999999998</v>
      </c>
      <c r="E102" s="3278"/>
      <c r="F102" s="3279"/>
      <c r="G102" s="1687" t="s">
        <v>1434</v>
      </c>
      <c r="H102" s="2338" t="e">
        <f ca="1">I118</f>
        <v>#REF!</v>
      </c>
      <c r="I102" s="121"/>
    </row>
    <row r="103" spans="1:35" ht="42.75" customHeight="1">
      <c r="A103" s="3310"/>
      <c r="B103" s="2367" t="s">
        <v>1434</v>
      </c>
      <c r="C103" s="2370">
        <f ca="1">C20</f>
        <v>16233</v>
      </c>
      <c r="D103" s="2371">
        <f ca="1">D20</f>
        <v>34448</v>
      </c>
      <c r="E103" s="3271" t="s">
        <v>1435</v>
      </c>
      <c r="F103" s="3272"/>
      <c r="G103" s="1688" t="s">
        <v>1436</v>
      </c>
      <c r="H103" s="2378">
        <f>IF(D36="正常操作",H104+H105+H106,H105+H106)</f>
        <v>0</v>
      </c>
      <c r="I103" s="121"/>
    </row>
    <row r="104" spans="1:35" ht="18.75" customHeight="1">
      <c r="A104" s="3310"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0"/>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1" t="str">
        <f>IF(项目基本情况!E8="已注销","——","3.房地产抵押价值")</f>
        <v>3.房地产抵押价值</v>
      </c>
      <c r="F107" s="3279"/>
      <c r="G107" s="1687" t="s">
        <v>1432</v>
      </c>
      <c r="H107" s="2378" t="e">
        <f ca="1">IF(E107="——","——",H101-H103)</f>
        <v>#REF!</v>
      </c>
      <c r="I107" s="121"/>
    </row>
    <row r="108" spans="1:35" ht="18.75" customHeight="1">
      <c r="A108" s="121"/>
      <c r="B108" s="121"/>
      <c r="C108" s="121"/>
      <c r="D108" s="121"/>
      <c r="E108" s="3311"/>
      <c r="F108" s="3279"/>
      <c r="G108" s="1687" t="s">
        <v>1434</v>
      </c>
      <c r="H108" s="2338">
        <f ca="1">IF(H107=H101,H102,ROUND(H107*10000/'数据-汇总表'!E3,0))</f>
        <v>0</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1432</v>
      </c>
      <c r="H109" s="2381" t="str">
        <f>IF(E109="——","——",H101-H105-H106)</f>
        <v>——</v>
      </c>
      <c r="I109" s="121"/>
    </row>
    <row r="110" spans="1:35" ht="18.75" customHeight="1">
      <c r="A110" s="121"/>
      <c r="B110" s="121"/>
      <c r="C110" s="121"/>
      <c r="D110" s="121"/>
      <c r="E110" s="3311"/>
      <c r="F110" s="3279"/>
      <c r="G110" s="1687" t="s">
        <v>1434</v>
      </c>
      <c r="H110" s="2338"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1432</v>
      </c>
      <c r="H111" s="2378" t="str">
        <f>IF(E111="——","——",N59)</f>
        <v>——</v>
      </c>
      <c r="I111" s="121"/>
    </row>
    <row r="112" spans="1:35" ht="18.75" customHeight="1" thickBot="1">
      <c r="A112" s="121"/>
      <c r="B112" s="121"/>
      <c r="C112" s="121"/>
      <c r="D112" s="121"/>
      <c r="E112" s="3313"/>
      <c r="F112" s="3314"/>
      <c r="G112" s="1690" t="s">
        <v>1434</v>
      </c>
      <c r="H112" s="2382"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89.91</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6" t="s">
        <v>1452</v>
      </c>
      <c r="B119" s="3286"/>
      <c r="C119" s="3286"/>
      <c r="D119" s="3292" t="e">
        <f ca="1">NUMBERSTRING(INT(D118*10000),2)&amp;"元整"</f>
        <v>#REF!</v>
      </c>
      <c r="E119" s="3293"/>
      <c r="F119" s="3292" t="e">
        <f ca="1">NUMBERSTRING(INT(F118*10000),2)&amp;"元整"</f>
        <v>#REF!</v>
      </c>
      <c r="G119" s="3293"/>
      <c r="H119" s="3292" t="e">
        <f ca="1">NUMBERSTRING(INT(H118*10000),2)&amp;"元整"</f>
        <v>#REF!</v>
      </c>
      <c r="I119" s="3293"/>
    </row>
    <row r="120" spans="1:27" ht="18.75" customHeight="1">
      <c r="A120" s="3287" t="str">
        <f>IF(项目基本情况!B9="房地产市场价值","",MID(E103,3,LEN(E103)-2))</f>
        <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2" t="s">
        <v>1452</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
      </c>
      <c r="B122" s="3298"/>
      <c r="C122" s="3298"/>
      <c r="D122" s="3287" t="e">
        <f ca="1">H107</f>
        <v>#REF!</v>
      </c>
      <c r="E122" s="3288"/>
      <c r="F122" s="3288"/>
      <c r="G122" s="3288"/>
      <c r="H122" s="3288"/>
      <c r="I122" s="3289"/>
      <c r="AA122" s="684"/>
    </row>
    <row r="123" spans="1:27" ht="18.75" customHeight="1">
      <c r="A123" s="3286" t="s">
        <v>1452</v>
      </c>
      <c r="B123" s="3286"/>
      <c r="C123" s="3286"/>
      <c r="D123" s="3292" t="e">
        <f ca="1">NUMBERSTRING(INT(D122*10000),2)&amp;"元整"</f>
        <v>#REF!</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1452</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1452</v>
      </c>
      <c r="B127" s="3286"/>
      <c r="C127" s="3286"/>
      <c r="D127" s="3292" t="e">
        <f>NUMBERSTRING(INT(D126*10000),2)&amp;"元整"</f>
        <v>#VALUE!</v>
      </c>
      <c r="E127" s="3294"/>
      <c r="F127" s="3294"/>
      <c r="G127" s="3294"/>
      <c r="H127" s="3294"/>
      <c r="I127" s="3293"/>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5005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89.91</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89.91</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31</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4" t="s">
        <v>353</v>
      </c>
      <c r="B37" s="207" t="s">
        <v>1531</v>
      </c>
      <c r="C37" s="241">
        <f ca="1">ROUND(E37*D37*F34/10000,0)</f>
        <v>2</v>
      </c>
      <c r="D37" s="209">
        <f ca="1">D19</f>
        <v>89.91</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8.9999999999999998E-4</v>
      </c>
      <c r="D44" s="230"/>
      <c r="E44" s="230"/>
      <c r="F44" s="231"/>
      <c r="G44" s="3367"/>
    </row>
    <row r="45" spans="1:7" s="206" customFormat="1" ht="13.5" customHeight="1">
      <c r="A45" s="247" t="s">
        <v>1547</v>
      </c>
      <c r="B45" s="236" t="s">
        <v>1513</v>
      </c>
      <c r="C45" s="237">
        <f ca="1">C46</f>
        <v>8</v>
      </c>
      <c r="D45" s="227">
        <f ca="1">C47</f>
        <v>6.0000000000000001E-3</v>
      </c>
      <c r="E45" s="228" t="s">
        <v>1539</v>
      </c>
      <c r="F45" s="238">
        <f ca="1">F27</f>
        <v>0.2</v>
      </c>
      <c r="G45" s="239" t="s">
        <v>1548</v>
      </c>
    </row>
    <row r="46" spans="1:7" s="206" customFormat="1" ht="13.5" customHeight="1">
      <c r="A46" s="734" t="s">
        <v>346</v>
      </c>
      <c r="B46" s="240" t="s">
        <v>1549</v>
      </c>
      <c r="C46" s="241">
        <f ca="1">ROUND((C33+C39)*F27,0)</f>
        <v>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52</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43</v>
      </c>
      <c r="D51" s="224"/>
      <c r="E51" s="224"/>
      <c r="F51" s="256"/>
      <c r="G51" s="226" t="s">
        <v>1560</v>
      </c>
    </row>
    <row r="52" spans="1:7" s="200" customFormat="1" ht="16.5" thickBot="1">
      <c r="A52" s="257" t="s">
        <v>1561</v>
      </c>
      <c r="B52" s="258"/>
      <c r="C52" s="259">
        <f ca="1">C31+C51</f>
        <v>45</v>
      </c>
      <c r="D52" s="258"/>
      <c r="E52" s="258"/>
      <c r="F52" s="258"/>
      <c r="G52" s="260"/>
    </row>
    <row r="55" spans="1:7" ht="15">
      <c r="B55" s="262" t="s">
        <v>1562</v>
      </c>
      <c r="C55" s="263"/>
    </row>
    <row r="56" spans="1:7">
      <c r="B56" s="265" t="s">
        <v>802</v>
      </c>
      <c r="C56" s="267">
        <f ca="1">1-C57</f>
        <v>4.4000000000000039E-2</v>
      </c>
    </row>
    <row r="57" spans="1:7">
      <c r="B57" s="265" t="s">
        <v>803</v>
      </c>
      <c r="C57" s="266">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北京市房地产市场价值预评估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46.507300000000001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5173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14386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14386</v>
      </c>
      <c r="D8" s="214"/>
      <c r="E8" s="212"/>
      <c r="F8" s="213"/>
      <c r="G8" s="1714"/>
    </row>
    <row r="9" spans="1:8" s="206" customFormat="1" ht="13.5" customHeight="1">
      <c r="A9" s="733" t="s">
        <v>355</v>
      </c>
      <c r="B9" s="216" t="s">
        <v>1478</v>
      </c>
      <c r="C9" s="217">
        <f ca="1">ROUND(D9*E9,0)</f>
        <v>14386</v>
      </c>
      <c r="D9" s="795">
        <f ca="1">IF(B1="",'数据-汇总表'!E5,IF(INDIRECT("'数据-取费表'!c"&amp;$G$1)="住宅",INDIRECT("'数据-取费表'!k"&amp;$G$1),0))</f>
        <v>89.91</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17982</v>
      </c>
      <c r="D19" s="204">
        <f ca="1">D9+D10</f>
        <v>89.91</v>
      </c>
      <c r="E19" s="203">
        <f>'数据-取费表'!B31</f>
        <v>200</v>
      </c>
      <c r="F19" s="223"/>
      <c r="G19" s="1714"/>
    </row>
    <row r="20" spans="1:7" s="206" customFormat="1" ht="13.5" customHeight="1">
      <c r="A20" s="247" t="s">
        <v>1574</v>
      </c>
      <c r="B20" s="202" t="s">
        <v>1575</v>
      </c>
      <c r="C20" s="224">
        <f ca="1">ROUND((C5+C19)*F20,0)</f>
        <v>324</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2048</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1132</v>
      </c>
      <c r="D24" s="230"/>
      <c r="E24" s="230"/>
      <c r="F24" s="231"/>
      <c r="G24" s="232" t="s">
        <v>1586</v>
      </c>
    </row>
    <row r="25" spans="1:7" s="206" customFormat="1" ht="24">
      <c r="A25" s="734" t="s">
        <v>1476</v>
      </c>
      <c r="B25" s="207" t="s">
        <v>1587</v>
      </c>
      <c r="C25" s="230">
        <f ca="1">ROUND(IF('数据-取费表'!B22&lt;=1,C20*F22*'数据-取费表'!B22/2,C20*(POWER((1+F22),'数据-取费表'!B22/2)-1)),0)</f>
        <v>10</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6538</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6538</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45326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370429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314685</v>
      </c>
      <c r="D34" s="209"/>
      <c r="E34" s="212"/>
      <c r="F34" s="249"/>
      <c r="G34" s="211"/>
    </row>
    <row r="35" spans="1:7" ht="13.5" customHeight="1">
      <c r="A35" s="734" t="s">
        <v>351</v>
      </c>
      <c r="B35" s="207" t="s">
        <v>1527</v>
      </c>
      <c r="C35" s="212">
        <f ca="1">ROUND(C34*F35,0)</f>
        <v>15734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15734</v>
      </c>
      <c r="D36" s="212"/>
      <c r="E36" s="212"/>
      <c r="F36" s="251">
        <f>'数据-取费表'!B34</f>
        <v>0.05</v>
      </c>
      <c r="G36" s="252" t="s">
        <v>1530</v>
      </c>
    </row>
    <row r="37" spans="1:7" s="250" customFormat="1" ht="13.5" customHeight="1">
      <c r="A37" s="734" t="s">
        <v>353</v>
      </c>
      <c r="B37" s="207" t="s">
        <v>1531</v>
      </c>
      <c r="C37" s="241">
        <f ca="1">ROUND(E37*D37,0)</f>
        <v>17982</v>
      </c>
      <c r="D37" s="209">
        <f ca="1">D19</f>
        <v>89.91</v>
      </c>
      <c r="E37" s="241">
        <f>'数据-取费表'!B35</f>
        <v>200</v>
      </c>
      <c r="F37" s="251"/>
      <c r="G37" s="253"/>
    </row>
    <row r="38" spans="1:7" ht="13.5" customHeight="1">
      <c r="A38" s="734" t="s">
        <v>354</v>
      </c>
      <c r="B38" s="207" t="s">
        <v>1533</v>
      </c>
      <c r="C38" s="212">
        <f ca="1">ROUND(C34*F38,0)</f>
        <v>6294</v>
      </c>
      <c r="D38" s="212"/>
      <c r="E38" s="212"/>
      <c r="F38" s="251">
        <f>'数据-取费表'!B36</f>
        <v>0.02</v>
      </c>
      <c r="G38" s="211" t="s">
        <v>1528</v>
      </c>
    </row>
    <row r="39" spans="1:7" s="206" customFormat="1" ht="13.5" customHeight="1">
      <c r="A39" s="247" t="s">
        <v>1534</v>
      </c>
      <c r="B39" s="202" t="s">
        <v>1535</v>
      </c>
      <c r="C39" s="224">
        <f ca="1">ROUND(C33*F20,0)</f>
        <v>3704</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11598</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11483</v>
      </c>
      <c r="D42" s="230"/>
      <c r="E42" s="230"/>
      <c r="F42" s="231"/>
      <c r="G42" s="3365" t="s">
        <v>1591</v>
      </c>
    </row>
    <row r="43" spans="1:7" ht="13.5" customHeight="1">
      <c r="A43" s="734" t="s">
        <v>347</v>
      </c>
      <c r="B43" s="207" t="s">
        <v>1545</v>
      </c>
      <c r="C43" s="230">
        <f ca="1">ROUND(IF('数据-取费表'!B22&lt;=1,C39*F22*'数据-取费表'!B20/2,C39*(POWER((1+F22),'数据-取费表'!B20/2)-1)),0)</f>
        <v>115</v>
      </c>
      <c r="D43" s="230"/>
      <c r="E43" s="230"/>
      <c r="F43" s="231"/>
      <c r="G43" s="3366"/>
    </row>
    <row r="44" spans="1:7" ht="13.5" customHeight="1">
      <c r="A44" s="734" t="s">
        <v>348</v>
      </c>
      <c r="B44" s="207" t="s">
        <v>1546</v>
      </c>
      <c r="C44" s="230">
        <f ca="1">ROUND(IF('数据-取费表'!B22&lt;=1,C40*F22*'数据-取费表'!B20/2,C40*(POWER((1+F22),'数据-取费表'!B20/2)-1)),4)</f>
        <v>8.9999999999999998E-4</v>
      </c>
      <c r="D44" s="230"/>
      <c r="E44" s="230"/>
      <c r="F44" s="231"/>
      <c r="G44" s="3367"/>
    </row>
    <row r="45" spans="1:7" s="206" customFormat="1" ht="13.5" customHeight="1">
      <c r="A45" s="247" t="s">
        <v>1547</v>
      </c>
      <c r="B45" s="236" t="s">
        <v>1513</v>
      </c>
      <c r="C45" s="237">
        <f ca="1">C46</f>
        <v>74827</v>
      </c>
      <c r="D45" s="227">
        <f ca="1">C47</f>
        <v>6.0000000000000001E-3</v>
      </c>
      <c r="E45" s="228" t="s">
        <v>1539</v>
      </c>
      <c r="F45" s="238">
        <f ca="1">F27</f>
        <v>0.2</v>
      </c>
      <c r="G45" s="239" t="s">
        <v>1548</v>
      </c>
    </row>
    <row r="46" spans="1:7" s="206" customFormat="1" ht="13.5" customHeight="1">
      <c r="A46" s="734" t="s">
        <v>346</v>
      </c>
      <c r="B46" s="240" t="s">
        <v>1549</v>
      </c>
      <c r="C46" s="241">
        <f ca="1">ROUND((C33+C39)*F27,0)</f>
        <v>74827</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505719</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419747</v>
      </c>
      <c r="D51" s="224"/>
      <c r="E51" s="224"/>
      <c r="F51" s="256"/>
      <c r="G51" s="226" t="s">
        <v>1560</v>
      </c>
    </row>
    <row r="52" spans="1:7" s="200" customFormat="1" ht="16.5" thickBot="1">
      <c r="A52" s="257" t="s">
        <v>1561</v>
      </c>
      <c r="B52" s="258"/>
      <c r="C52" s="259">
        <f ca="1">C31+C51</f>
        <v>465073</v>
      </c>
      <c r="D52" s="258"/>
      <c r="E52" s="258"/>
      <c r="F52" s="258"/>
      <c r="G52" s="260"/>
    </row>
    <row r="55" spans="1:7" ht="15">
      <c r="B55" s="262" t="s">
        <v>1562</v>
      </c>
      <c r="C55" s="263"/>
    </row>
    <row r="56" spans="1:7">
      <c r="B56" s="265" t="s">
        <v>802</v>
      </c>
      <c r="C56" s="267">
        <f ca="1">1-C57</f>
        <v>9.6999999999999975E-2</v>
      </c>
    </row>
    <row r="57" spans="1:7">
      <c r="B57" s="265" t="s">
        <v>803</v>
      </c>
      <c r="C57" s="266">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-111</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89.91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89.91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89.91</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0</v>
      </c>
      <c r="D6" s="147" t="s">
        <v>2109</v>
      </c>
      <c r="E6" s="294" t="s">
        <v>696</v>
      </c>
      <c r="F6" s="295">
        <f ca="1">INDIRECT("'数据-取费表'!u"&amp;$G$1)</f>
        <v>0</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F26" sqref="F2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3422</v>
      </c>
      <c r="D1" s="1271" t="s">
        <v>43</v>
      </c>
      <c r="E1" s="1272" t="s">
        <v>678</v>
      </c>
      <c r="F1" s="999">
        <f ca="1">J53</f>
        <v>56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145.94999999999999</v>
      </c>
      <c r="C2" s="1289" t="s">
        <v>879</v>
      </c>
      <c r="D2" s="1375">
        <f ca="1">C40+J29+L46</f>
        <v>1459500</v>
      </c>
      <c r="E2" s="1295" t="s">
        <v>880</v>
      </c>
      <c r="F2" s="1296"/>
      <c r="G2" s="2476"/>
      <c r="H2" s="2466"/>
      <c r="I2" s="2466"/>
      <c r="J2" s="2466"/>
      <c r="K2" s="2467"/>
      <c r="L2" s="2466"/>
      <c r="M2" s="2466"/>
    </row>
    <row r="3" spans="1:37" ht="18" customHeight="1" thickBot="1">
      <c r="A3" s="1297" t="s">
        <v>881</v>
      </c>
      <c r="B3" s="1298">
        <f ca="1">IF(ISERROR(D2/F43),0,ROUND(D2/F43,0))</f>
        <v>16233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53647</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53580</v>
      </c>
      <c r="D6" s="147" t="s">
        <v>2106</v>
      </c>
      <c r="E6" s="294" t="s">
        <v>696</v>
      </c>
      <c r="F6" s="295">
        <f ca="1">INDIRECT("'数据-取费表'!u"&amp;$G$1)</f>
        <v>4700</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v>
      </c>
      <c r="G7" s="1292"/>
      <c r="H7" s="296"/>
      <c r="I7" s="3371"/>
      <c r="J7" s="298"/>
      <c r="K7" s="299"/>
      <c r="L7" s="294" t="s">
        <v>697</v>
      </c>
      <c r="M7" s="295">
        <f ca="1">F7</f>
        <v>1</v>
      </c>
    </row>
    <row r="8" spans="1:37" ht="18" customHeight="1">
      <c r="A8" s="296"/>
      <c r="B8" s="3371"/>
      <c r="C8" s="298"/>
      <c r="D8" s="299"/>
      <c r="E8" s="294" t="s">
        <v>698</v>
      </c>
      <c r="F8" s="295">
        <f ca="1">INDIRECT("'数据-取费表'!ai"&amp;$G$1)</f>
        <v>12</v>
      </c>
      <c r="G8" s="1292"/>
      <c r="H8" s="296"/>
      <c r="I8" s="3371"/>
      <c r="J8" s="298"/>
      <c r="K8" s="299"/>
      <c r="L8" s="294" t="s">
        <v>698</v>
      </c>
      <c r="M8" s="295">
        <f ca="1">INDIRECT("'数据-取费表'!ai"&amp;$G$1)</f>
        <v>12</v>
      </c>
    </row>
    <row r="9" spans="1:37" ht="18" customHeight="1">
      <c r="A9" s="296"/>
      <c r="B9" s="3372"/>
      <c r="C9" s="298"/>
      <c r="D9" s="299"/>
      <c r="E9" s="294" t="s">
        <v>699</v>
      </c>
      <c r="F9" s="304">
        <f ca="1">INDIRECT("'数据-取费表'!w"&amp;$G$1)</f>
        <v>0.05</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67</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419747</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314685</v>
      </c>
      <c r="D14" s="1257" t="s">
        <v>708</v>
      </c>
      <c r="E14" s="1255"/>
      <c r="F14" s="311"/>
      <c r="G14" s="1292"/>
      <c r="H14" s="928" t="s">
        <v>398</v>
      </c>
      <c r="I14" s="294" t="s">
        <v>709</v>
      </c>
      <c r="J14" s="21">
        <f ca="1">C29</f>
        <v>505719</v>
      </c>
      <c r="K14" s="12"/>
      <c r="L14" s="759"/>
      <c r="M14" s="760"/>
    </row>
    <row r="15" spans="1:37" s="1304" customFormat="1" ht="18" customHeight="1" thickBot="1">
      <c r="A15" s="928" t="s">
        <v>399</v>
      </c>
      <c r="B15" s="294" t="s">
        <v>710</v>
      </c>
      <c r="C15" s="21">
        <f ca="1">ROUND(C14*F15,0)</f>
        <v>15734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15734</v>
      </c>
      <c r="D16" s="294" t="s">
        <v>711</v>
      </c>
      <c r="E16" s="294" t="s">
        <v>712</v>
      </c>
      <c r="F16" s="314">
        <f ca="1">IF(INDIRECT("'数据-取费表'!c"&amp;$G$1)="住宅",'数据-取费表'!B34,0)</f>
        <v>0.05</v>
      </c>
      <c r="G16" s="1292"/>
      <c r="H16" s="1016" t="s">
        <v>393</v>
      </c>
      <c r="I16" s="1017" t="s">
        <v>714</v>
      </c>
      <c r="J16" s="302">
        <f ca="1">ROUND(J17+J22+J23+J24,0)</f>
        <v>2529</v>
      </c>
      <c r="K16" s="1024" t="s">
        <v>715</v>
      </c>
      <c r="L16" s="1025"/>
      <c r="M16" s="1009"/>
    </row>
    <row r="17" spans="1:37" s="1304" customFormat="1" ht="18" customHeight="1">
      <c r="A17" s="928" t="s">
        <v>681</v>
      </c>
      <c r="B17" s="294" t="s">
        <v>716</v>
      </c>
      <c r="C17" s="21">
        <f ca="1">ROUND(F17*(F43+INDIRECT("'数据-取费表'!S"&amp;$G$1)),0)</f>
        <v>17982</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6294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370429</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3704</v>
      </c>
      <c r="D20" s="315" t="s">
        <v>729</v>
      </c>
      <c r="E20" s="294" t="s">
        <v>712</v>
      </c>
      <c r="F20" s="314">
        <f>'数据-取费表'!B37</f>
        <v>0.01</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2529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11598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-2529</v>
      </c>
      <c r="K25" s="1032" t="s">
        <v>753</v>
      </c>
      <c r="L25" s="1033"/>
      <c r="M25" s="1034"/>
    </row>
    <row r="26" spans="1:37" ht="18" customHeight="1">
      <c r="A26" s="928" t="s">
        <v>397</v>
      </c>
      <c r="B26" s="294" t="s">
        <v>754</v>
      </c>
      <c r="C26" s="21">
        <f ca="1">ROUND((C19+C20)*F26,0)</f>
        <v>74827</v>
      </c>
      <c r="D26" s="315" t="s">
        <v>755</v>
      </c>
      <c r="E26" s="305" t="s">
        <v>756</v>
      </c>
      <c r="F26" s="3518">
        <f ca="1">INDIRECT("'数据-取费表'!q"&amp;$G$1)</f>
        <v>0.2</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505719</v>
      </c>
      <c r="D29" s="1029"/>
      <c r="E29" s="1027"/>
      <c r="F29" s="1030"/>
      <c r="G29" s="1303"/>
      <c r="H29" s="325" t="s">
        <v>396</v>
      </c>
      <c r="I29" s="326" t="s">
        <v>768</v>
      </c>
      <c r="J29" s="327">
        <f ca="1">ROUND(J26/(1+F40)^F41,0)</f>
        <v>0</v>
      </c>
      <c r="K29" s="328" t="s">
        <v>769</v>
      </c>
      <c r="L29" s="329"/>
      <c r="M29" s="330">
        <f ca="1">INDIRECT("'数据-取费表'!k"&amp;$G$1)</f>
        <v>89.91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4493</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1276</v>
      </c>
      <c r="D31" s="1257" t="s">
        <v>720</v>
      </c>
      <c r="E31" s="1256" t="s">
        <v>770</v>
      </c>
      <c r="F31" s="2136">
        <f ca="1">IF(项目基本情况!B11="企业","——",IF(M47="住宅",IF(F6*F7*F8/12/(1+'数据-取费表'!F30)&gt;100000,4%,2.5%),IF(F6*F7*F8/12/(1+'数据-取费表'!F30)&gt;100000,12%,7%)))</f>
        <v>2.5000000000000001E-2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2529</v>
      </c>
      <c r="D36" s="1256" t="s">
        <v>771</v>
      </c>
      <c r="E36" s="294" t="s">
        <v>712</v>
      </c>
      <c r="F36" s="320">
        <f ca="1">INDIRECT("'数据-取费表'!Ak"&amp;$G$1)</f>
        <v>5.0000000000000001E-3</v>
      </c>
      <c r="G36" s="1292"/>
      <c r="H36" s="2471"/>
      <c r="I36" s="1305"/>
      <c r="J36" s="1306"/>
      <c r="K36" s="2328"/>
      <c r="L36" s="2471"/>
      <c r="M36" s="2471"/>
    </row>
    <row r="37" spans="1:18" ht="18" customHeight="1">
      <c r="A37" s="928" t="s">
        <v>437</v>
      </c>
      <c r="B37" s="294" t="s">
        <v>742</v>
      </c>
      <c r="C37" s="21">
        <f ca="1">ROUND(C13*F37,0)</f>
        <v>420</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268</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49154</v>
      </c>
      <c r="D39" s="1032" t="s">
        <v>773</v>
      </c>
      <c r="E39" s="1033"/>
      <c r="F39" s="1034"/>
      <c r="G39" s="1292"/>
      <c r="H39" s="2471"/>
      <c r="I39" s="1305"/>
      <c r="J39" s="1306"/>
      <c r="K39" s="2469"/>
      <c r="L39" s="2471"/>
      <c r="M39" s="2471"/>
    </row>
    <row r="40" spans="1:18" ht="18" customHeight="1">
      <c r="A40" s="291" t="s">
        <v>395</v>
      </c>
      <c r="B40" s="292" t="s">
        <v>774</v>
      </c>
      <c r="C40" s="293">
        <f ca="1">ROUND(C39*(1-((1+F42)/(1+F40))^F41)/(F40-F42),0)</f>
        <v>1459500</v>
      </c>
      <c r="D40" s="316" t="s">
        <v>758</v>
      </c>
      <c r="E40" s="294" t="s">
        <v>759</v>
      </c>
      <c r="F40" s="304">
        <f ca="1">INDIRECT("'数据-取费表'!I"&amp;$G$1)</f>
        <v>4.4999999999999998E-2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56</v>
      </c>
      <c r="G41" s="1292"/>
      <c r="H41" s="121"/>
      <c r="I41" s="1305"/>
      <c r="J41" s="1306"/>
      <c r="K41" s="2328"/>
      <c r="L41" s="121"/>
      <c r="M41" s="121"/>
    </row>
    <row r="42" spans="1:18" ht="18" customHeight="1">
      <c r="A42" s="300"/>
      <c r="B42" s="301"/>
      <c r="C42" s="302"/>
      <c r="D42" s="319"/>
      <c r="E42" s="294" t="s">
        <v>766</v>
      </c>
      <c r="F42" s="304">
        <f ca="1">INDIRECT("'数据-取费表'!v"&amp;$G$1)</f>
        <v>0.02</v>
      </c>
      <c r="G42" s="1292"/>
      <c r="H42" s="121"/>
      <c r="I42" s="1305"/>
      <c r="J42" s="1306"/>
      <c r="K42" s="2328"/>
      <c r="L42" s="121"/>
      <c r="M42" s="121"/>
    </row>
    <row r="43" spans="1:18" ht="18" customHeight="1" thickBot="1">
      <c r="A43" s="325" t="s">
        <v>396</v>
      </c>
      <c r="B43" s="326" t="s">
        <v>776</v>
      </c>
      <c r="C43" s="327">
        <f ca="1">ROUND(C40/F43,0)</f>
        <v>16233</v>
      </c>
      <c r="D43" s="328" t="s">
        <v>777</v>
      </c>
      <c r="E43" s="329" t="s">
        <v>778</v>
      </c>
      <c r="F43" s="330">
        <f ca="1">INDIRECT("'数据-取费表'!k"&amp;$G$1)</f>
        <v>89.91</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-151.9462</v>
      </c>
      <c r="D45" s="3128" t="s">
        <v>3352</v>
      </c>
      <c r="E45" s="1307"/>
      <c r="F45" s="1307"/>
      <c r="O45" s="1310" t="s">
        <v>808</v>
      </c>
      <c r="P45" s="1366"/>
      <c r="Q45" s="1366"/>
      <c r="R45" s="1366"/>
    </row>
    <row r="46" spans="1:18" s="1292" customFormat="1" ht="13.5" thickBot="1">
      <c r="A46" s="1311" t="s">
        <v>809</v>
      </c>
      <c r="C46" s="1312">
        <f ca="1">ROUND(C45,0)</f>
        <v>-152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1459500</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56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2013</v>
      </c>
      <c r="K49" s="1330" t="s">
        <v>824</v>
      </c>
      <c r="L49" s="1333"/>
      <c r="O49" s="1334" t="s">
        <v>405</v>
      </c>
      <c r="P49" s="1326" t="s">
        <v>825</v>
      </c>
      <c r="Q49" s="1327">
        <f ca="1">C29</f>
        <v>505719</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48</v>
      </c>
      <c r="K51" s="1339" t="s">
        <v>830</v>
      </c>
      <c r="L51" s="1340">
        <f ca="1">ROUND(-PV(INDIRECT("'数据-取费表'!h"&amp;$G$1),J51,(C39-C13*C76),0),0)</f>
        <v>508030</v>
      </c>
      <c r="M51" s="1341"/>
      <c r="O51" s="1334" t="s">
        <v>407</v>
      </c>
      <c r="P51" s="1326" t="s">
        <v>831</v>
      </c>
      <c r="Q51" s="1337">
        <f>J52</f>
        <v>6.5000000000000002E-2</v>
      </c>
      <c r="R51" s="1327"/>
    </row>
    <row r="52" spans="1:18" s="1292" customFormat="1" ht="13.5" thickBot="1">
      <c r="A52" s="923"/>
      <c r="B52" s="925"/>
      <c r="C52" s="926"/>
      <c r="D52" s="899"/>
      <c r="E52" s="927" t="s">
        <v>699</v>
      </c>
      <c r="F52" s="991"/>
      <c r="I52" s="1342" t="s">
        <v>832</v>
      </c>
      <c r="J52" s="1343">
        <v>6.5000000000000002E-2</v>
      </c>
      <c r="K52" s="1342" t="s">
        <v>833</v>
      </c>
      <c r="L52" s="1343">
        <v>0.05</v>
      </c>
      <c r="O52" s="1334" t="s">
        <v>408</v>
      </c>
      <c r="P52" s="1326" t="s">
        <v>834</v>
      </c>
      <c r="Q52" s="1327">
        <f ca="1">J53</f>
        <v>56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56</v>
      </c>
      <c r="K53" s="3368" t="s">
        <v>837</v>
      </c>
      <c r="L53" s="3369"/>
      <c r="O53" s="1325" t="s">
        <v>409</v>
      </c>
      <c r="P53" s="1326" t="s">
        <v>838</v>
      </c>
      <c r="Q53" s="1327">
        <f ca="1">Q47+Q48</f>
        <v>1459500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419747</v>
      </c>
      <c r="D56" s="1352"/>
      <c r="E56" s="1353"/>
      <c r="F56" s="1345"/>
      <c r="I56" s="1354" t="s">
        <v>842</v>
      </c>
      <c r="J56" s="1355" t="s">
        <v>3434</v>
      </c>
      <c r="K56" s="1328" t="s">
        <v>843</v>
      </c>
      <c r="L56" s="1331">
        <f ca="1">IF(L48&lt;J51,"——",L48-J51)</f>
        <v>8</v>
      </c>
      <c r="O56" s="1325" t="s">
        <v>403</v>
      </c>
      <c r="P56" s="1326" t="s">
        <v>817</v>
      </c>
      <c r="Q56" s="1327">
        <f ca="1">C40+J29</f>
        <v>1459500</v>
      </c>
      <c r="R56" s="1327" t="s">
        <v>818</v>
      </c>
    </row>
    <row r="57" spans="1:18" s="1292" customFormat="1" ht="24.75" thickBot="1">
      <c r="A57" s="1356"/>
      <c r="B57" s="896" t="s">
        <v>767</v>
      </c>
      <c r="C57" s="230">
        <f ca="1">C29</f>
        <v>505719</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75" thickBot="1">
      <c r="A58" s="307" t="s">
        <v>393</v>
      </c>
      <c r="B58" s="904" t="s">
        <v>714</v>
      </c>
      <c r="C58" s="308">
        <f ca="1">ROUND(C59+C64+C65+C66,0)</f>
        <v>2949</v>
      </c>
      <c r="D58" s="906" t="s">
        <v>715</v>
      </c>
      <c r="E58" s="907"/>
      <c r="F58" s="908"/>
      <c r="I58" s="1360" t="s">
        <v>848</v>
      </c>
      <c r="J58" s="1362" t="e">
        <f ca="1">IF(J55&lt;0.4,0.4,J55)</f>
        <v>#VALUE!</v>
      </c>
      <c r="K58" s="1339" t="s">
        <v>895</v>
      </c>
      <c r="L58" s="1331">
        <f ca="1">ROUND(POWER(1+L52,L47-L48)*(POWER(1+L52,L48)-1)/(POWER(1+L52,L47)-1),4)</f>
        <v>0.9667</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0.93459999999999999</v>
      </c>
      <c r="M59" s="1289">
        <f ca="1">ROUND(POWER(1+L52,L47-(J51+'数据-取费表'!B24))*(POWER(1+L52,(J51+'数据-取费表'!B24))-1)/(POWER(1+L52,L47)-1),4)</f>
        <v>0.93459999999999999</v>
      </c>
      <c r="N59" s="1289">
        <f ca="1">ROUND(POWER(1+L52,L47-(J51+'数据-取费表'!B20))*(POWER(1+L52,(J51+'数据-取费表'!B20))-1)/(POWER(1+L52,L47)-1),4)</f>
        <v>0.94379999999999997</v>
      </c>
      <c r="O59" s="1334" t="s">
        <v>406</v>
      </c>
      <c r="P59" s="1326" t="s">
        <v>852</v>
      </c>
      <c r="Q59" s="1337">
        <f>L52</f>
        <v>0.05</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f ca="1">L58</f>
        <v>0.9667</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f ca="1">L59</f>
        <v>0.93459999999999999</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1459500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2529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420</v>
      </c>
      <c r="D65" s="910" t="s">
        <v>743</v>
      </c>
      <c r="E65" s="896" t="s">
        <v>744</v>
      </c>
      <c r="F65" s="321">
        <f t="shared" ca="1" si="0"/>
        <v>1E-3</v>
      </c>
      <c r="I65" s="1367" t="s">
        <v>867</v>
      </c>
      <c r="J65" s="610">
        <v>40</v>
      </c>
      <c r="K65" s="610">
        <v>30</v>
      </c>
      <c r="L65" s="610">
        <v>50</v>
      </c>
      <c r="M65" s="1369">
        <v>0.02</v>
      </c>
      <c r="O65" s="1325" t="s">
        <v>403</v>
      </c>
      <c r="P65" s="1326" t="s">
        <v>868</v>
      </c>
      <c r="Q65" s="1327">
        <f ca="1">C40+J29</f>
        <v>1459500</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-2949</v>
      </c>
      <c r="D67" s="909" t="s">
        <v>753</v>
      </c>
      <c r="E67" s="914"/>
      <c r="F67" s="915"/>
      <c r="O67" s="1334" t="s">
        <v>405</v>
      </c>
      <c r="P67" s="1326" t="s">
        <v>850</v>
      </c>
      <c r="Q67" s="1370">
        <f ca="1">L51</f>
        <v>508030</v>
      </c>
      <c r="R67" s="1327" t="s">
        <v>870</v>
      </c>
    </row>
    <row r="68" spans="1:18" s="1292" customFormat="1" ht="16.5" thickBot="1">
      <c r="A68" s="893" t="s">
        <v>395</v>
      </c>
      <c r="B68" s="894" t="s">
        <v>774</v>
      </c>
      <c r="C68" s="293">
        <f ca="1">ROUND(C67*(1-((1+F70)/(1+F68))^F69)/(F68-F70),0)</f>
        <v>-59962</v>
      </c>
      <c r="D68" s="911" t="s">
        <v>758</v>
      </c>
      <c r="E68" s="896" t="s">
        <v>759</v>
      </c>
      <c r="F68" s="304">
        <f ca="1">F40</f>
        <v>4.4999999999999998E-2</v>
      </c>
      <c r="O68" s="1334" t="s">
        <v>406</v>
      </c>
      <c r="P68" s="1371" t="s">
        <v>871</v>
      </c>
      <c r="Q68" s="1327">
        <f ca="1">ROUND(Q69-Q70*Q71,0)</f>
        <v>23969</v>
      </c>
      <c r="R68" s="1327" t="s">
        <v>414</v>
      </c>
    </row>
    <row r="69" spans="1:18" s="1292" customFormat="1" ht="13.5" thickBot="1">
      <c r="A69" s="897"/>
      <c r="B69" s="898"/>
      <c r="C69" s="298"/>
      <c r="D69" s="916" t="s">
        <v>762</v>
      </c>
      <c r="E69" s="896" t="s">
        <v>763</v>
      </c>
      <c r="F69" s="324">
        <f ca="1">F41</f>
        <v>56</v>
      </c>
      <c r="O69" s="1334" t="s">
        <v>411</v>
      </c>
      <c r="P69" s="1371" t="s">
        <v>872</v>
      </c>
      <c r="Q69" s="1327">
        <f ca="1">C39</f>
        <v>49154</v>
      </c>
      <c r="R69" s="1327" t="s">
        <v>818</v>
      </c>
    </row>
    <row r="70" spans="1:18" s="1292" customFormat="1" ht="13.5" thickBot="1">
      <c r="A70" s="900"/>
      <c r="B70" s="901"/>
      <c r="C70" s="302"/>
      <c r="D70" s="912"/>
      <c r="E70" s="896" t="s">
        <v>766</v>
      </c>
      <c r="F70" s="991"/>
      <c r="O70" s="1334" t="s">
        <v>412</v>
      </c>
      <c r="P70" s="1371" t="s">
        <v>873</v>
      </c>
      <c r="Q70" s="1327">
        <f ca="1">C13</f>
        <v>419747</v>
      </c>
      <c r="R70" s="1327" t="s">
        <v>818</v>
      </c>
    </row>
    <row r="71" spans="1:18" s="1292" customFormat="1" ht="13.5" thickBot="1">
      <c r="A71" s="917" t="s">
        <v>396</v>
      </c>
      <c r="B71" s="918" t="s">
        <v>776</v>
      </c>
      <c r="C71" s="327">
        <f ca="1">ROUND(C68/F71,0)</f>
        <v>-667</v>
      </c>
      <c r="D71" s="919" t="s">
        <v>777</v>
      </c>
      <c r="E71" s="920" t="s">
        <v>778</v>
      </c>
      <c r="F71" s="330">
        <f ca="1">F43</f>
        <v>89.91</v>
      </c>
      <c r="O71" s="1334" t="s">
        <v>413</v>
      </c>
      <c r="P71" s="1371" t="s">
        <v>874</v>
      </c>
      <c r="Q71" s="1337">
        <f ca="1">C76</f>
        <v>0.06</v>
      </c>
      <c r="R71" s="1327"/>
    </row>
    <row r="72" spans="1:18" s="1292" customFormat="1" ht="13.5" thickBot="1">
      <c r="B72" s="685"/>
      <c r="C72" s="685"/>
      <c r="O72" s="1334" t="s">
        <v>407</v>
      </c>
      <c r="P72" s="1326" t="s">
        <v>852</v>
      </c>
      <c r="Q72" s="1337">
        <f>L52</f>
        <v>0.05</v>
      </c>
      <c r="R72" s="1327"/>
    </row>
    <row r="73" spans="1:18" ht="16.5" thickBot="1">
      <c r="A73" s="1292"/>
      <c r="B73" s="685"/>
      <c r="C73" s="685"/>
      <c r="D73" s="1292"/>
      <c r="E73" s="1292"/>
      <c r="F73" s="1292"/>
      <c r="O73" s="1334" t="s">
        <v>408</v>
      </c>
      <c r="P73" s="1326" t="s">
        <v>855</v>
      </c>
      <c r="Q73" s="1327">
        <f ca="1">L58</f>
        <v>0.9667</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0.93459999999999999</v>
      </c>
      <c r="R74" s="1327" t="s">
        <v>857</v>
      </c>
    </row>
    <row r="75" spans="1:18" ht="13.5" thickBot="1">
      <c r="A75" s="1292"/>
      <c r="B75" s="331" t="s">
        <v>795</v>
      </c>
      <c r="C75" s="332">
        <f ca="1">ROUND(C13*C76,0)</f>
        <v>25185</v>
      </c>
      <c r="D75" s="1292"/>
      <c r="E75" s="1292"/>
      <c r="F75" s="1292"/>
      <c r="K75" s="1309"/>
      <c r="L75" s="1292"/>
      <c r="O75" s="1325" t="s">
        <v>409</v>
      </c>
      <c r="P75" s="1326" t="s">
        <v>838</v>
      </c>
      <c r="Q75" s="1327">
        <f ca="1">Q65+Q66</f>
        <v>1459500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0.48799999999999999</v>
      </c>
    </row>
    <row r="80" spans="1:18">
      <c r="B80" s="331" t="s">
        <v>800</v>
      </c>
      <c r="C80" s="266">
        <f ca="1">ROUND(C75/C39,3)</f>
        <v>0.51200000000000001</v>
      </c>
    </row>
    <row r="81" spans="2:3">
      <c r="B81" s="262" t="s">
        <v>801</v>
      </c>
      <c r="C81" s="230"/>
    </row>
    <row r="82" spans="2:3">
      <c r="B82" s="265" t="s">
        <v>802</v>
      </c>
      <c r="C82" s="267">
        <f ca="1">1-C83</f>
        <v>0.71199999999999997</v>
      </c>
    </row>
    <row r="83" spans="2:3">
      <c r="B83" s="265" t="s">
        <v>803</v>
      </c>
      <c r="C83" s="266">
        <f ca="1">ROUND(C13/C40,3)</f>
        <v>0.28799999999999998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L14" sqref="L14"/>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15" customHeight="1">
      <c r="A2" s="1293" t="s">
        <v>2314</v>
      </c>
      <c r="B2" s="2592" t="e">
        <f>IF(D2="——",C40,C40+E2)</f>
        <v>#DIV/0!</v>
      </c>
      <c r="C2" s="2593" t="s">
        <v>2315</v>
      </c>
      <c r="D2" s="3136" t="s">
        <v>3358</v>
      </c>
      <c r="E2" s="3137"/>
      <c r="F2" s="2595"/>
      <c r="G2" s="2596"/>
      <c r="H2" s="2597"/>
      <c r="I2" s="2598"/>
      <c r="J2" s="3373" t="s">
        <v>2316</v>
      </c>
      <c r="K2" s="3374"/>
      <c r="L2" s="2599" t="s">
        <v>2317</v>
      </c>
      <c r="M2" s="2599" t="s">
        <v>2318</v>
      </c>
      <c r="N2" s="2599" t="s">
        <v>2319</v>
      </c>
      <c r="O2" s="2599" t="s">
        <v>2320</v>
      </c>
      <c r="P2" s="2599" t="s">
        <v>2321</v>
      </c>
      <c r="Q2" s="2600" t="s">
        <v>2322</v>
      </c>
      <c r="R2" s="2601" t="s">
        <v>2323</v>
      </c>
      <c r="S2" s="2590"/>
      <c r="T2" s="2590"/>
      <c r="U2" s="2590"/>
      <c r="V2" s="2598"/>
    </row>
    <row r="3" spans="1:22" s="2602" customFormat="1" ht="13.15" customHeight="1">
      <c r="A3" s="2603" t="s">
        <v>2324</v>
      </c>
      <c r="B3" s="2604" t="e">
        <f>ROUND(B2*10000/B4,0)</f>
        <v>#DIV/0!</v>
      </c>
      <c r="C3" s="2593" t="s">
        <v>2325</v>
      </c>
      <c r="D3" s="2593"/>
      <c r="E3" s="2594"/>
      <c r="F3" s="2595"/>
      <c r="G3" s="2596"/>
      <c r="H3" s="2597"/>
      <c r="I3" s="2598"/>
      <c r="J3" s="3375" t="s">
        <v>2326</v>
      </c>
      <c r="K3" s="3376"/>
      <c r="L3" s="2605"/>
      <c r="M3" s="2605"/>
      <c r="N3" s="2605"/>
      <c r="O3" s="2605"/>
      <c r="P3" s="2605"/>
      <c r="Q3" s="2606"/>
      <c r="R3" s="2607">
        <f>SUM(L3:Q3)</f>
        <v>0</v>
      </c>
      <c r="S3" s="2590"/>
      <c r="T3" s="2590"/>
      <c r="U3" s="2590"/>
      <c r="V3" s="2598"/>
    </row>
    <row r="4" spans="1:22" s="2602" customFormat="1" ht="13.15" customHeight="1">
      <c r="A4" s="2608" t="s">
        <v>2327</v>
      </c>
      <c r="B4" s="2609"/>
      <c r="C4" s="2593"/>
      <c r="D4" s="2593"/>
      <c r="E4" s="2594"/>
      <c r="F4" s="2595"/>
      <c r="G4" s="2596"/>
      <c r="H4" s="2597"/>
      <c r="I4" s="2598"/>
      <c r="J4" s="3375" t="s">
        <v>2328</v>
      </c>
      <c r="K4" s="3376"/>
      <c r="L4" s="2610"/>
      <c r="M4" s="2610"/>
      <c r="N4" s="2610"/>
      <c r="O4" s="2610"/>
      <c r="P4" s="2610"/>
      <c r="Q4" s="2611"/>
      <c r="R4" s="2612">
        <f>SUM(L4:Q4)</f>
        <v>0</v>
      </c>
      <c r="S4" s="2590"/>
      <c r="T4" s="2590"/>
      <c r="U4" s="2590"/>
      <c r="V4" s="2598"/>
    </row>
    <row r="5" spans="1:22" s="2602" customFormat="1" ht="13.15"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15" customHeight="1" thickBot="1">
      <c r="A6" s="3377" t="s">
        <v>2332</v>
      </c>
      <c r="B6" s="3378"/>
      <c r="C6" s="3379"/>
      <c r="D6" s="2619"/>
      <c r="E6" s="2620"/>
      <c r="F6" s="2621"/>
      <c r="G6" s="2622"/>
      <c r="H6" s="2597"/>
      <c r="I6" s="2598"/>
      <c r="J6" s="3380">
        <v>1</v>
      </c>
      <c r="K6" s="3381"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15" customHeight="1">
      <c r="A7" s="2625" t="s">
        <v>2342</v>
      </c>
      <c r="B7" s="2626"/>
      <c r="C7" s="2627"/>
      <c r="D7" s="2628">
        <f>SUM(D9,D10,D11,D17,0)</f>
        <v>0</v>
      </c>
      <c r="E7" s="2629" t="e">
        <f>E9+E10+E11+E17</f>
        <v>#DIV/0!</v>
      </c>
      <c r="F7" s="2630"/>
      <c r="G7" s="2631"/>
      <c r="H7" s="2597"/>
      <c r="I7" s="2598"/>
      <c r="J7" s="3380"/>
      <c r="K7" s="3382"/>
      <c r="L7" s="2632" t="s">
        <v>2343</v>
      </c>
      <c r="M7" s="2633"/>
      <c r="N7" s="2609"/>
      <c r="O7" s="2634"/>
      <c r="P7" s="2634"/>
      <c r="Q7" s="2635">
        <v>365</v>
      </c>
      <c r="R7" s="2636">
        <f>ROUND(M7*N7*O7*P7*Q7/10000,0)</f>
        <v>0</v>
      </c>
      <c r="S7" s="2590"/>
      <c r="T7" s="2590" t="s">
        <v>2344</v>
      </c>
      <c r="U7" s="2590"/>
      <c r="V7" s="2598"/>
    </row>
    <row r="8" spans="1:22" s="2602" customFormat="1" ht="13.15" customHeight="1">
      <c r="A8" s="2637" t="s">
        <v>2345</v>
      </c>
      <c r="B8" s="3384" t="s">
        <v>2346</v>
      </c>
      <c r="C8" s="3385"/>
      <c r="D8" s="2638" t="s">
        <v>2347</v>
      </c>
      <c r="E8" s="2639" t="s">
        <v>2348</v>
      </c>
      <c r="F8" s="2640" t="s">
        <v>2349</v>
      </c>
      <c r="G8" s="2641"/>
      <c r="H8" s="2597"/>
      <c r="I8" s="2598"/>
      <c r="J8" s="3380"/>
      <c r="K8" s="3382"/>
      <c r="L8" s="2632" t="s">
        <v>2350</v>
      </c>
      <c r="M8" s="2633"/>
      <c r="N8" s="2609"/>
      <c r="O8" s="2634"/>
      <c r="P8" s="2634"/>
      <c r="Q8" s="2635">
        <v>365</v>
      </c>
      <c r="R8" s="2636">
        <f t="shared" ref="R8:R13" si="0">ROUND(M8*N8*O8*P8*Q8/10000,0)</f>
        <v>0</v>
      </c>
      <c r="S8" s="2590"/>
      <c r="T8" s="2590" t="s">
        <v>2351</v>
      </c>
      <c r="U8" s="2590"/>
      <c r="V8" s="2598"/>
    </row>
    <row r="9" spans="1:22" s="2602" customFormat="1" ht="13.15" customHeight="1">
      <c r="A9" s="2637">
        <v>1</v>
      </c>
      <c r="B9" s="3384" t="s">
        <v>2352</v>
      </c>
      <c r="C9" s="3385"/>
      <c r="D9" s="2638">
        <f>ROUND(D6*E9,0)</f>
        <v>0</v>
      </c>
      <c r="E9" s="2642"/>
      <c r="F9" s="2643" t="s">
        <v>2353</v>
      </c>
      <c r="G9" s="2622"/>
      <c r="H9" s="2597"/>
      <c r="I9" s="2598"/>
      <c r="J9" s="3380"/>
      <c r="K9" s="3382"/>
      <c r="L9" s="2632" t="s">
        <v>2354</v>
      </c>
      <c r="M9" s="2633"/>
      <c r="N9" s="2609"/>
      <c r="O9" s="2634"/>
      <c r="P9" s="2634"/>
      <c r="Q9" s="2635">
        <v>365</v>
      </c>
      <c r="R9" s="2636">
        <f t="shared" si="0"/>
        <v>0</v>
      </c>
      <c r="S9" s="2590"/>
      <c r="T9" s="2590"/>
      <c r="U9" s="2590"/>
      <c r="V9" s="2598"/>
    </row>
    <row r="10" spans="1:22" s="2602" customFormat="1" ht="13.15" customHeight="1">
      <c r="A10" s="2637">
        <v>2</v>
      </c>
      <c r="B10" s="3384" t="s">
        <v>2355</v>
      </c>
      <c r="C10" s="3385"/>
      <c r="D10" s="2638">
        <f>ROUND(D6*E10,0)</f>
        <v>0</v>
      </c>
      <c r="E10" s="2642"/>
      <c r="F10" s="2643" t="s">
        <v>2356</v>
      </c>
      <c r="G10" s="2622"/>
      <c r="H10" s="2597"/>
      <c r="I10" s="2598"/>
      <c r="J10" s="3380"/>
      <c r="K10" s="3382"/>
      <c r="L10" s="2632" t="s">
        <v>2357</v>
      </c>
      <c r="M10" s="2633"/>
      <c r="N10" s="2609"/>
      <c r="O10" s="2634"/>
      <c r="P10" s="2634"/>
      <c r="Q10" s="2635">
        <v>365</v>
      </c>
      <c r="R10" s="2636">
        <f t="shared" si="0"/>
        <v>0</v>
      </c>
      <c r="S10" s="2590"/>
      <c r="T10" s="2590"/>
      <c r="U10" s="2590"/>
      <c r="V10" s="2598"/>
    </row>
    <row r="11" spans="1:22" s="2602" customFormat="1" ht="13.15" customHeight="1">
      <c r="A11" s="2637">
        <v>3</v>
      </c>
      <c r="B11" s="3384" t="s">
        <v>2358</v>
      </c>
      <c r="C11" s="3385"/>
      <c r="D11" s="2638">
        <f>D12+D14+D15+D16</f>
        <v>0</v>
      </c>
      <c r="E11" s="2644" t="e">
        <f>D11/D6</f>
        <v>#DIV/0!</v>
      </c>
      <c r="F11" s="2640"/>
      <c r="G11" s="2641"/>
      <c r="H11" s="2597"/>
      <c r="I11" s="2598"/>
      <c r="J11" s="3380"/>
      <c r="K11" s="3382"/>
      <c r="L11" s="2632" t="s">
        <v>2359</v>
      </c>
      <c r="M11" s="2633"/>
      <c r="N11" s="2609"/>
      <c r="O11" s="2634"/>
      <c r="P11" s="2634"/>
      <c r="Q11" s="2635">
        <v>365</v>
      </c>
      <c r="R11" s="2636">
        <f t="shared" si="0"/>
        <v>0</v>
      </c>
      <c r="S11" s="2590"/>
      <c r="T11" s="2590"/>
      <c r="U11" s="2590"/>
      <c r="V11" s="2598"/>
    </row>
    <row r="12" spans="1:22" s="2602" customFormat="1" ht="13.15" customHeight="1">
      <c r="A12" s="2645" t="s">
        <v>2360</v>
      </c>
      <c r="B12" s="3386" t="s">
        <v>2361</v>
      </c>
      <c r="C12" s="3387"/>
      <c r="D12" s="2646">
        <f>ROUND(D13*1.2%*(1-30%),0)</f>
        <v>0</v>
      </c>
      <c r="E12" s="2647">
        <v>1.2E-2</v>
      </c>
      <c r="F12" s="2640" t="s">
        <v>2362</v>
      </c>
      <c r="G12" s="2641"/>
      <c r="H12" s="2597"/>
      <c r="I12" s="2598"/>
      <c r="J12" s="3380"/>
      <c r="K12" s="3382"/>
      <c r="L12" s="2632" t="s">
        <v>2363</v>
      </c>
      <c r="M12" s="2633"/>
      <c r="N12" s="2609"/>
      <c r="O12" s="2634"/>
      <c r="P12" s="2634"/>
      <c r="Q12" s="2635">
        <v>365</v>
      </c>
      <c r="R12" s="2636">
        <f t="shared" si="0"/>
        <v>0</v>
      </c>
      <c r="S12" s="2590"/>
      <c r="T12" s="2590"/>
      <c r="U12" s="2590"/>
      <c r="V12" s="2598"/>
    </row>
    <row r="13" spans="1:22" s="2602" customFormat="1" ht="13.15" customHeight="1">
      <c r="A13" s="2645"/>
      <c r="B13" s="2648"/>
      <c r="C13" s="2649" t="s">
        <v>2364</v>
      </c>
      <c r="D13" s="2650"/>
      <c r="E13" s="2651"/>
      <c r="F13" s="2640"/>
      <c r="G13" s="2641"/>
      <c r="H13" s="2597"/>
      <c r="I13" s="2598"/>
      <c r="J13" s="3380"/>
      <c r="K13" s="3382"/>
      <c r="L13" s="2632" t="s">
        <v>2365</v>
      </c>
      <c r="M13" s="2633"/>
      <c r="N13" s="2609"/>
      <c r="O13" s="2634"/>
      <c r="P13" s="2634"/>
      <c r="Q13" s="2635">
        <v>365</v>
      </c>
      <c r="R13" s="2636">
        <f t="shared" si="0"/>
        <v>0</v>
      </c>
      <c r="S13" s="2590"/>
      <c r="T13" s="2590"/>
      <c r="U13" s="2590"/>
      <c r="V13" s="2598"/>
    </row>
    <row r="14" spans="1:22" s="2602" customFormat="1" ht="13.15" customHeight="1">
      <c r="A14" s="2645" t="s">
        <v>2366</v>
      </c>
      <c r="B14" s="3386" t="s">
        <v>2367</v>
      </c>
      <c r="C14" s="3387"/>
      <c r="D14" s="2646">
        <f>ROUND(E14*B5/10000,0)</f>
        <v>0</v>
      </c>
      <c r="E14" s="2635"/>
      <c r="F14" s="2640" t="s">
        <v>2368</v>
      </c>
      <c r="G14" s="2641"/>
      <c r="H14" s="2597"/>
      <c r="I14" s="2598"/>
      <c r="J14" s="3380"/>
      <c r="K14" s="3383"/>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2370</v>
      </c>
      <c r="B15" s="3386" t="s">
        <v>2371</v>
      </c>
      <c r="C15" s="3387"/>
      <c r="D15" s="2646">
        <f>ROUND(D6*E15,0)</f>
        <v>0</v>
      </c>
      <c r="E15" s="2647">
        <v>5.5E-2</v>
      </c>
      <c r="F15" s="2640" t="s">
        <v>2372</v>
      </c>
      <c r="G15" s="2622"/>
      <c r="H15" s="2597"/>
      <c r="I15" s="2598"/>
      <c r="J15" s="3380">
        <v>2</v>
      </c>
      <c r="K15" s="3381"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15" customHeight="1">
      <c r="A16" s="2645" t="s">
        <v>2379</v>
      </c>
      <c r="B16" s="3386" t="s">
        <v>2380</v>
      </c>
      <c r="C16" s="3387"/>
      <c r="D16" s="2657">
        <f>D6*E16</f>
        <v>0</v>
      </c>
      <c r="E16" s="2658"/>
      <c r="F16" s="2643" t="s">
        <v>2381</v>
      </c>
      <c r="G16" s="2622"/>
      <c r="H16" s="2597"/>
      <c r="I16" s="2598"/>
      <c r="J16" s="3380"/>
      <c r="K16" s="3382"/>
      <c r="L16" s="2632" t="s">
        <v>2382</v>
      </c>
      <c r="M16" s="2633"/>
      <c r="N16" s="2633"/>
      <c r="O16" s="2634"/>
      <c r="P16" s="2635">
        <v>365</v>
      </c>
      <c r="Q16" s="2609"/>
      <c r="R16" s="2656">
        <f>ROUND(M16*N16*O16*P16/10000,0)</f>
        <v>0</v>
      </c>
      <c r="S16" s="2590"/>
      <c r="T16" s="2590"/>
      <c r="U16" s="2590"/>
      <c r="V16" s="2598"/>
    </row>
    <row r="17" spans="1:22" s="2602" customFormat="1" ht="13.15" customHeight="1" thickBot="1">
      <c r="A17" s="2659">
        <v>4</v>
      </c>
      <c r="B17" s="3388" t="s">
        <v>2383</v>
      </c>
      <c r="C17" s="3389"/>
      <c r="D17" s="2660">
        <f>ROUND(D6*E17,0)</f>
        <v>0</v>
      </c>
      <c r="E17" s="2661"/>
      <c r="F17" s="2662" t="s">
        <v>2384</v>
      </c>
      <c r="G17" s="2622"/>
      <c r="H17" s="2597"/>
      <c r="I17" s="2598"/>
      <c r="J17" s="3380"/>
      <c r="K17" s="3382"/>
      <c r="L17" s="2632" t="s">
        <v>2385</v>
      </c>
      <c r="M17" s="2633"/>
      <c r="N17" s="2633"/>
      <c r="O17" s="2634"/>
      <c r="P17" s="2635">
        <v>365</v>
      </c>
      <c r="Q17" s="2609"/>
      <c r="R17" s="2656">
        <f>ROUND(M17*N17*O17*P17/10000,0)</f>
        <v>0</v>
      </c>
      <c r="S17" s="2590"/>
      <c r="T17" s="2590"/>
      <c r="U17" s="2590"/>
      <c r="V17" s="2598"/>
    </row>
    <row r="18" spans="1:22" s="2602" customFormat="1" ht="13.15" customHeight="1" thickBot="1">
      <c r="A18" s="2625" t="s">
        <v>2386</v>
      </c>
      <c r="B18" s="2626"/>
      <c r="C18" s="2626"/>
      <c r="D18" s="2663">
        <f>ROUND(D6*E18,0)</f>
        <v>0</v>
      </c>
      <c r="E18" s="2664"/>
      <c r="F18" s="2665" t="s">
        <v>2387</v>
      </c>
      <c r="G18" s="2622"/>
      <c r="H18" s="2597"/>
      <c r="I18" s="2598"/>
      <c r="J18" s="3380"/>
      <c r="K18" s="3382"/>
      <c r="L18" s="2632" t="s">
        <v>2388</v>
      </c>
      <c r="M18" s="2633"/>
      <c r="N18" s="2633"/>
      <c r="O18" s="2634"/>
      <c r="P18" s="2635">
        <v>365</v>
      </c>
      <c r="Q18" s="2609"/>
      <c r="R18" s="2656">
        <f>ROUND(M18*N18*O18*P18/10000,0)</f>
        <v>0</v>
      </c>
      <c r="S18" s="2590"/>
      <c r="T18" s="2590"/>
      <c r="U18" s="2590"/>
      <c r="V18" s="2598"/>
    </row>
    <row r="19" spans="1:22" s="2602" customFormat="1" ht="13.15" customHeight="1" thickBot="1">
      <c r="A19" s="2666" t="s">
        <v>2389</v>
      </c>
      <c r="B19" s="2620"/>
      <c r="C19" s="2620"/>
      <c r="D19" s="2620"/>
      <c r="E19" s="2620"/>
      <c r="F19" s="2621"/>
      <c r="G19" s="2641"/>
      <c r="H19" s="2597"/>
      <c r="I19" s="2598"/>
      <c r="J19" s="3380"/>
      <c r="K19" s="3383"/>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80">
        <v>3</v>
      </c>
      <c r="K20" s="3381"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15" customHeight="1">
      <c r="A21" s="2625"/>
      <c r="B21" s="2626"/>
      <c r="C21" s="2671" t="s">
        <v>2398</v>
      </c>
      <c r="D21" s="2672" t="s">
        <v>2399</v>
      </c>
      <c r="E21" s="2673" t="s">
        <v>2400</v>
      </c>
      <c r="F21" s="2669"/>
      <c r="G21" s="2641"/>
      <c r="H21" s="2597"/>
      <c r="I21" s="2598"/>
      <c r="J21" s="3380"/>
      <c r="K21" s="3382"/>
      <c r="L21" s="2632" t="s">
        <v>2401</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2402</v>
      </c>
      <c r="D22" s="2676" t="s">
        <v>2403</v>
      </c>
      <c r="E22" s="2677" t="s">
        <v>2404</v>
      </c>
      <c r="F22" s="2669"/>
      <c r="G22" s="2590"/>
      <c r="H22" s="2597"/>
      <c r="I22" s="2598"/>
      <c r="J22" s="3380"/>
      <c r="K22" s="3382"/>
      <c r="L22" s="2632" t="s">
        <v>2405</v>
      </c>
      <c r="M22" s="2633"/>
      <c r="N22" s="2633"/>
      <c r="O22" s="2634"/>
      <c r="P22" s="2635">
        <v>365</v>
      </c>
      <c r="Q22" s="2609"/>
      <c r="R22" s="2674">
        <f>ROUND(M22*N22*O22*P22/10000,0)</f>
        <v>0</v>
      </c>
      <c r="S22" s="2590"/>
      <c r="T22" s="2590"/>
      <c r="U22" s="2590"/>
      <c r="V22" s="2598"/>
    </row>
    <row r="23" spans="1:22" s="2602" customFormat="1" ht="13.15" customHeight="1">
      <c r="A23" s="2678">
        <v>1</v>
      </c>
      <c r="B23" s="2679" t="s">
        <v>2406</v>
      </c>
      <c r="C23" s="2680">
        <f>D6</f>
        <v>0</v>
      </c>
      <c r="D23" s="2681">
        <f>C23*(1+D24)</f>
        <v>0</v>
      </c>
      <c r="E23" s="2682">
        <f>D23*(1+E24)</f>
        <v>0</v>
      </c>
      <c r="F23" s="2683"/>
      <c r="G23" s="2684"/>
      <c r="H23" s="2597"/>
      <c r="I23" s="2598"/>
      <c r="J23" s="3380"/>
      <c r="K23" s="3382"/>
      <c r="L23" s="2632" t="s">
        <v>2407</v>
      </c>
      <c r="M23" s="2633"/>
      <c r="N23" s="2633"/>
      <c r="O23" s="2634"/>
      <c r="P23" s="2635">
        <v>365</v>
      </c>
      <c r="Q23" s="2609"/>
      <c r="R23" s="2674">
        <f>ROUND(M23*N23*O23*P23/10000,0)</f>
        <v>0</v>
      </c>
      <c r="S23" s="2590"/>
      <c r="T23" s="2590"/>
      <c r="U23" s="2590"/>
      <c r="V23" s="2598"/>
    </row>
    <row r="24" spans="1:22" s="2602" customFormat="1" ht="13.15" customHeight="1">
      <c r="A24" s="2685"/>
      <c r="B24" s="2686" t="s">
        <v>2408</v>
      </c>
      <c r="C24" s="2687"/>
      <c r="D24" s="2688"/>
      <c r="E24" s="2689"/>
      <c r="F24" s="2690"/>
      <c r="G24" s="2684"/>
      <c r="H24" s="2597"/>
      <c r="I24" s="2598"/>
      <c r="J24" s="3380"/>
      <c r="K24" s="3383"/>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15" customHeight="1">
      <c r="A26" s="2678">
        <v>2</v>
      </c>
      <c r="B26" s="2679" t="s">
        <v>2410</v>
      </c>
      <c r="C26" s="2680">
        <f>D7</f>
        <v>0</v>
      </c>
      <c r="D26" s="2681">
        <f>D23*D27</f>
        <v>0</v>
      </c>
      <c r="E26" s="2682">
        <f>E23*E27</f>
        <v>0</v>
      </c>
      <c r="F26" s="2683"/>
      <c r="G26" s="2684"/>
      <c r="H26" s="2597"/>
      <c r="I26" s="2598"/>
      <c r="J26" s="3390">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15" customHeight="1">
      <c r="A27" s="2685"/>
      <c r="B27" s="2686" t="s">
        <v>2416</v>
      </c>
      <c r="C27" s="2703" t="e">
        <f>E7</f>
        <v>#DIV/0!</v>
      </c>
      <c r="D27" s="2688"/>
      <c r="E27" s="2689"/>
      <c r="F27" s="2690"/>
      <c r="G27" s="2684"/>
      <c r="H27" s="2704"/>
      <c r="I27" s="2696"/>
      <c r="J27" s="3391"/>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15"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15" customHeight="1">
      <c r="A32" s="2678">
        <v>4</v>
      </c>
      <c r="B32" s="2679" t="s">
        <v>2424</v>
      </c>
      <c r="C32" s="2680">
        <f>C23-C26-C29</f>
        <v>0</v>
      </c>
      <c r="D32" s="2681">
        <f>D23-D26-D29</f>
        <v>0</v>
      </c>
      <c r="E32" s="2682">
        <f>E23-E26-E29</f>
        <v>0</v>
      </c>
      <c r="F32" s="2683"/>
      <c r="G32" s="2590"/>
      <c r="H32" s="2597"/>
      <c r="I32" s="2598"/>
      <c r="J32" s="3373" t="s">
        <v>2316</v>
      </c>
      <c r="K32" s="3374"/>
      <c r="L32" s="2599" t="s">
        <v>2317</v>
      </c>
      <c r="M32" s="2599" t="s">
        <v>2318</v>
      </c>
      <c r="N32" s="2599" t="s">
        <v>2319</v>
      </c>
      <c r="O32" s="2599" t="s">
        <v>2320</v>
      </c>
      <c r="P32" s="2599" t="s">
        <v>2321</v>
      </c>
      <c r="Q32" s="2600" t="s">
        <v>2322</v>
      </c>
      <c r="R32" s="2719" t="s">
        <v>2323</v>
      </c>
      <c r="S32" s="2590"/>
      <c r="T32" s="2590"/>
      <c r="U32" s="2590"/>
      <c r="V32" s="2696"/>
    </row>
    <row r="33" spans="1:23" s="2602" customFormat="1" ht="13.15" customHeight="1">
      <c r="A33" s="2678"/>
      <c r="B33" s="2679"/>
      <c r="C33" s="2680"/>
      <c r="D33" s="2720"/>
      <c r="E33" s="2721"/>
      <c r="F33" s="2683"/>
      <c r="G33" s="2590"/>
      <c r="H33" s="2704"/>
      <c r="I33" s="2696"/>
      <c r="J33" s="3375" t="s">
        <v>2326</v>
      </c>
      <c r="K33" s="3376"/>
      <c r="L33" s="2605"/>
      <c r="M33" s="2605"/>
      <c r="N33" s="2605"/>
      <c r="O33" s="2605"/>
      <c r="P33" s="2605"/>
      <c r="Q33" s="2606"/>
      <c r="R33" s="2722">
        <f>SUM(L33:Q33)</f>
        <v>0</v>
      </c>
      <c r="S33" s="2590"/>
      <c r="T33" s="2590"/>
      <c r="U33" s="2590"/>
      <c r="V33" s="2598"/>
    </row>
    <row r="34" spans="1:23" s="2602" customFormat="1" ht="13.15" customHeight="1">
      <c r="A34" s="2678">
        <v>5</v>
      </c>
      <c r="B34" s="2679" t="s">
        <v>2425</v>
      </c>
      <c r="C34" s="2723"/>
      <c r="D34" s="2724"/>
      <c r="E34" s="2725"/>
      <c r="F34" s="2683"/>
      <c r="G34" s="2590"/>
      <c r="H34" s="2704"/>
      <c r="I34" s="2696"/>
      <c r="J34" s="3375" t="s">
        <v>2328</v>
      </c>
      <c r="K34" s="337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15" customHeight="1" thickBot="1">
      <c r="A36" s="2678">
        <v>7</v>
      </c>
      <c r="B36" s="2732" t="s">
        <v>2427</v>
      </c>
      <c r="C36" s="2733"/>
      <c r="D36" s="2734"/>
      <c r="E36" s="2735"/>
      <c r="F36" s="2736">
        <f>C36+D36+E36</f>
        <v>0</v>
      </c>
      <c r="G36" s="2590"/>
      <c r="H36" s="2597"/>
      <c r="I36" s="2598"/>
      <c r="J36" s="3380">
        <v>1</v>
      </c>
      <c r="K36" s="3381" t="s">
        <v>2428</v>
      </c>
      <c r="L36" s="2623"/>
      <c r="M36" s="2624"/>
      <c r="N36" s="2624"/>
      <c r="O36" s="2624"/>
      <c r="P36" s="2624"/>
      <c r="Q36" s="2624"/>
      <c r="R36" s="2607" t="s">
        <v>2340</v>
      </c>
      <c r="S36" s="2590"/>
      <c r="T36" s="2590" t="s">
        <v>2341</v>
      </c>
      <c r="U36" s="2590"/>
      <c r="V36" s="2598"/>
    </row>
    <row r="37" spans="1:23" s="2602" customFormat="1" ht="13.15" customHeight="1">
      <c r="A37" s="2678"/>
      <c r="B37" s="2679"/>
      <c r="C37" s="2679"/>
      <c r="D37" s="2679"/>
      <c r="E37" s="2679"/>
      <c r="F37" s="2683"/>
      <c r="G37" s="2590"/>
      <c r="H37" s="2597"/>
      <c r="I37" s="2598"/>
      <c r="J37" s="3380"/>
      <c r="K37" s="3382"/>
      <c r="L37" s="2632"/>
      <c r="M37" s="2633"/>
      <c r="N37" s="2609"/>
      <c r="O37" s="2634"/>
      <c r="P37" s="2634"/>
      <c r="Q37" s="2635"/>
      <c r="R37" s="2636"/>
      <c r="S37" s="2590"/>
      <c r="T37" s="2590" t="s">
        <v>2344</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80"/>
      <c r="K38" s="3382"/>
      <c r="L38" s="2632"/>
      <c r="M38" s="2633"/>
      <c r="N38" s="2609"/>
      <c r="O38" s="2634"/>
      <c r="P38" s="2634"/>
      <c r="Q38" s="2635"/>
      <c r="R38" s="2636"/>
      <c r="S38" s="2590"/>
      <c r="T38" s="2590" t="s">
        <v>2351</v>
      </c>
      <c r="U38" s="2590"/>
      <c r="V38" s="2598"/>
    </row>
    <row r="39" spans="1:23" s="2602" customFormat="1" ht="13.15" customHeight="1">
      <c r="A39" s="2678">
        <v>9</v>
      </c>
      <c r="B39" s="2679" t="s">
        <v>2429</v>
      </c>
      <c r="C39" s="2646" t="e">
        <f>C38</f>
        <v>#DIV/0!</v>
      </c>
      <c r="D39" s="2679">
        <f>D38/(1+D34)^C36</f>
        <v>0</v>
      </c>
      <c r="E39" s="2679">
        <f>E38/(1+E34)^(C36+D36)</f>
        <v>0</v>
      </c>
      <c r="F39" s="2683"/>
      <c r="G39" s="2598"/>
      <c r="H39" s="2597"/>
      <c r="I39" s="2598"/>
      <c r="J39" s="3380"/>
      <c r="K39" s="3382"/>
      <c r="L39" s="2632"/>
      <c r="M39" s="2633"/>
      <c r="N39" s="2609"/>
      <c r="O39" s="2634"/>
      <c r="P39" s="2634"/>
      <c r="Q39" s="2635"/>
      <c r="R39" s="2636"/>
      <c r="S39" s="2590"/>
      <c r="T39" s="2590"/>
      <c r="U39" s="2590"/>
      <c r="V39" s="2598"/>
    </row>
    <row r="40" spans="1:23" s="2602" customFormat="1" ht="13.15" customHeight="1">
      <c r="A40" s="2737">
        <v>10</v>
      </c>
      <c r="B40" s="2679" t="s">
        <v>2430</v>
      </c>
      <c r="C40" s="2738" t="e">
        <f>C39+D39+E39</f>
        <v>#DIV/0!</v>
      </c>
      <c r="D40" s="2739"/>
      <c r="E40" s="2739"/>
      <c r="F40" s="2740"/>
      <c r="G40" s="2590"/>
      <c r="H40" s="2597"/>
      <c r="I40" s="2598"/>
      <c r="J40" s="3380"/>
      <c r="K40" s="3383"/>
      <c r="L40" s="2652" t="s">
        <v>2369</v>
      </c>
      <c r="M40" s="2653"/>
      <c r="N40" s="2653"/>
      <c r="O40" s="2654"/>
      <c r="P40" s="2654"/>
      <c r="Q40" s="2655"/>
      <c r="R40" s="2601">
        <f>SUM(R37:R39)</f>
        <v>0</v>
      </c>
      <c r="S40" s="2590"/>
      <c r="T40" s="2590"/>
      <c r="U40" s="2590"/>
      <c r="V40" s="2598"/>
    </row>
    <row r="41" spans="1:23" s="2602" customFormat="1" ht="13.15"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15" customHeight="1">
      <c r="G42" s="2597"/>
      <c r="H42" s="2597"/>
      <c r="I42" s="2598"/>
      <c r="J42" s="3390">
        <v>3</v>
      </c>
      <c r="K42" s="2698" t="s">
        <v>2411</v>
      </c>
      <c r="L42" s="2699"/>
      <c r="M42" s="2700"/>
      <c r="N42" s="2701" t="s">
        <v>2412</v>
      </c>
      <c r="O42" s="2701" t="s">
        <v>2413</v>
      </c>
      <c r="P42" s="2702" t="s">
        <v>2414</v>
      </c>
      <c r="Q42" s="2702" t="s">
        <v>2415</v>
      </c>
      <c r="R42" s="2607" t="s">
        <v>2340</v>
      </c>
      <c r="S42" s="2641"/>
      <c r="T42" s="2641"/>
      <c r="U42" s="2590"/>
      <c r="V42" s="2598"/>
    </row>
    <row r="43" spans="1:23" ht="13.15" customHeight="1">
      <c r="A43" s="2602"/>
      <c r="B43" s="2602"/>
      <c r="C43" s="2602"/>
      <c r="D43" s="2602"/>
      <c r="E43" s="2602"/>
      <c r="F43" s="2602"/>
      <c r="I43" s="2585"/>
      <c r="J43" s="3391"/>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145.94999999999999</v>
      </c>
      <c r="C2" s="1729" t="s">
        <v>1651</v>
      </c>
      <c r="D2" s="1730" t="s">
        <v>1652</v>
      </c>
      <c r="E2" s="2390">
        <f>SUM(E6:E13)</f>
        <v>89.91</v>
      </c>
      <c r="F2" s="2477"/>
      <c r="G2" s="459"/>
      <c r="H2" s="459"/>
      <c r="I2" s="459"/>
      <c r="J2" s="459"/>
      <c r="K2" s="459"/>
      <c r="L2" s="459"/>
      <c r="M2" s="459"/>
      <c r="N2" s="459"/>
      <c r="O2" s="459"/>
      <c r="P2" s="459"/>
      <c r="Q2" s="459"/>
      <c r="R2" s="459"/>
      <c r="S2" s="459"/>
    </row>
    <row r="3" spans="1:22" ht="15.75">
      <c r="A3" s="1728" t="s">
        <v>686</v>
      </c>
      <c r="B3" s="2384">
        <f ca="1">ROUND(B2*10000/E2,0)</f>
        <v>16233</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92" t="s">
        <v>1654</v>
      </c>
      <c r="C5" s="3393"/>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145.94999999999999</v>
      </c>
      <c r="C6" s="1729" t="s">
        <v>1651</v>
      </c>
      <c r="D6" s="2477"/>
      <c r="E6" s="2389">
        <f>IF(OR(A6=0,F6="否"),0,'数据-取费表'!K6+'数据-取费表'!S6)</f>
        <v>89.91</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O1:R36"/>
  <sheetViews>
    <sheetView workbookViewId="0">
      <selection activeCell="R8" sqref="R8"/>
    </sheetView>
  </sheetViews>
  <sheetFormatPr defaultRowHeight="13.5"/>
  <sheetData>
    <row r="1" spans="15:18">
      <c r="O1" s="1405" t="s">
        <v>3501</v>
      </c>
      <c r="P1" s="1405" t="s">
        <v>3502</v>
      </c>
      <c r="Q1" s="1405" t="s">
        <v>3503</v>
      </c>
    </row>
    <row r="2" spans="15:18">
      <c r="O2">
        <v>89</v>
      </c>
      <c r="P2">
        <v>4600</v>
      </c>
      <c r="Q2">
        <f>P2/O2</f>
        <v>51.685393258426963</v>
      </c>
    </row>
    <row r="3" spans="15:18">
      <c r="O3">
        <v>89.73</v>
      </c>
      <c r="P3">
        <v>4600</v>
      </c>
      <c r="Q3">
        <f t="shared" ref="Q3:Q5" si="0">P3/O3</f>
        <v>51.264905828596902</v>
      </c>
    </row>
    <row r="4" spans="15:18">
      <c r="O4">
        <v>89.26</v>
      </c>
      <c r="P4">
        <v>4800</v>
      </c>
      <c r="Q4">
        <f t="shared" si="0"/>
        <v>53.775487340354019</v>
      </c>
    </row>
    <row r="5" spans="15:18">
      <c r="O5">
        <v>89</v>
      </c>
      <c r="P5">
        <v>5000</v>
      </c>
      <c r="Q5">
        <f t="shared" si="0"/>
        <v>56.179775280898873</v>
      </c>
    </row>
    <row r="8" spans="15:18">
      <c r="Q8">
        <f>AVERAGE(Q2:Q5)</f>
        <v>53.226390427069191</v>
      </c>
      <c r="R8">
        <f>Q8*'数据-汇总表'!E3</f>
        <v>4785.5847632977911</v>
      </c>
    </row>
    <row r="36" ht="11.45" customHeight="1"/>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tabSelected="1" view="pageBreakPreview" topLeftCell="A21" zoomScale="90" zoomScaleNormal="60" zoomScaleSheetLayoutView="90" workbookViewId="0">
      <selection activeCell="C43" sqref="C4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9.25" style="347" customWidth="1"/>
    <col min="7" max="7" width="16.5" style="347" customWidth="1"/>
    <col min="8" max="9" width="19.75" style="347" customWidth="1"/>
    <col min="10" max="10" width="18.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3422</v>
      </c>
      <c r="E1" s="3122" t="s">
        <v>3488</v>
      </c>
      <c r="F1" s="1735" t="s">
        <v>3489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309.72199999999998</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34448</v>
      </c>
      <c r="C3" s="344" t="s">
        <v>1665</v>
      </c>
      <c r="D3" s="343">
        <f>IF(D1="",'数据-汇总表'!E3,SUMIF('数据-汇总表'!$C19:$C33,D1,'数据-汇总表'!$E19:$E33))</f>
        <v>89.91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2" t="s">
        <v>1667</v>
      </c>
      <c r="D4" s="3413"/>
      <c r="E4" s="3414" t="s">
        <v>1668</v>
      </c>
      <c r="F4" s="3415"/>
      <c r="G4" s="3412" t="s">
        <v>1669</v>
      </c>
      <c r="H4" s="3413"/>
      <c r="I4" s="3412" t="s">
        <v>1670</v>
      </c>
      <c r="J4" s="3413"/>
      <c r="K4" s="1744" t="s">
        <v>1671</v>
      </c>
      <c r="L4" s="2484"/>
      <c r="M4" s="2485"/>
      <c r="N4" s="2485"/>
      <c r="O4" s="2485"/>
      <c r="P4" s="3416" t="s">
        <v>1672</v>
      </c>
      <c r="Q4" s="3417"/>
      <c r="R4" s="3399" t="s">
        <v>1668</v>
      </c>
      <c r="S4" s="3400"/>
      <c r="T4" s="3399" t="s">
        <v>1669</v>
      </c>
      <c r="U4" s="3400"/>
      <c r="V4" s="3424" t="s">
        <v>1670</v>
      </c>
      <c r="W4" s="3424"/>
      <c r="X4" s="1265"/>
      <c r="Y4" s="3399" t="s">
        <v>1672</v>
      </c>
      <c r="Z4" s="3400"/>
      <c r="AA4" s="3394" t="s">
        <v>1668</v>
      </c>
      <c r="AB4" s="3394" t="s">
        <v>1669</v>
      </c>
      <c r="AC4" s="3394" t="s">
        <v>1670</v>
      </c>
    </row>
    <row r="5" spans="1:29" ht="15">
      <c r="A5" s="348"/>
      <c r="B5" s="349"/>
      <c r="C5" s="3405" t="str">
        <f>成交!C2</f>
        <v>芭蕾雨悦都南区</v>
      </c>
      <c r="D5" s="3406"/>
      <c r="E5" s="3403" t="str">
        <f>成交!C2</f>
        <v>芭蕾雨悦都南区</v>
      </c>
      <c r="F5" s="3404"/>
      <c r="G5" s="3405" t="str">
        <f>成交!C3</f>
        <v>芭蕾雨悦都南区</v>
      </c>
      <c r="H5" s="3406"/>
      <c r="I5" s="3405" t="str">
        <f>成交!C5</f>
        <v>芭蕾雨悦都南区</v>
      </c>
      <c r="J5" s="3406"/>
      <c r="K5" s="1745"/>
      <c r="L5" s="2484"/>
      <c r="M5" s="2485"/>
      <c r="N5" s="2485"/>
      <c r="O5" s="2485"/>
      <c r="P5" s="3418"/>
      <c r="Q5" s="3419"/>
      <c r="R5" s="3401"/>
      <c r="S5" s="3402"/>
      <c r="T5" s="3401"/>
      <c r="U5" s="3402"/>
      <c r="V5" s="3424"/>
      <c r="W5" s="3424"/>
      <c r="X5" s="1265"/>
      <c r="Y5" s="3401"/>
      <c r="Z5" s="3402"/>
      <c r="AA5" s="3395"/>
      <c r="AB5" s="3395"/>
      <c r="AC5" s="3395"/>
    </row>
    <row r="6" spans="1:29" ht="15.75" thickBot="1">
      <c r="A6" s="350"/>
      <c r="B6" s="351"/>
      <c r="C6" s="3407" t="s">
        <v>1677</v>
      </c>
      <c r="D6" s="3408"/>
      <c r="E6" s="3409" t="str">
        <f>成交!B2</f>
        <v>长阳镇悦盛路5号院9号楼2层5单元203</v>
      </c>
      <c r="F6" s="3410"/>
      <c r="G6" s="3407" t="str">
        <f>成交!B3</f>
        <v>长阳镇悦盛路5号院8号楼4层1单元401</v>
      </c>
      <c r="H6" s="3408"/>
      <c r="I6" s="3407" t="str">
        <f>成交!B5</f>
        <v>长阳镇悦盛路5号院12号楼7层4单元701</v>
      </c>
      <c r="J6" s="3408"/>
      <c r="K6" s="1745" t="s">
        <v>1678</v>
      </c>
      <c r="L6" s="2484"/>
      <c r="M6" s="2485"/>
      <c r="N6" s="2485"/>
      <c r="O6" s="2485"/>
      <c r="P6" s="3420"/>
      <c r="Q6" s="3421"/>
      <c r="R6" s="3401"/>
      <c r="S6" s="3402"/>
      <c r="T6" s="3422"/>
      <c r="U6" s="3423"/>
      <c r="V6" s="3424"/>
      <c r="W6" s="3424"/>
      <c r="X6" s="1265"/>
      <c r="Y6" s="3422"/>
      <c r="Z6" s="3423"/>
      <c r="AA6" s="3396"/>
      <c r="AB6" s="3396"/>
      <c r="AC6" s="3396"/>
    </row>
    <row r="7" spans="1:29" s="102" customFormat="1" ht="15.75" thickBot="1">
      <c r="A7" s="352" t="s">
        <v>1679</v>
      </c>
      <c r="B7" s="353"/>
      <c r="C7" s="354">
        <f>'数据-取费表'!B2</f>
        <v>45749</v>
      </c>
      <c r="D7" s="355">
        <v>100</v>
      </c>
      <c r="E7" s="356">
        <f>成交!N2</f>
        <v>45708</v>
      </c>
      <c r="F7" s="357">
        <f>SUMIF(58:58,YEAR(E7)&amp;"-"&amp;MONTH(E7),59:59)</f>
        <v>100.5</v>
      </c>
      <c r="G7" s="356">
        <f>成交!N3</f>
        <v>45654</v>
      </c>
      <c r="H7" s="355">
        <f>SUMIF(58:58,YEAR(G7)&amp;"-"&amp;MONTH(G7),59:59)</f>
        <v>100.5</v>
      </c>
      <c r="I7" s="356">
        <f>成交!N5</f>
        <v>45621</v>
      </c>
      <c r="J7" s="355">
        <f>SUMIF(58:58,YEAR(I7)&amp;"-"&amp;MONTH(I7),59:59)</f>
        <v>100.5</v>
      </c>
      <c r="K7" s="1746"/>
      <c r="L7" s="2486"/>
      <c r="M7" s="2437"/>
      <c r="N7" s="2437"/>
      <c r="O7" s="2437"/>
      <c r="P7" s="3397" t="s">
        <v>1680</v>
      </c>
      <c r="Q7" s="3425"/>
      <c r="R7" s="664" t="s">
        <v>20</v>
      </c>
      <c r="S7" s="665">
        <f t="shared" ref="S7:S15" si="0">F7</f>
        <v>100.5</v>
      </c>
      <c r="T7" s="664" t="s">
        <v>20</v>
      </c>
      <c r="U7" s="665">
        <f t="shared" ref="U7:U15" si="1">H7</f>
        <v>100.5</v>
      </c>
      <c r="V7" s="664" t="s">
        <v>20</v>
      </c>
      <c r="W7" s="665">
        <f t="shared" ref="W7:W15" si="2">J7</f>
        <v>100.5</v>
      </c>
      <c r="X7" s="666"/>
      <c r="Y7" s="3397" t="s">
        <v>1680</v>
      </c>
      <c r="Z7" s="3398"/>
      <c r="AA7" s="50">
        <f>D7/F7</f>
        <v>0.99502487562189057</v>
      </c>
      <c r="AB7" s="50">
        <f>D7/H7</f>
        <v>0.99502487562189057</v>
      </c>
      <c r="AC7" s="50">
        <f>D7/J7</f>
        <v>0.99502487562189057</v>
      </c>
    </row>
    <row r="8" spans="1:29" s="102" customFormat="1" ht="15.7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6"/>
      <c r="L8" s="2486"/>
      <c r="M8" s="2437"/>
      <c r="N8" s="2437"/>
      <c r="O8" s="2437"/>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ht="15" thickBot="1">
      <c r="A9" s="359" t="s">
        <v>1684</v>
      </c>
      <c r="B9" s="60" t="s">
        <v>1685</v>
      </c>
      <c r="C9" s="3160" t="s">
        <v>3437</v>
      </c>
      <c r="D9" s="59">
        <v>100</v>
      </c>
      <c r="E9" s="361" t="s">
        <v>3422</v>
      </c>
      <c r="F9" s="60">
        <f>SUMIF(63:63,E9,64:64)-SUMIF(63:63,C9,64:64)+100</f>
        <v>100</v>
      </c>
      <c r="G9" s="361" t="s">
        <v>3422</v>
      </c>
      <c r="H9" s="59">
        <f>SUMIF(63:63,G9,64:64)-SUMIF(63:63,C9,64:64)+100</f>
        <v>100</v>
      </c>
      <c r="I9" s="361" t="s">
        <v>3422</v>
      </c>
      <c r="J9" s="59">
        <f>SUMIF(63:63,I9,64:64)-SUMIF(63:63,C9,64:64)+100</f>
        <v>100</v>
      </c>
      <c r="K9" s="1746"/>
      <c r="L9" s="2486"/>
      <c r="M9" s="2437"/>
      <c r="N9" s="2437"/>
      <c r="O9" s="2437"/>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hidden="1">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hidden="1">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v>1</v>
      </c>
      <c r="L11" s="2489"/>
      <c r="M11" s="2485"/>
      <c r="N11" s="2485"/>
      <c r="O11" s="2485"/>
      <c r="P11" s="3411"/>
      <c r="Q11" s="530" t="str">
        <f t="shared" si="6"/>
        <v>容积率</v>
      </c>
      <c r="R11" s="664" t="s">
        <v>18</v>
      </c>
      <c r="S11" s="665">
        <f t="shared" si="0"/>
        <v>100</v>
      </c>
      <c r="T11" s="664" t="s">
        <v>18</v>
      </c>
      <c r="U11" s="665">
        <f t="shared" si="1"/>
        <v>100</v>
      </c>
      <c r="V11" s="664" t="s">
        <v>18</v>
      </c>
      <c r="W11" s="665">
        <f t="shared" si="2"/>
        <v>100</v>
      </c>
      <c r="X11" s="666"/>
      <c r="Y11" s="3341"/>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1"/>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1"/>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5.75"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1"/>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37" t="s">
        <v>1691</v>
      </c>
      <c r="Q15" s="1263" t="str">
        <f t="shared" si="6"/>
        <v>居住社区成熟度</v>
      </c>
      <c r="R15" s="667" t="s">
        <v>18</v>
      </c>
      <c r="S15" s="668">
        <f t="shared" si="0"/>
        <v>100</v>
      </c>
      <c r="T15" s="667" t="s">
        <v>18</v>
      </c>
      <c r="U15" s="668">
        <f t="shared" si="1"/>
        <v>100</v>
      </c>
      <c r="V15" s="667" t="s">
        <v>18</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t="s">
        <v>3485</v>
      </c>
      <c r="D16" s="387"/>
      <c r="E16" s="386" t="s">
        <v>3485</v>
      </c>
      <c r="F16" s="387"/>
      <c r="G16" s="386" t="s">
        <v>3485</v>
      </c>
      <c r="H16" s="389"/>
      <c r="I16" s="386" t="s">
        <v>3485</v>
      </c>
      <c r="J16" s="387"/>
      <c r="K16" s="1752"/>
      <c r="L16" s="2490"/>
      <c r="M16" s="2485"/>
      <c r="N16" s="2485"/>
      <c r="O16" s="2485"/>
      <c r="P16" s="3438"/>
      <c r="Q16" s="1263"/>
      <c r="R16" s="667"/>
      <c r="S16" s="668"/>
      <c r="T16" s="667"/>
      <c r="U16" s="668"/>
      <c r="V16" s="667"/>
      <c r="W16" s="668"/>
      <c r="X16" s="1265"/>
      <c r="Y16" s="3431"/>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0"/>
      <c r="M17" s="2485"/>
      <c r="N17" s="2485"/>
      <c r="O17" s="2485"/>
      <c r="P17" s="3438"/>
      <c r="Q17" s="1263" t="str">
        <f>B17</f>
        <v>交通便捷度</v>
      </c>
      <c r="R17" s="667" t="s">
        <v>18</v>
      </c>
      <c r="S17" s="668">
        <f>F17</f>
        <v>100</v>
      </c>
      <c r="T17" s="667" t="s">
        <v>18</v>
      </c>
      <c r="U17" s="668">
        <f>H17</f>
        <v>100</v>
      </c>
      <c r="V17" s="667" t="s">
        <v>18</v>
      </c>
      <c r="W17" s="668">
        <f>J17</f>
        <v>100</v>
      </c>
      <c r="X17" s="1265"/>
      <c r="Y17" s="3431"/>
      <c r="Z17" s="1264" t="str">
        <f>Q17</f>
        <v>交通便捷度</v>
      </c>
      <c r="AA17" s="1264">
        <f t="shared" si="3"/>
        <v>1</v>
      </c>
      <c r="AB17" s="1264">
        <f t="shared" si="4"/>
        <v>1</v>
      </c>
      <c r="AC17" s="1264">
        <f t="shared" si="5"/>
        <v>1</v>
      </c>
    </row>
    <row r="18" spans="1:29" ht="15">
      <c r="A18" s="367"/>
      <c r="B18" s="395"/>
      <c r="C18" s="386" t="s">
        <v>3485</v>
      </c>
      <c r="D18" s="389"/>
      <c r="E18" s="386" t="s">
        <v>3485</v>
      </c>
      <c r="F18" s="389"/>
      <c r="G18" s="386" t="s">
        <v>3485</v>
      </c>
      <c r="H18" s="387"/>
      <c r="I18" s="386" t="s">
        <v>3485</v>
      </c>
      <c r="J18" s="387"/>
      <c r="K18" s="1752"/>
      <c r="L18" s="2490"/>
      <c r="M18" s="2485"/>
      <c r="N18" s="2485"/>
      <c r="O18" s="2485"/>
      <c r="P18" s="3438"/>
      <c r="Q18" s="1263"/>
      <c r="R18" s="667"/>
      <c r="S18" s="668"/>
      <c r="T18" s="667"/>
      <c r="U18" s="668"/>
      <c r="V18" s="667"/>
      <c r="W18" s="668"/>
      <c r="X18" s="1265"/>
      <c r="Y18" s="3431"/>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0"/>
      <c r="M19" s="2485"/>
      <c r="N19" s="2485"/>
      <c r="O19" s="2485"/>
      <c r="P19" s="3438"/>
      <c r="Q19" s="1263" t="str">
        <f>B19</f>
        <v>公共配套设施</v>
      </c>
      <c r="R19" s="667" t="s">
        <v>18</v>
      </c>
      <c r="S19" s="668">
        <f>F19</f>
        <v>100</v>
      </c>
      <c r="T19" s="667" t="s">
        <v>18</v>
      </c>
      <c r="U19" s="668">
        <f>H19</f>
        <v>100</v>
      </c>
      <c r="V19" s="667" t="s">
        <v>18</v>
      </c>
      <c r="W19" s="668">
        <f>J19</f>
        <v>100</v>
      </c>
      <c r="X19" s="1265"/>
      <c r="Y19" s="3431"/>
      <c r="Z19" s="1264" t="str">
        <f>Q19</f>
        <v>公共配套设施</v>
      </c>
      <c r="AA19" s="1264">
        <f t="shared" si="3"/>
        <v>1</v>
      </c>
      <c r="AB19" s="1264">
        <f t="shared" si="4"/>
        <v>1</v>
      </c>
      <c r="AC19" s="1264">
        <f t="shared" si="5"/>
        <v>1</v>
      </c>
    </row>
    <row r="20" spans="1:29" ht="15">
      <c r="A20" s="367"/>
      <c r="B20" s="395"/>
      <c r="C20" s="386" t="s">
        <v>3485</v>
      </c>
      <c r="D20" s="387"/>
      <c r="E20" s="386" t="s">
        <v>3485</v>
      </c>
      <c r="F20" s="387"/>
      <c r="G20" s="386" t="s">
        <v>3485</v>
      </c>
      <c r="H20" s="387"/>
      <c r="I20" s="386" t="s">
        <v>3485</v>
      </c>
      <c r="J20" s="387"/>
      <c r="K20" s="1752"/>
      <c r="L20" s="2490"/>
      <c r="M20" s="2485"/>
      <c r="N20" s="2485"/>
      <c r="O20" s="2485"/>
      <c r="P20" s="3438"/>
      <c r="Q20" s="1263"/>
      <c r="R20" s="667"/>
      <c r="S20" s="668"/>
      <c r="T20" s="667"/>
      <c r="U20" s="668"/>
      <c r="V20" s="667"/>
      <c r="W20" s="668"/>
      <c r="X20" s="1265"/>
      <c r="Y20" s="3431"/>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0"/>
      <c r="M21" s="2485"/>
      <c r="N21" s="2485"/>
      <c r="O21" s="2485"/>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386" t="s">
        <v>3471</v>
      </c>
      <c r="D22" s="387"/>
      <c r="E22" s="386" t="s">
        <v>3471</v>
      </c>
      <c r="F22" s="387"/>
      <c r="G22" s="386" t="s">
        <v>3471</v>
      </c>
      <c r="H22" s="387"/>
      <c r="I22" s="386" t="s">
        <v>3471</v>
      </c>
      <c r="J22" s="387"/>
      <c r="K22" s="1758"/>
      <c r="L22" s="2490"/>
      <c r="M22" s="2485"/>
      <c r="N22" s="2485"/>
      <c r="O22" s="2485"/>
      <c r="P22" s="3438"/>
      <c r="Q22" s="1263"/>
      <c r="R22" s="667"/>
      <c r="S22" s="668"/>
      <c r="T22" s="667"/>
      <c r="U22" s="668"/>
      <c r="V22" s="667"/>
      <c r="W22" s="668"/>
      <c r="X22" s="1265"/>
      <c r="Y22" s="3431"/>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0"/>
      <c r="M23" s="2485"/>
      <c r="N23" s="2485"/>
      <c r="O23" s="2485"/>
      <c r="P23" s="3438"/>
      <c r="Q23" s="1263" t="str">
        <f>B23</f>
        <v>自然及人文环境</v>
      </c>
      <c r="R23" s="667" t="s">
        <v>18</v>
      </c>
      <c r="S23" s="668">
        <f>F23</f>
        <v>100</v>
      </c>
      <c r="T23" s="667" t="s">
        <v>18</v>
      </c>
      <c r="U23" s="668">
        <f>H23</f>
        <v>100</v>
      </c>
      <c r="V23" s="667" t="s">
        <v>18</v>
      </c>
      <c r="W23" s="668">
        <f>J23</f>
        <v>100</v>
      </c>
      <c r="X23" s="1265"/>
      <c r="Y23" s="3431"/>
      <c r="Z23" s="1264" t="str">
        <f>Q23</f>
        <v>自然及人文环境</v>
      </c>
      <c r="AA23" s="1264">
        <f>D23/F23</f>
        <v>1</v>
      </c>
      <c r="AB23" s="1264">
        <f>D23/H23</f>
        <v>1</v>
      </c>
      <c r="AC23" s="1264">
        <f>D23/J23</f>
        <v>1</v>
      </c>
    </row>
    <row r="24" spans="1:29" ht="15">
      <c r="A24" s="367"/>
      <c r="B24" s="395"/>
      <c r="C24" s="386" t="s">
        <v>3485</v>
      </c>
      <c r="D24" s="387"/>
      <c r="E24" s="386" t="s">
        <v>3485</v>
      </c>
      <c r="F24" s="387"/>
      <c r="G24" s="386" t="s">
        <v>3485</v>
      </c>
      <c r="H24" s="387"/>
      <c r="I24" s="386" t="s">
        <v>3485</v>
      </c>
      <c r="J24" s="387"/>
      <c r="K24" s="1752"/>
      <c r="L24" s="2490"/>
      <c r="M24" s="2485"/>
      <c r="N24" s="2485"/>
      <c r="O24" s="2485"/>
      <c r="P24" s="3438"/>
      <c r="Q24" s="1263"/>
      <c r="R24" s="667"/>
      <c r="S24" s="668"/>
      <c r="T24" s="667"/>
      <c r="U24" s="668"/>
      <c r="V24" s="667"/>
      <c r="W24" s="668"/>
      <c r="X24" s="1265"/>
      <c r="Y24" s="3431"/>
      <c r="Z24" s="1264"/>
      <c r="AA24" s="1264">
        <v>1</v>
      </c>
      <c r="AB24" s="1264">
        <v>1</v>
      </c>
      <c r="AC24" s="1264">
        <v>1</v>
      </c>
    </row>
    <row r="25" spans="1:29" ht="15" hidden="1">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1"/>
      <c r="Z25" s="1264" t="str">
        <f>Q25</f>
        <v>楼层-1</v>
      </c>
      <c r="AA25" s="1264">
        <f t="shared" ref="AA25:AA46" si="15">D25/F25</f>
        <v>1</v>
      </c>
      <c r="AB25" s="1264">
        <f t="shared" ref="AB25:AB46" si="16">D25/H25</f>
        <v>1</v>
      </c>
      <c r="AC25" s="1264">
        <f t="shared" ref="AC25:AC46" si="17">D25/J25</f>
        <v>1</v>
      </c>
    </row>
    <row r="26" spans="1:29" ht="15">
      <c r="A26" s="367"/>
      <c r="B26" s="364" t="s">
        <v>1693</v>
      </c>
      <c r="C26" s="399" t="s">
        <v>3500</v>
      </c>
      <c r="D26" s="374">
        <v>100</v>
      </c>
      <c r="E26" s="1759" t="s">
        <v>3500</v>
      </c>
      <c r="F26" s="374">
        <f>SUMIF(88:88,E26,89:89)-SUMIF(88:88,C26,89:89)+100</f>
        <v>100</v>
      </c>
      <c r="G26" s="1759" t="s">
        <v>3500</v>
      </c>
      <c r="H26" s="374">
        <f>SUMIF(88:88,G26,89:89)-SUMIF(88:88,C26,89:89)+100</f>
        <v>100</v>
      </c>
      <c r="I26" s="1759" t="s">
        <v>3500</v>
      </c>
      <c r="J26" s="374">
        <f>SUMIF(88:88,I26,89:89)-SUMIF(88:88,C26,89:89)+100</f>
        <v>100</v>
      </c>
      <c r="K26" s="365">
        <v>0.5</v>
      </c>
      <c r="L26" s="2490"/>
      <c r="M26" s="2485"/>
      <c r="N26" s="2485"/>
      <c r="O26" s="2485"/>
      <c r="P26" s="3438"/>
      <c r="Q26" s="1263" t="str">
        <f t="shared" si="11"/>
        <v>朝向</v>
      </c>
      <c r="R26" s="667" t="s">
        <v>18</v>
      </c>
      <c r="S26" s="668">
        <f t="shared" si="12"/>
        <v>100</v>
      </c>
      <c r="T26" s="667" t="s">
        <v>18</v>
      </c>
      <c r="U26" s="668">
        <f t="shared" si="13"/>
        <v>100</v>
      </c>
      <c r="V26" s="667" t="s">
        <v>18</v>
      </c>
      <c r="W26" s="668">
        <f t="shared" si="14"/>
        <v>100</v>
      </c>
      <c r="X26" s="1265"/>
      <c r="Y26" s="3431"/>
      <c r="Z26" s="1264" t="str">
        <f>Q26</f>
        <v>朝向</v>
      </c>
      <c r="AA26" s="1264">
        <f t="shared" si="15"/>
        <v>1</v>
      </c>
      <c r="AB26" s="1264">
        <f t="shared" si="16"/>
        <v>1</v>
      </c>
      <c r="AC26" s="1264">
        <f t="shared" si="17"/>
        <v>1</v>
      </c>
    </row>
    <row r="27" spans="1:29" s="102" customFormat="1" ht="15">
      <c r="A27" s="370"/>
      <c r="B27" s="3165" t="s">
        <v>3452</v>
      </c>
      <c r="C27" s="403" t="s">
        <v>3522</v>
      </c>
      <c r="D27" s="401">
        <v>100</v>
      </c>
      <c r="E27" s="403" t="s">
        <v>3541</v>
      </c>
      <c r="F27" s="401">
        <f>SUMIF(90:90,E27,91:91)-SUMIF(90:90,C27,91:91)+100</f>
        <v>102</v>
      </c>
      <c r="G27" s="403" t="s">
        <v>3542</v>
      </c>
      <c r="H27" s="401">
        <f>SUMIF(90:90,G27,91:91)-SUMIF(90:90,C27,91:91)+100</f>
        <v>102</v>
      </c>
      <c r="I27" s="403" t="s">
        <v>3541</v>
      </c>
      <c r="J27" s="401">
        <f>SUMIF(90:90,I27,91:91)-SUMIF(90:90,C27,91:91)+100</f>
        <v>102</v>
      </c>
      <c r="K27" s="1747"/>
      <c r="L27" s="2486"/>
      <c r="M27" s="2437"/>
      <c r="N27" s="2437"/>
      <c r="O27" s="2437"/>
      <c r="P27" s="3438"/>
      <c r="Q27" s="530" t="str">
        <f t="shared" si="11"/>
        <v>楼层</v>
      </c>
      <c r="R27" s="664" t="s">
        <v>18</v>
      </c>
      <c r="S27" s="665">
        <f t="shared" si="12"/>
        <v>102</v>
      </c>
      <c r="T27" s="664" t="s">
        <v>18</v>
      </c>
      <c r="U27" s="665">
        <f t="shared" si="13"/>
        <v>102</v>
      </c>
      <c r="V27" s="664" t="s">
        <v>18</v>
      </c>
      <c r="W27" s="665">
        <f t="shared" si="14"/>
        <v>102</v>
      </c>
      <c r="X27" s="666"/>
      <c r="Y27" s="3431"/>
      <c r="Z27" s="50" t="str">
        <f>Q27</f>
        <v>楼层</v>
      </c>
      <c r="AA27" s="1264">
        <f t="shared" si="15"/>
        <v>0.98039215686274506</v>
      </c>
      <c r="AB27" s="1264">
        <f t="shared" si="16"/>
        <v>0.98039215686274506</v>
      </c>
      <c r="AC27" s="1264">
        <f t="shared" si="17"/>
        <v>0.98039215686274506</v>
      </c>
    </row>
    <row r="28" spans="1:29" ht="32.450000000000003" customHeight="1" thickBot="1">
      <c r="A28" s="367"/>
      <c r="B28" s="3165" t="s">
        <v>3453</v>
      </c>
      <c r="C28" s="3171" t="s">
        <v>3524</v>
      </c>
      <c r="D28" s="374">
        <v>100</v>
      </c>
      <c r="E28" s="3171" t="s">
        <v>3524</v>
      </c>
      <c r="F28" s="374">
        <f>SUMIF(92:92,E28,93:93)-SUMIF(92:92,C28,93:93)+100</f>
        <v>100</v>
      </c>
      <c r="G28" s="3171" t="s">
        <v>3547</v>
      </c>
      <c r="H28" s="374">
        <f>SUMIF(92:92,G28,93:93)-SUMIF(92:92,C28,93:93)+100</f>
        <v>96</v>
      </c>
      <c r="I28" s="3171" t="s">
        <v>3545</v>
      </c>
      <c r="J28" s="374">
        <f>SUMIF(92:92,I28,93:93)-SUMIF(92:92,C28,93:93)+100</f>
        <v>96</v>
      </c>
      <c r="K28" s="1747"/>
      <c r="L28" s="2490"/>
      <c r="M28" s="2485"/>
      <c r="N28" s="2485"/>
      <c r="O28" s="2485"/>
      <c r="P28" s="3438"/>
      <c r="Q28" s="1263" t="str">
        <f t="shared" si="11"/>
        <v>道路</v>
      </c>
      <c r="R28" s="667" t="s">
        <v>18</v>
      </c>
      <c r="S28" s="668">
        <f t="shared" si="12"/>
        <v>100</v>
      </c>
      <c r="T28" s="667" t="s">
        <v>18</v>
      </c>
      <c r="U28" s="668">
        <f t="shared" si="13"/>
        <v>96</v>
      </c>
      <c r="V28" s="667" t="s">
        <v>18</v>
      </c>
      <c r="W28" s="668">
        <f t="shared" si="14"/>
        <v>96</v>
      </c>
      <c r="X28" s="1265"/>
      <c r="Y28" s="3431"/>
      <c r="Z28" s="1264" t="str">
        <f t="shared" ref="Z28:Z46" si="18">Q28</f>
        <v>道路</v>
      </c>
      <c r="AA28" s="1264">
        <f t="shared" si="15"/>
        <v>1</v>
      </c>
      <c r="AB28" s="1264">
        <f t="shared" si="16"/>
        <v>1.0416666666666667</v>
      </c>
      <c r="AC28" s="1264">
        <f t="shared" si="17"/>
        <v>1.0416666666666667</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38"/>
      <c r="Q29" s="1263">
        <f t="shared" si="11"/>
        <v>111</v>
      </c>
      <c r="R29" s="667" t="s">
        <v>18</v>
      </c>
      <c r="S29" s="668">
        <f t="shared" si="12"/>
        <v>100</v>
      </c>
      <c r="T29" s="667" t="s">
        <v>18</v>
      </c>
      <c r="U29" s="668">
        <f t="shared" si="13"/>
        <v>100</v>
      </c>
      <c r="V29" s="667" t="s">
        <v>18</v>
      </c>
      <c r="W29" s="668">
        <f t="shared" si="14"/>
        <v>100</v>
      </c>
      <c r="X29" s="1265"/>
      <c r="Y29" s="3431"/>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38"/>
      <c r="Q30" s="1263">
        <f t="shared" si="11"/>
        <v>111</v>
      </c>
      <c r="R30" s="667" t="s">
        <v>18</v>
      </c>
      <c r="S30" s="668">
        <f t="shared" si="12"/>
        <v>100</v>
      </c>
      <c r="T30" s="667" t="s">
        <v>18</v>
      </c>
      <c r="U30" s="668">
        <f t="shared" si="13"/>
        <v>100</v>
      </c>
      <c r="V30" s="667" t="s">
        <v>18</v>
      </c>
      <c r="W30" s="668">
        <f t="shared" si="14"/>
        <v>100</v>
      </c>
      <c r="X30" s="1265"/>
      <c r="Y30" s="3431"/>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38"/>
      <c r="Q31" s="1263">
        <f t="shared" si="11"/>
        <v>111</v>
      </c>
      <c r="R31" s="667" t="s">
        <v>18</v>
      </c>
      <c r="S31" s="668">
        <f t="shared" si="12"/>
        <v>100</v>
      </c>
      <c r="T31" s="667" t="s">
        <v>18</v>
      </c>
      <c r="U31" s="668">
        <f t="shared" si="13"/>
        <v>100</v>
      </c>
      <c r="V31" s="667" t="s">
        <v>18</v>
      </c>
      <c r="W31" s="668">
        <f t="shared" si="14"/>
        <v>100</v>
      </c>
      <c r="X31" s="1265"/>
      <c r="Y31" s="3431"/>
      <c r="Z31" s="1264">
        <f t="shared" si="18"/>
        <v>111</v>
      </c>
      <c r="AA31" s="1264">
        <f t="shared" si="15"/>
        <v>1</v>
      </c>
      <c r="AB31" s="1264">
        <f t="shared" si="16"/>
        <v>1</v>
      </c>
      <c r="AC31" s="1264">
        <f t="shared" si="17"/>
        <v>1</v>
      </c>
    </row>
    <row r="32" spans="1:29" ht="15">
      <c r="A32" s="379" t="s">
        <v>1694</v>
      </c>
      <c r="B32" s="60" t="s">
        <v>1695</v>
      </c>
      <c r="C32" s="1763" t="s">
        <v>3454</v>
      </c>
      <c r="D32" s="405">
        <v>100</v>
      </c>
      <c r="E32" s="1763" t="s">
        <v>3454</v>
      </c>
      <c r="F32" s="400">
        <f>SUMIF(100:100,E32,101:101)-SUMIF(100:100,C32,101:101)+100</f>
        <v>100</v>
      </c>
      <c r="G32" s="1763" t="s">
        <v>3454</v>
      </c>
      <c r="H32" s="405">
        <f>SUMIF(100:100,G32,101:101)-SUMIF(100:100,C32,101:101)+100</f>
        <v>100</v>
      </c>
      <c r="I32" s="1763" t="s">
        <v>3454</v>
      </c>
      <c r="J32" s="374">
        <f>SUMIF(100:100,I32,101:101)-SUMIF(100:100,C32,101:101)+100</f>
        <v>100</v>
      </c>
      <c r="K32" s="365">
        <v>1</v>
      </c>
      <c r="L32" s="2490"/>
      <c r="M32" s="2485"/>
      <c r="N32" s="2485"/>
      <c r="O32" s="2485"/>
      <c r="P32" s="3432" t="s">
        <v>1696</v>
      </c>
      <c r="Q32" s="1263" t="str">
        <f t="shared" si="11"/>
        <v>建筑类型</v>
      </c>
      <c r="R32" s="667" t="s">
        <v>18</v>
      </c>
      <c r="S32" s="668">
        <f t="shared" si="12"/>
        <v>100</v>
      </c>
      <c r="T32" s="667" t="s">
        <v>18</v>
      </c>
      <c r="U32" s="668">
        <f t="shared" si="13"/>
        <v>100</v>
      </c>
      <c r="V32" s="667" t="s">
        <v>18</v>
      </c>
      <c r="W32" s="668">
        <f t="shared" si="14"/>
        <v>100</v>
      </c>
      <c r="X32" s="1265"/>
      <c r="Y32" s="3435"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89.91</v>
      </c>
      <c r="D33" s="119">
        <v>100</v>
      </c>
      <c r="E33" s="369">
        <f>成交!E8</f>
        <v>89.33</v>
      </c>
      <c r="F33" s="364">
        <f>LOOKUP(E33,103:103,104:104)-LOOKUP(C33,103:103,104:104)+100</f>
        <v>100</v>
      </c>
      <c r="G33" s="368">
        <f>成交!E14</f>
        <v>89.04</v>
      </c>
      <c r="H33" s="119">
        <f>LOOKUP(G33,103:103,104:104)-LOOKUP(C33,103:103,104:104)+100</f>
        <v>100</v>
      </c>
      <c r="I33" s="369">
        <f>成交!E15</f>
        <v>88.8</v>
      </c>
      <c r="J33" s="119">
        <f>LOOKUP(I33,103:103,104:104)-LOOKUP(C33,103:103,104:104)+100</f>
        <v>100</v>
      </c>
      <c r="K33" s="1747"/>
      <c r="L33" s="2489"/>
      <c r="M33" s="2491"/>
      <c r="N33" s="2491"/>
      <c r="O33" s="2491"/>
      <c r="P33" s="3433"/>
      <c r="Q33" s="531" t="str">
        <f t="shared" si="11"/>
        <v>项目建筑规模</v>
      </c>
      <c r="R33" s="669" t="s">
        <v>18</v>
      </c>
      <c r="S33" s="670">
        <f t="shared" si="12"/>
        <v>100</v>
      </c>
      <c r="T33" s="669" t="s">
        <v>18</v>
      </c>
      <c r="U33" s="670">
        <f t="shared" si="13"/>
        <v>100</v>
      </c>
      <c r="V33" s="669" t="s">
        <v>18</v>
      </c>
      <c r="W33" s="670">
        <f t="shared" si="14"/>
        <v>100</v>
      </c>
      <c r="X33" s="671"/>
      <c r="Y33" s="3435"/>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v>2.5</v>
      </c>
      <c r="L34" s="2490"/>
      <c r="M34" s="2485"/>
      <c r="N34" s="2485"/>
      <c r="O34" s="2485"/>
      <c r="P34" s="3433"/>
      <c r="Q34" s="1263" t="str">
        <f t="shared" si="11"/>
        <v>建筑结构</v>
      </c>
      <c r="R34" s="667" t="s">
        <v>18</v>
      </c>
      <c r="S34" s="668">
        <f t="shared" si="12"/>
        <v>100</v>
      </c>
      <c r="T34" s="667" t="s">
        <v>18</v>
      </c>
      <c r="U34" s="668">
        <f t="shared" si="13"/>
        <v>100</v>
      </c>
      <c r="V34" s="667" t="s">
        <v>18</v>
      </c>
      <c r="W34" s="668">
        <f t="shared" si="14"/>
        <v>100</v>
      </c>
      <c r="X34" s="1265"/>
      <c r="Y34" s="3435"/>
      <c r="Z34" s="1264" t="str">
        <f t="shared" si="18"/>
        <v>建筑结构</v>
      </c>
      <c r="AA34" s="1264">
        <f t="shared" si="15"/>
        <v>1</v>
      </c>
      <c r="AB34" s="1264">
        <f t="shared" si="16"/>
        <v>1</v>
      </c>
      <c r="AC34" s="1264">
        <f t="shared" si="17"/>
        <v>1</v>
      </c>
    </row>
    <row r="35" spans="1:29" ht="15">
      <c r="A35" s="409"/>
      <c r="B35" s="364" t="s">
        <v>1699</v>
      </c>
      <c r="C35" s="1759" t="s">
        <v>3485</v>
      </c>
      <c r="D35" s="374">
        <v>100</v>
      </c>
      <c r="E35" s="1759" t="s">
        <v>3485</v>
      </c>
      <c r="F35" s="400">
        <f>SUMIF(107:107,E35,108:108)-SUMIF(107:107,C35,108:108)+100</f>
        <v>100</v>
      </c>
      <c r="G35" s="1759" t="s">
        <v>3485</v>
      </c>
      <c r="H35" s="374">
        <f>SUMIF(107:107,G35,108:108)-SUMIF(107:107,C35,108:108)+100</f>
        <v>100</v>
      </c>
      <c r="I35" s="1759" t="s">
        <v>3485</v>
      </c>
      <c r="J35" s="374">
        <f>SUMIF(107:107,I35,108:108)-SUMIF(107:107,C35,108:108)+100</f>
        <v>100</v>
      </c>
      <c r="K35" s="365">
        <v>2</v>
      </c>
      <c r="L35" s="2490"/>
      <c r="M35" s="2485"/>
      <c r="N35" s="2485"/>
      <c r="O35" s="2485"/>
      <c r="P35" s="3433"/>
      <c r="Q35" s="1263" t="str">
        <f t="shared" si="11"/>
        <v>建筑品质</v>
      </c>
      <c r="R35" s="667" t="s">
        <v>18</v>
      </c>
      <c r="S35" s="668">
        <f t="shared" si="12"/>
        <v>100</v>
      </c>
      <c r="T35" s="667" t="s">
        <v>18</v>
      </c>
      <c r="U35" s="668">
        <f t="shared" si="13"/>
        <v>100</v>
      </c>
      <c r="V35" s="667" t="s">
        <v>18</v>
      </c>
      <c r="W35" s="668">
        <f t="shared" si="14"/>
        <v>100</v>
      </c>
      <c r="X35" s="1265"/>
      <c r="Y35" s="3435"/>
      <c r="Z35" s="1264" t="str">
        <f t="shared" si="18"/>
        <v>建筑品质</v>
      </c>
      <c r="AA35" s="1264">
        <f t="shared" si="15"/>
        <v>1</v>
      </c>
      <c r="AB35" s="1264">
        <f t="shared" si="16"/>
        <v>1</v>
      </c>
      <c r="AC35" s="1264">
        <f t="shared" si="17"/>
        <v>1</v>
      </c>
    </row>
    <row r="36" spans="1:29" ht="15">
      <c r="A36" s="409"/>
      <c r="B36" s="364" t="s">
        <v>1700</v>
      </c>
      <c r="C36" s="1759" t="s">
        <v>3483</v>
      </c>
      <c r="D36" s="374">
        <v>100</v>
      </c>
      <c r="E36" s="1759" t="s">
        <v>3483</v>
      </c>
      <c r="F36" s="400">
        <f>SUMIF(109:109,E36,110:110)-SUMIF(109:109,C36,110:110)+100</f>
        <v>100</v>
      </c>
      <c r="G36" s="1759" t="s">
        <v>3483</v>
      </c>
      <c r="H36" s="374">
        <f>SUMIF(109:109,G36,110:110)-SUMIF(109:109,C36,110:110)+100</f>
        <v>100</v>
      </c>
      <c r="I36" s="1759" t="s">
        <v>3483</v>
      </c>
      <c r="J36" s="374">
        <f>SUMIF(109:109,I36,110:110)-SUMIF(109:109,C36,110:110)+100</f>
        <v>100</v>
      </c>
      <c r="K36" s="365">
        <v>2</v>
      </c>
      <c r="L36" s="2490"/>
      <c r="M36" s="2485"/>
      <c r="N36" s="2485"/>
      <c r="O36" s="2485"/>
      <c r="P36" s="3433"/>
      <c r="Q36" s="1263" t="str">
        <f t="shared" si="11"/>
        <v>公共部分装修</v>
      </c>
      <c r="R36" s="667" t="s">
        <v>18</v>
      </c>
      <c r="S36" s="668">
        <f t="shared" si="12"/>
        <v>100</v>
      </c>
      <c r="T36" s="667" t="s">
        <v>18</v>
      </c>
      <c r="U36" s="668">
        <f t="shared" si="13"/>
        <v>100</v>
      </c>
      <c r="V36" s="667" t="s">
        <v>18</v>
      </c>
      <c r="W36" s="668">
        <f t="shared" si="14"/>
        <v>100</v>
      </c>
      <c r="X36" s="1265"/>
      <c r="Y36" s="3435"/>
      <c r="Z36" s="1264" t="str">
        <f t="shared" si="18"/>
        <v>公共部分装修</v>
      </c>
      <c r="AA36" s="1264">
        <f t="shared" si="15"/>
        <v>1</v>
      </c>
      <c r="AB36" s="1264">
        <f t="shared" si="16"/>
        <v>1</v>
      </c>
      <c r="AC36" s="1264">
        <f t="shared" si="17"/>
        <v>1</v>
      </c>
    </row>
    <row r="37" spans="1:29" s="102" customFormat="1" ht="15">
      <c r="A37" s="410"/>
      <c r="B37" s="364" t="s">
        <v>1701</v>
      </c>
      <c r="C37" s="411">
        <f>'数据-取费表'!N6</f>
        <v>0.83</v>
      </c>
      <c r="D37" s="119">
        <v>100</v>
      </c>
      <c r="E37" s="411">
        <f>C37</f>
        <v>0.83</v>
      </c>
      <c r="F37" s="364">
        <f>LOOKUP(E37,112:112,113:113)-LOOKUP(C37,112:112,113:113)+100</f>
        <v>100</v>
      </c>
      <c r="G37" s="413">
        <f>C37</f>
        <v>0.83</v>
      </c>
      <c r="H37" s="119">
        <f>LOOKUP(G37,112:112,113:113)-LOOKUP(C37,112:112,113:113)+100</f>
        <v>100</v>
      </c>
      <c r="I37" s="412">
        <f>C37</f>
        <v>0.83</v>
      </c>
      <c r="J37" s="119">
        <f>LOOKUP(I37,112:112,113:113)-LOOKUP(C37,112:112,113:113)+100</f>
        <v>100</v>
      </c>
      <c r="K37" s="365">
        <v>3</v>
      </c>
      <c r="L37" s="2486"/>
      <c r="M37" s="2437"/>
      <c r="N37" s="2437"/>
      <c r="O37" s="2437"/>
      <c r="P37" s="3433"/>
      <c r="Q37" s="530" t="str">
        <f t="shared" si="11"/>
        <v>成新度</v>
      </c>
      <c r="R37" s="664" t="s">
        <v>18</v>
      </c>
      <c r="S37" s="665">
        <f t="shared" si="12"/>
        <v>100</v>
      </c>
      <c r="T37" s="664" t="s">
        <v>18</v>
      </c>
      <c r="U37" s="665">
        <f t="shared" si="13"/>
        <v>100</v>
      </c>
      <c r="V37" s="664" t="s">
        <v>18</v>
      </c>
      <c r="W37" s="665">
        <f t="shared" si="14"/>
        <v>100</v>
      </c>
      <c r="X37" s="666"/>
      <c r="Y37" s="3435"/>
      <c r="Z37" s="50" t="str">
        <f t="shared" si="18"/>
        <v>成新度</v>
      </c>
      <c r="AA37" s="50">
        <f t="shared" si="15"/>
        <v>1</v>
      </c>
      <c r="AB37" s="50">
        <f t="shared" si="16"/>
        <v>1</v>
      </c>
      <c r="AC37" s="50">
        <f t="shared" si="17"/>
        <v>1</v>
      </c>
    </row>
    <row r="38" spans="1:29" ht="15">
      <c r="A38" s="409"/>
      <c r="B38" s="364" t="s">
        <v>1702</v>
      </c>
      <c r="C38" s="1759" t="s">
        <v>3467</v>
      </c>
      <c r="D38" s="374">
        <v>100</v>
      </c>
      <c r="E38" s="1759" t="s">
        <v>3467</v>
      </c>
      <c r="F38" s="400">
        <f>SUMIF(114:114,E38,115:115)-SUMIF(114:114,C38,115:115)+100</f>
        <v>100</v>
      </c>
      <c r="G38" s="1759" t="s">
        <v>3467</v>
      </c>
      <c r="H38" s="374">
        <f>SUMIF(114:114,G38,115:115)-SUMIF(114:114,C38,115:115)+100</f>
        <v>100</v>
      </c>
      <c r="I38" s="1759" t="s">
        <v>3467</v>
      </c>
      <c r="J38" s="374">
        <f>SUMIF(114:114,I38,115:115)-SUMIF(114:114,C38,115:115)+100</f>
        <v>100</v>
      </c>
      <c r="K38" s="365">
        <v>1</v>
      </c>
      <c r="L38" s="2490"/>
      <c r="M38" s="2485"/>
      <c r="N38" s="2485"/>
      <c r="O38" s="2485"/>
      <c r="P38" s="3433" t="s">
        <v>1696</v>
      </c>
      <c r="Q38" s="1263" t="str">
        <f t="shared" si="11"/>
        <v>物业管理</v>
      </c>
      <c r="R38" s="667" t="s">
        <v>18</v>
      </c>
      <c r="S38" s="668">
        <f t="shared" si="12"/>
        <v>100</v>
      </c>
      <c r="T38" s="667" t="s">
        <v>18</v>
      </c>
      <c r="U38" s="668">
        <f t="shared" si="13"/>
        <v>100</v>
      </c>
      <c r="V38" s="667" t="s">
        <v>18</v>
      </c>
      <c r="W38" s="668">
        <f t="shared" si="14"/>
        <v>100</v>
      </c>
      <c r="X38" s="1265"/>
      <c r="Y38" s="3435" t="s">
        <v>1696</v>
      </c>
      <c r="Z38" s="1264" t="str">
        <f t="shared" si="18"/>
        <v>物业管理</v>
      </c>
      <c r="AA38" s="1264">
        <f t="shared" si="15"/>
        <v>1</v>
      </c>
      <c r="AB38" s="1264">
        <f t="shared" si="16"/>
        <v>1</v>
      </c>
      <c r="AC38" s="1264">
        <f t="shared" si="17"/>
        <v>1</v>
      </c>
    </row>
    <row r="39" spans="1:29" ht="15">
      <c r="A39" s="409"/>
      <c r="B39" s="364" t="s">
        <v>1703</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365">
        <v>1</v>
      </c>
      <c r="L39" s="2490"/>
      <c r="M39" s="2485"/>
      <c r="N39" s="2485"/>
      <c r="O39" s="2485"/>
      <c r="P39" s="3433"/>
      <c r="Q39" s="1263" t="str">
        <f t="shared" si="11"/>
        <v>市政基础设施</v>
      </c>
      <c r="R39" s="667" t="s">
        <v>18</v>
      </c>
      <c r="S39" s="668">
        <f t="shared" si="12"/>
        <v>100</v>
      </c>
      <c r="T39" s="667" t="s">
        <v>18</v>
      </c>
      <c r="U39" s="668">
        <f t="shared" si="13"/>
        <v>100</v>
      </c>
      <c r="V39" s="667" t="s">
        <v>18</v>
      </c>
      <c r="W39" s="668">
        <f t="shared" si="14"/>
        <v>100</v>
      </c>
      <c r="X39" s="1265"/>
      <c r="Y39" s="3435"/>
      <c r="Z39" s="1264" t="str">
        <f t="shared" si="18"/>
        <v>市政基础设施</v>
      </c>
      <c r="AA39" s="1264">
        <f t="shared" si="15"/>
        <v>1</v>
      </c>
      <c r="AB39" s="1264">
        <f t="shared" si="16"/>
        <v>1</v>
      </c>
      <c r="AC39" s="1264">
        <f t="shared" si="17"/>
        <v>1</v>
      </c>
    </row>
    <row r="40" spans="1:29" ht="15">
      <c r="A40" s="409"/>
      <c r="B40" s="364" t="s">
        <v>1704</v>
      </c>
      <c r="C40" s="1759" t="s">
        <v>3486</v>
      </c>
      <c r="D40" s="374">
        <v>100</v>
      </c>
      <c r="E40" s="1759" t="s">
        <v>3486</v>
      </c>
      <c r="F40" s="400">
        <f>SUMIF(118:118,E40,119:119)-SUMIF(118:118,C40,119:119)+100</f>
        <v>100</v>
      </c>
      <c r="G40" s="1759" t="s">
        <v>3486</v>
      </c>
      <c r="H40" s="374">
        <f>SUMIF(118:118,G40,119:119)-SUMIF(118:118,C40,119:119)+100</f>
        <v>100</v>
      </c>
      <c r="I40" s="1759" t="s">
        <v>3486</v>
      </c>
      <c r="J40" s="374">
        <f>SUMIF(118:118,I40,119:119)-SUMIF(118:118,C40,119:119)+100</f>
        <v>100</v>
      </c>
      <c r="K40" s="365">
        <v>1</v>
      </c>
      <c r="L40" s="2490"/>
      <c r="M40" s="2485"/>
      <c r="N40" s="2485"/>
      <c r="O40" s="2485"/>
      <c r="P40" s="3433"/>
      <c r="Q40" s="1263" t="str">
        <f t="shared" si="11"/>
        <v>房型</v>
      </c>
      <c r="R40" s="667" t="s">
        <v>18</v>
      </c>
      <c r="S40" s="668">
        <f t="shared" si="12"/>
        <v>100</v>
      </c>
      <c r="T40" s="667" t="s">
        <v>18</v>
      </c>
      <c r="U40" s="668">
        <f t="shared" si="13"/>
        <v>100</v>
      </c>
      <c r="V40" s="667" t="s">
        <v>18</v>
      </c>
      <c r="W40" s="668">
        <f t="shared" si="14"/>
        <v>100</v>
      </c>
      <c r="X40" s="1265"/>
      <c r="Y40" s="3435"/>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3"/>
      <c r="Q41" s="531" t="str">
        <f t="shared" si="11"/>
        <v>单套/主力户型建筑面积</v>
      </c>
      <c r="R41" s="669" t="s">
        <v>18</v>
      </c>
      <c r="S41" s="670">
        <f t="shared" si="12"/>
        <v>100</v>
      </c>
      <c r="T41" s="669" t="s">
        <v>18</v>
      </c>
      <c r="U41" s="670">
        <f t="shared" si="13"/>
        <v>100</v>
      </c>
      <c r="V41" s="669" t="s">
        <v>18</v>
      </c>
      <c r="W41" s="670">
        <f t="shared" si="14"/>
        <v>100</v>
      </c>
      <c r="X41" s="671"/>
      <c r="Y41" s="3435"/>
      <c r="Z41" s="672" t="str">
        <f t="shared" si="18"/>
        <v>单套/主力户型建筑面积</v>
      </c>
      <c r="AA41" s="1264">
        <f t="shared" si="15"/>
        <v>1</v>
      </c>
      <c r="AB41" s="1264">
        <f t="shared" si="16"/>
        <v>1</v>
      </c>
      <c r="AC41" s="1264">
        <f t="shared" si="17"/>
        <v>1</v>
      </c>
    </row>
    <row r="42" spans="1:29" ht="15">
      <c r="A42" s="409"/>
      <c r="B42" s="364" t="s">
        <v>1706</v>
      </c>
      <c r="C42" s="1759" t="s">
        <v>3483</v>
      </c>
      <c r="D42" s="374">
        <v>100</v>
      </c>
      <c r="E42" s="1759" t="s">
        <v>3483</v>
      </c>
      <c r="F42" s="400">
        <f>SUMIF(122:122,E42,123:123)-SUMIF(122:122,C42,123:123)+100</f>
        <v>100</v>
      </c>
      <c r="G42" s="1759" t="s">
        <v>3483</v>
      </c>
      <c r="H42" s="374">
        <f>SUMIF(122:122,G42,123:123)-SUMIF(122:122,C42,123:123)+100</f>
        <v>100</v>
      </c>
      <c r="I42" s="1759" t="s">
        <v>3483</v>
      </c>
      <c r="J42" s="374">
        <f>SUMIF(122:122,I42,123:123)-SUMIF(122:122,C42,123:123)+100</f>
        <v>100</v>
      </c>
      <c r="K42" s="365">
        <v>2</v>
      </c>
      <c r="L42" s="2490"/>
      <c r="M42" s="2485"/>
      <c r="N42" s="2485"/>
      <c r="O42" s="2485"/>
      <c r="P42" s="3433"/>
      <c r="Q42" s="1263" t="str">
        <f t="shared" si="11"/>
        <v>内部装修</v>
      </c>
      <c r="R42" s="667" t="s">
        <v>18</v>
      </c>
      <c r="S42" s="668">
        <f t="shared" si="12"/>
        <v>100</v>
      </c>
      <c r="T42" s="667" t="s">
        <v>18</v>
      </c>
      <c r="U42" s="668">
        <f t="shared" si="13"/>
        <v>100</v>
      </c>
      <c r="V42" s="667" t="s">
        <v>18</v>
      </c>
      <c r="W42" s="668">
        <f t="shared" si="14"/>
        <v>100</v>
      </c>
      <c r="X42" s="1265"/>
      <c r="Y42" s="3435"/>
      <c r="Z42" s="1264" t="str">
        <f t="shared" si="18"/>
        <v>内部装修</v>
      </c>
      <c r="AA42" s="1264">
        <f t="shared" si="15"/>
        <v>1</v>
      </c>
      <c r="AB42" s="1264">
        <f t="shared" si="16"/>
        <v>1</v>
      </c>
      <c r="AC42" s="1264">
        <f t="shared" si="17"/>
        <v>1</v>
      </c>
    </row>
    <row r="43" spans="1:29" ht="15">
      <c r="A43" s="409"/>
      <c r="B43" s="364" t="s">
        <v>1707</v>
      </c>
      <c r="C43" s="1759" t="s">
        <v>3487</v>
      </c>
      <c r="D43" s="374">
        <v>100</v>
      </c>
      <c r="E43" s="1759" t="s">
        <v>3485</v>
      </c>
      <c r="F43" s="400">
        <f>SUMIF(124:124,E43,125:125)-SUMIF(124:124,C43,125:125)+100</f>
        <v>102</v>
      </c>
      <c r="G43" s="1759" t="s">
        <v>3485</v>
      </c>
      <c r="H43" s="374">
        <f>SUMIF(124:124,G43,125:125)-SUMIF(124:124,C43,125:125)+100</f>
        <v>102</v>
      </c>
      <c r="I43" s="1759" t="s">
        <v>3485</v>
      </c>
      <c r="J43" s="374">
        <f>SUMIF(124:124,I43,125:125)-SUMIF(124:124,C43,125:125)+100</f>
        <v>102</v>
      </c>
      <c r="K43" s="365">
        <v>2</v>
      </c>
      <c r="L43" s="2490"/>
      <c r="M43" s="2485"/>
      <c r="N43" s="2485"/>
      <c r="O43" s="2485"/>
      <c r="P43" s="3433"/>
      <c r="Q43" s="1263" t="str">
        <f t="shared" si="11"/>
        <v>内部装修维护情况</v>
      </c>
      <c r="R43" s="667" t="s">
        <v>18</v>
      </c>
      <c r="S43" s="668">
        <f t="shared" si="12"/>
        <v>102</v>
      </c>
      <c r="T43" s="667" t="s">
        <v>18</v>
      </c>
      <c r="U43" s="668">
        <f t="shared" si="13"/>
        <v>102</v>
      </c>
      <c r="V43" s="667" t="s">
        <v>18</v>
      </c>
      <c r="W43" s="668">
        <f t="shared" si="14"/>
        <v>102</v>
      </c>
      <c r="X43" s="1265"/>
      <c r="Y43" s="3435"/>
      <c r="Z43" s="1264" t="str">
        <f t="shared" si="18"/>
        <v>内部装修维护情况</v>
      </c>
      <c r="AA43" s="1264">
        <f t="shared" si="15"/>
        <v>0.98039215686274506</v>
      </c>
      <c r="AB43" s="1264">
        <f t="shared" si="16"/>
        <v>0.98039215686274506</v>
      </c>
      <c r="AC43" s="1264">
        <f t="shared" si="17"/>
        <v>0.98039215686274506</v>
      </c>
    </row>
    <row r="44" spans="1:29" s="102" customFormat="1" ht="15">
      <c r="A44" s="410"/>
      <c r="B44" s="3165"/>
      <c r="C44" s="3175"/>
      <c r="D44" s="119">
        <v>100</v>
      </c>
      <c r="E44" s="3175"/>
      <c r="F44" s="364">
        <f>SUMIF(126:126,E44,127:127)-SUMIF(126:126,C44,127:127)+100</f>
        <v>100</v>
      </c>
      <c r="G44" s="3175"/>
      <c r="H44" s="119">
        <f>SUMIF(126:126,G44,127:127)-SUMIF(126:126,C44,127:127)+100</f>
        <v>100</v>
      </c>
      <c r="I44" s="3175"/>
      <c r="J44" s="119">
        <f>SUMIF(126:126,I44,127:127)-SUMIF(126:126,C44,127:127)+100</f>
        <v>100</v>
      </c>
      <c r="K44" s="1747"/>
      <c r="L44" s="2486"/>
      <c r="M44" s="2437"/>
      <c r="N44" s="2437"/>
      <c r="O44" s="2437"/>
      <c r="P44" s="3433"/>
      <c r="Q44" s="530">
        <f t="shared" si="11"/>
        <v>0</v>
      </c>
      <c r="R44" s="664" t="s">
        <v>18</v>
      </c>
      <c r="S44" s="665">
        <f t="shared" si="12"/>
        <v>100</v>
      </c>
      <c r="T44" s="664" t="s">
        <v>18</v>
      </c>
      <c r="U44" s="665">
        <f t="shared" si="13"/>
        <v>100</v>
      </c>
      <c r="V44" s="664" t="s">
        <v>18</v>
      </c>
      <c r="W44" s="665">
        <f t="shared" si="14"/>
        <v>100</v>
      </c>
      <c r="X44" s="666"/>
      <c r="Y44" s="3435"/>
      <c r="Z44" s="50">
        <f t="shared" si="18"/>
        <v>0</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3"/>
      <c r="Q45" s="1263">
        <f t="shared" si="11"/>
        <v>111</v>
      </c>
      <c r="R45" s="667" t="s">
        <v>18</v>
      </c>
      <c r="S45" s="668">
        <f t="shared" si="12"/>
        <v>100</v>
      </c>
      <c r="T45" s="667" t="s">
        <v>18</v>
      </c>
      <c r="U45" s="668">
        <f t="shared" si="13"/>
        <v>100</v>
      </c>
      <c r="V45" s="667" t="s">
        <v>18</v>
      </c>
      <c r="W45" s="668">
        <f t="shared" si="14"/>
        <v>100</v>
      </c>
      <c r="X45" s="1265"/>
      <c r="Y45" s="3435"/>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4"/>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ht="15">
      <c r="A47" s="416" t="s">
        <v>1708</v>
      </c>
      <c r="B47" s="417"/>
      <c r="C47" s="1081" t="s">
        <v>16</v>
      </c>
      <c r="D47" s="418"/>
      <c r="E47" s="419">
        <f>成交!K8</f>
        <v>34255</v>
      </c>
      <c r="F47" s="420"/>
      <c r="G47" s="421">
        <f>成交!K14</f>
        <v>35377</v>
      </c>
      <c r="H47" s="422"/>
      <c r="I47" s="419">
        <f>成交!K15</f>
        <v>35473</v>
      </c>
      <c r="J47" s="422"/>
      <c r="K47" s="1764"/>
      <c r="L47" s="2492"/>
      <c r="M47" s="2485"/>
      <c r="N47" s="2485"/>
      <c r="O47" s="2485"/>
      <c r="P47" s="3429" t="str">
        <f>A47</f>
        <v>成交单价（元/平方米）</v>
      </c>
      <c r="Q47" s="3429"/>
      <c r="R47" s="3424">
        <f>E47</f>
        <v>34255</v>
      </c>
      <c r="S47" s="3424"/>
      <c r="T47" s="3424">
        <f>G47</f>
        <v>35377</v>
      </c>
      <c r="U47" s="3424"/>
      <c r="V47" s="3424">
        <f>I47</f>
        <v>35473</v>
      </c>
      <c r="W47" s="3424"/>
      <c r="X47" s="385"/>
      <c r="Y47" s="673"/>
      <c r="Z47" s="385"/>
      <c r="AA47" s="385"/>
      <c r="AB47" s="385"/>
      <c r="AC47" s="385"/>
    </row>
    <row r="48" spans="1:29" ht="15.75" thickBot="1">
      <c r="A48" s="423" t="s">
        <v>1709</v>
      </c>
      <c r="B48" s="424"/>
      <c r="C48" s="1082">
        <f>R49</f>
        <v>34448</v>
      </c>
      <c r="D48" s="2138" t="s">
        <v>2138</v>
      </c>
      <c r="E48" s="1083">
        <f>R48</f>
        <v>32761</v>
      </c>
      <c r="F48" s="2139"/>
      <c r="G48" s="1082">
        <f>T48</f>
        <v>35244</v>
      </c>
      <c r="H48" s="2139"/>
      <c r="I48" s="1083">
        <f>V48</f>
        <v>35339</v>
      </c>
      <c r="J48" s="2139"/>
      <c r="K48" s="2140">
        <f>F48+H48+J48</f>
        <v>0</v>
      </c>
      <c r="L48" s="2492"/>
      <c r="M48" s="2485"/>
      <c r="N48" s="2485"/>
      <c r="O48" s="2485"/>
      <c r="P48" s="3429" t="str">
        <f>A48</f>
        <v>比较价值（元/平方米）</v>
      </c>
      <c r="Q48" s="3429"/>
      <c r="R48" s="3424">
        <f>IF(F1="售价",ROUND(PRODUCT(R47,AA7:AA46),0),ROUND(PRODUCT(R47,AA7:AA46),1))</f>
        <v>32761</v>
      </c>
      <c r="S48" s="3424"/>
      <c r="T48" s="3424">
        <f>IF(F1="售价",ROUND(PRODUCT(T47,AB7:AB46),0),ROUND(PRODUCT(T47,AB7:AB46),1))</f>
        <v>35244</v>
      </c>
      <c r="U48" s="3424"/>
      <c r="V48" s="3424">
        <f>IF(F1="售价",ROUND(PRODUCT(V47,AC7:AC46),0),ROUND(PRODUCT(V47,AC7:AC46),1))</f>
        <v>35339</v>
      </c>
      <c r="W48" s="3424"/>
      <c r="X48" s="385"/>
      <c r="Y48" s="385"/>
      <c r="Z48" s="385"/>
      <c r="AA48" s="385"/>
      <c r="AB48" s="385"/>
      <c r="AC48" s="385"/>
    </row>
    <row r="49" spans="1:29" ht="15.75" thickBot="1">
      <c r="A49" s="427" t="s">
        <v>1710</v>
      </c>
      <c r="B49" s="428"/>
      <c r="C49" s="1084">
        <f>R49</f>
        <v>34448</v>
      </c>
      <c r="D49" s="351"/>
      <c r="E49" s="351"/>
      <c r="F49" s="351"/>
      <c r="G49" s="351"/>
      <c r="H49" s="351"/>
      <c r="I49" s="351"/>
      <c r="J49" s="351"/>
      <c r="K49" s="1765"/>
      <c r="L49" s="2492"/>
      <c r="M49" s="2485"/>
      <c r="N49" s="2485"/>
      <c r="O49" s="2485"/>
      <c r="P49" s="3426" t="str">
        <f>A49</f>
        <v>估价对象XX用房的比较价值（楼面单价，元/平方米）</v>
      </c>
      <c r="Q49" s="3427"/>
      <c r="R49" s="3428">
        <f>IF(F1="售价",ROUND(IF(D48="简单平均",AVERAGE(R48:V48),R48*F48+T48*H48+V48*J48),0),ROUND(IF(D48="简单平均",AVERAGE(R48:V48),R48*F48+T48*H48+V48*J48),1))</f>
        <v>34448</v>
      </c>
      <c r="S49" s="3428"/>
      <c r="T49" s="3428"/>
      <c r="U49" s="3428"/>
      <c r="V49" s="3428"/>
      <c r="W49" s="342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4.5603003571319523E-2</v>
      </c>
      <c r="F52" s="435" t="str">
        <f>IF(OR(E52&gt;=0.3,E52&lt;=-0.3),"超过30%","")</f>
        <v/>
      </c>
      <c r="G52" s="434">
        <f>IF(G47&lt;G48,G48/G47-1,G47/G48-1)</f>
        <v>3.7736919759392418E-3</v>
      </c>
      <c r="H52" s="435" t="str">
        <f>IF(OR(G52&gt;=0.3,G52&lt;=-0.3),"超过30%","")</f>
        <v/>
      </c>
      <c r="I52" s="434">
        <f>IF(I47&lt;I48,I48/I47-1,I47/I48-1)</f>
        <v>3.7918447041511705E-3</v>
      </c>
      <c r="J52" s="435" t="str">
        <f>IF(OR(I52&gt;=0.3,I52&lt;=-0.3),"超过30%","")</f>
        <v/>
      </c>
      <c r="K52" s="2497"/>
      <c r="L52" s="2493"/>
      <c r="M52" s="2485"/>
      <c r="N52" s="2485"/>
      <c r="O52" s="2485"/>
    </row>
    <row r="53" spans="1:29" ht="13.5" customHeight="1">
      <c r="A53" s="2485"/>
      <c r="B53" s="2485"/>
      <c r="C53" s="432" t="s">
        <v>1712</v>
      </c>
      <c r="D53" s="436"/>
      <c r="E53" s="434">
        <f>IF(E48&lt;G48,G48/E48-1,E48/G48-1)</f>
        <v>7.5791337260767477E-2</v>
      </c>
      <c r="F53" s="435" t="str">
        <f>IF(OR(E53&gt;=0.2,E53&lt;=-0.2),"超过20%","")</f>
        <v/>
      </c>
      <c r="G53" s="434">
        <f>IF(G48&lt;I48,I48/G48-1,G48/I48-1)</f>
        <v>2.6954942685279981E-3</v>
      </c>
      <c r="H53" s="435" t="str">
        <f>IF(OR(G53&gt;=0.2,G53&lt;=-0.2),"超过20%","")</f>
        <v/>
      </c>
      <c r="I53" s="434">
        <f>IF(I48&lt;E48,E48/I48-1,I48/E48-1)</f>
        <v>7.8691126644485854E-2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3.2754342431761785E-2</v>
      </c>
      <c r="F54" s="435" t="str">
        <f>IF(OR(E54&gt;=0.3,E54&lt;=-0.3),"超过30%","")</f>
        <v/>
      </c>
      <c r="G54" s="434">
        <f>IF(G47&lt;I47,I47/G47-1,G47/I47-1)</f>
        <v>2.7136274980918973E-3</v>
      </c>
      <c r="H54" s="435" t="str">
        <f>IF(OR(G54&gt;=0.3,G54&lt;=-0.3),"超过30%","")</f>
        <v/>
      </c>
      <c r="I54" s="434">
        <f>IF(I47&lt;E47,E47/I47-1,I47/E47-1)</f>
        <v>3.5556853014158563E-2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t="s">
        <v>3540</v>
      </c>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69"/>
      <c r="C59" s="1102">
        <v>100</v>
      </c>
      <c r="D59" s="445">
        <v>100</v>
      </c>
      <c r="E59" s="446">
        <v>100.5</v>
      </c>
      <c r="F59" s="446">
        <v>100.5</v>
      </c>
      <c r="G59" s="446">
        <v>100.5</v>
      </c>
      <c r="H59" s="446">
        <v>100.5</v>
      </c>
      <c r="I59" s="446">
        <v>100.5</v>
      </c>
      <c r="J59" s="446">
        <v>100.5</v>
      </c>
      <c r="K59" s="446">
        <v>101</v>
      </c>
      <c r="L59" s="446">
        <v>101</v>
      </c>
      <c r="M59" s="447">
        <v>101</v>
      </c>
      <c r="N59" s="446">
        <v>101</v>
      </c>
      <c r="O59" s="447">
        <v>101</v>
      </c>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8"/>
      <c r="O61" s="878"/>
      <c r="P61" s="1771"/>
      <c r="Q61" s="439"/>
    </row>
    <row r="62" spans="1:29" s="102" customFormat="1" ht="15.7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3172" t="s">
        <v>3484</v>
      </c>
      <c r="E63" s="462"/>
      <c r="F63" s="462"/>
      <c r="G63" s="462"/>
      <c r="H63" s="462"/>
      <c r="I63" s="462"/>
      <c r="J63" s="462"/>
      <c r="K63" s="463"/>
      <c r="L63" s="464"/>
      <c r="M63" s="465"/>
      <c r="N63" s="879"/>
      <c r="O63" s="879"/>
      <c r="P63" s="1772"/>
      <c r="Q63" s="439"/>
    </row>
    <row r="64" spans="1:29" ht="15.75" thickBot="1">
      <c r="A64" s="367"/>
      <c r="B64" s="466"/>
      <c r="C64" s="467">
        <v>100</v>
      </c>
      <c r="D64" s="467">
        <v>100</v>
      </c>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1735</v>
      </c>
      <c r="C88" s="3161" t="s">
        <v>3438</v>
      </c>
      <c r="D88" s="3162" t="s">
        <v>3439</v>
      </c>
      <c r="E88" s="3162" t="s">
        <v>3440</v>
      </c>
      <c r="F88" s="3162" t="s">
        <v>3441</v>
      </c>
      <c r="G88" s="3162" t="s">
        <v>3442</v>
      </c>
      <c r="H88" s="3162" t="s">
        <v>3443</v>
      </c>
      <c r="I88" s="3163" t="s">
        <v>3444</v>
      </c>
      <c r="J88" s="3163" t="s">
        <v>3445</v>
      </c>
      <c r="K88" s="3162" t="s">
        <v>3446</v>
      </c>
      <c r="L88" s="3162" t="s">
        <v>3447</v>
      </c>
      <c r="M88" s="511"/>
      <c r="N88" s="878"/>
      <c r="O88" s="878"/>
      <c r="P88" s="1772"/>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2"/>
      <c r="Q89" s="439"/>
    </row>
    <row r="90" spans="1:17" s="408" customFormat="1" ht="28.5" thickTop="1">
      <c r="A90" s="484"/>
      <c r="B90" s="469" t="str">
        <f>B27</f>
        <v>楼层</v>
      </c>
      <c r="C90" s="403" t="s">
        <v>3522</v>
      </c>
      <c r="D90" s="403" t="s">
        <v>3543</v>
      </c>
      <c r="E90" s="403" t="s">
        <v>3544</v>
      </c>
      <c r="F90" s="403" t="s">
        <v>3523</v>
      </c>
      <c r="G90" s="403" t="s">
        <v>3542</v>
      </c>
      <c r="H90" s="486"/>
      <c r="I90" s="486"/>
      <c r="J90" s="486"/>
      <c r="K90" s="486"/>
      <c r="L90" s="487"/>
      <c r="M90" s="488"/>
      <c r="N90" s="881"/>
      <c r="O90" s="881"/>
      <c r="P90" s="1773"/>
      <c r="Q90" s="490"/>
    </row>
    <row r="91" spans="1:17" s="408" customFormat="1" ht="15.75" thickBot="1">
      <c r="A91" s="484"/>
      <c r="B91" s="474"/>
      <c r="C91" s="491">
        <v>100</v>
      </c>
      <c r="D91" s="491">
        <v>100</v>
      </c>
      <c r="E91" s="491">
        <v>102</v>
      </c>
      <c r="F91" s="491">
        <v>102</v>
      </c>
      <c r="G91" s="491">
        <v>102</v>
      </c>
      <c r="H91" s="493"/>
      <c r="I91" s="493"/>
      <c r="J91" s="493"/>
      <c r="K91" s="493"/>
      <c r="L91" s="493"/>
      <c r="M91" s="494"/>
      <c r="N91" s="881"/>
      <c r="O91" s="881"/>
      <c r="P91" s="1773"/>
      <c r="Q91" s="490"/>
    </row>
    <row r="92" spans="1:17" ht="28.5" thickTop="1">
      <c r="A92" s="367"/>
      <c r="B92" s="469" t="str">
        <f>B28</f>
        <v>道路</v>
      </c>
      <c r="C92" s="3164" t="s">
        <v>3448</v>
      </c>
      <c r="D92" s="3164" t="s">
        <v>3449</v>
      </c>
      <c r="E92" s="3164" t="s">
        <v>3482</v>
      </c>
      <c r="F92" s="3164" t="s">
        <v>3450</v>
      </c>
      <c r="G92" s="3164" t="s">
        <v>3451</v>
      </c>
      <c r="H92" s="485" t="s">
        <v>3546</v>
      </c>
      <c r="I92" s="513" t="s">
        <v>3548</v>
      </c>
      <c r="J92" s="513"/>
      <c r="K92" s="514"/>
      <c r="L92" s="515"/>
      <c r="M92" s="516"/>
      <c r="N92" s="879"/>
      <c r="O92" s="879"/>
      <c r="P92" s="1772"/>
      <c r="Q92" s="439"/>
    </row>
    <row r="93" spans="1:17" ht="15.75" thickBot="1">
      <c r="A93" s="367"/>
      <c r="B93" s="474"/>
      <c r="C93" s="491">
        <v>100</v>
      </c>
      <c r="D93" s="491">
        <v>98</v>
      </c>
      <c r="E93" s="491">
        <v>96</v>
      </c>
      <c r="F93" s="491">
        <v>94</v>
      </c>
      <c r="G93" s="491">
        <v>92</v>
      </c>
      <c r="H93" s="467">
        <v>100</v>
      </c>
      <c r="I93" s="467">
        <v>96</v>
      </c>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166" t="s">
        <v>3454</v>
      </c>
      <c r="D100" s="3167" t="s">
        <v>3455</v>
      </c>
      <c r="E100" s="3168" t="s">
        <v>3456</v>
      </c>
      <c r="F100" s="3168" t="s">
        <v>3457</v>
      </c>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75" thickTop="1">
      <c r="A102" s="367"/>
      <c r="B102" s="469" t="s">
        <v>1737</v>
      </c>
      <c r="C102" s="509" t="str">
        <f>C103&amp;"(含)"&amp;"-"&amp;D103</f>
        <v>0(含)-25</v>
      </c>
      <c r="D102" s="509" t="str">
        <f t="shared" ref="D102:L102" si="26">D103&amp;"(含)"&amp;"-"&amp;E103</f>
        <v>25(含)-50</v>
      </c>
      <c r="E102" s="509" t="str">
        <f t="shared" si="26"/>
        <v>50(含)-75</v>
      </c>
      <c r="F102" s="509" t="str">
        <f t="shared" si="26"/>
        <v>75(含)-100</v>
      </c>
      <c r="G102" s="509" t="str">
        <f t="shared" si="26"/>
        <v>100(含)-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25</v>
      </c>
      <c r="E103" s="6">
        <v>50</v>
      </c>
      <c r="F103" s="6">
        <v>75</v>
      </c>
      <c r="G103" s="6">
        <v>100</v>
      </c>
      <c r="H103" s="6"/>
      <c r="I103" s="6"/>
      <c r="J103" s="524"/>
      <c r="K103" s="524"/>
      <c r="L103" s="525"/>
      <c r="M103" s="526"/>
      <c r="N103" s="881"/>
      <c r="O103" s="881"/>
      <c r="P103" s="1773"/>
      <c r="Q103" s="490"/>
    </row>
    <row r="104" spans="1:17" s="408" customFormat="1" ht="15.75" thickBot="1">
      <c r="A104" s="484"/>
      <c r="B104" s="474"/>
      <c r="C104" s="491">
        <v>100</v>
      </c>
      <c r="D104" s="467">
        <v>96</v>
      </c>
      <c r="E104" s="467">
        <v>92</v>
      </c>
      <c r="F104" s="467">
        <v>88</v>
      </c>
      <c r="G104" s="467">
        <v>84</v>
      </c>
      <c r="H104" s="467"/>
      <c r="I104" s="467"/>
      <c r="J104" s="467"/>
      <c r="K104" s="467"/>
      <c r="L104" s="467"/>
      <c r="M104" s="467"/>
      <c r="N104" s="880"/>
      <c r="O104" s="880"/>
      <c r="P104" s="1773"/>
      <c r="Q104" s="490"/>
    </row>
    <row r="105" spans="1:17" ht="15" thickTop="1">
      <c r="A105" s="409"/>
      <c r="B105" s="469" t="s">
        <v>1738</v>
      </c>
      <c r="C105" s="3164" t="s">
        <v>3458</v>
      </c>
      <c r="D105" s="3164" t="s">
        <v>3432</v>
      </c>
      <c r="E105" s="3169" t="s">
        <v>3459</v>
      </c>
      <c r="F105" s="3169" t="s">
        <v>3460</v>
      </c>
      <c r="G105" s="3162" t="s">
        <v>3461</v>
      </c>
      <c r="H105" s="513"/>
      <c r="I105" s="513"/>
      <c r="J105" s="513"/>
      <c r="K105" s="514"/>
      <c r="L105" s="515"/>
      <c r="M105" s="516"/>
      <c r="N105" s="879"/>
      <c r="O105" s="879"/>
      <c r="P105" s="1772"/>
      <c r="Q105" s="439"/>
    </row>
    <row r="106" spans="1:17" ht="15.75" thickBot="1">
      <c r="A106" s="367"/>
      <c r="B106" s="474"/>
      <c r="C106" s="475">
        <v>100</v>
      </c>
      <c r="D106" s="475">
        <f t="shared" ref="D106:M106" si="27">C106-$K34</f>
        <v>97.5</v>
      </c>
      <c r="E106" s="475">
        <f t="shared" si="27"/>
        <v>95</v>
      </c>
      <c r="F106" s="475">
        <f t="shared" si="27"/>
        <v>92.5</v>
      </c>
      <c r="G106" s="475">
        <f t="shared" si="27"/>
        <v>90</v>
      </c>
      <c r="H106" s="475">
        <f t="shared" si="27"/>
        <v>87.5</v>
      </c>
      <c r="I106" s="475">
        <f t="shared" si="27"/>
        <v>85</v>
      </c>
      <c r="J106" s="475">
        <f t="shared" si="27"/>
        <v>82.5</v>
      </c>
      <c r="K106" s="475">
        <f t="shared" si="27"/>
        <v>80</v>
      </c>
      <c r="L106" s="475">
        <f t="shared" si="27"/>
        <v>77.5</v>
      </c>
      <c r="M106" s="475">
        <f t="shared" si="27"/>
        <v>75</v>
      </c>
      <c r="N106" s="880"/>
      <c r="O106" s="880"/>
      <c r="P106" s="1772"/>
      <c r="Q106" s="439"/>
    </row>
    <row r="107" spans="1:17" ht="15" thickTop="1">
      <c r="A107" s="409"/>
      <c r="B107" s="469" t="s">
        <v>1739</v>
      </c>
      <c r="C107" s="3162" t="s">
        <v>3462</v>
      </c>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1740</v>
      </c>
      <c r="C109" s="3170" t="s">
        <v>3463</v>
      </c>
      <c r="D109" s="3170" t="s">
        <v>3464</v>
      </c>
      <c r="E109" s="3170" t="s">
        <v>3465</v>
      </c>
      <c r="F109" s="3162" t="s">
        <v>3466</v>
      </c>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3"/>
      <c r="Q113" s="490"/>
    </row>
    <row r="114" spans="1:17" ht="15" thickTop="1">
      <c r="A114" s="409"/>
      <c r="B114" s="469" t="s">
        <v>1741</v>
      </c>
      <c r="C114" s="3164" t="s">
        <v>3467</v>
      </c>
      <c r="D114" s="3164" t="s">
        <v>3468</v>
      </c>
      <c r="E114" s="3162" t="s">
        <v>3469</v>
      </c>
      <c r="F114" s="3162" t="s">
        <v>3470</v>
      </c>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1742</v>
      </c>
      <c r="C116" s="3164" t="s">
        <v>3471</v>
      </c>
      <c r="D116" s="3164" t="s">
        <v>3472</v>
      </c>
      <c r="E116" s="3164" t="s">
        <v>3473</v>
      </c>
      <c r="F116" s="3164" t="s">
        <v>3474</v>
      </c>
      <c r="G116" s="3164" t="s">
        <v>3475</v>
      </c>
      <c r="H116" s="513"/>
      <c r="I116" s="513"/>
      <c r="J116" s="513"/>
      <c r="K116" s="514"/>
      <c r="L116" s="515"/>
      <c r="M116" s="516"/>
      <c r="N116" s="879"/>
      <c r="O116" s="879"/>
      <c r="P116" s="1772"/>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1743</v>
      </c>
      <c r="C118" s="3162" t="s">
        <v>3476</v>
      </c>
      <c r="D118" s="3162" t="s">
        <v>3477</v>
      </c>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70" t="s">
        <v>3478</v>
      </c>
      <c r="D122" s="3170" t="s">
        <v>3479</v>
      </c>
      <c r="E122" s="3170" t="s">
        <v>3480</v>
      </c>
      <c r="F122" s="3162" t="s">
        <v>3481</v>
      </c>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2"/>
      <c r="Q125" s="439"/>
    </row>
    <row r="126" spans="1:17" s="408" customFormat="1" ht="15" thickTop="1">
      <c r="A126" s="406"/>
      <c r="B126" s="469">
        <f>B44</f>
        <v>0</v>
      </c>
      <c r="C126" s="3170" t="s">
        <v>3497</v>
      </c>
      <c r="D126" s="3170" t="s">
        <v>3498</v>
      </c>
      <c r="E126" s="3170" t="s">
        <v>3499</v>
      </c>
      <c r="F126" s="485"/>
      <c r="G126" s="485"/>
      <c r="H126" s="486"/>
      <c r="I126" s="486"/>
      <c r="J126" s="486"/>
      <c r="K126" s="486"/>
      <c r="L126" s="487"/>
      <c r="M126" s="488"/>
      <c r="N126" s="881"/>
      <c r="O126" s="881"/>
      <c r="P126" s="1773"/>
      <c r="Q126" s="490"/>
    </row>
    <row r="127" spans="1:17" s="408" customFormat="1" ht="15.75" thickBot="1">
      <c r="A127" s="484"/>
      <c r="B127" s="474"/>
      <c r="C127" s="491">
        <v>102</v>
      </c>
      <c r="D127" s="467">
        <v>100</v>
      </c>
      <c r="E127" s="467">
        <v>98</v>
      </c>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topLeftCell="A25" workbookViewId="0">
      <selection activeCell="N39" sqref="N39"/>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17"/>
  <sheetViews>
    <sheetView workbookViewId="0">
      <selection activeCell="K3" sqref="K3"/>
    </sheetView>
  </sheetViews>
  <sheetFormatPr defaultRowHeight="13.5"/>
  <cols>
    <col min="2" max="2" width="26.25" customWidth="1"/>
    <col min="3" max="3" width="10.625" customWidth="1"/>
    <col min="4" max="4" width="7.5" customWidth="1"/>
    <col min="5" max="5" width="7.625" customWidth="1"/>
    <col min="6" max="6" width="7.5" customWidth="1"/>
    <col min="7" max="7" width="7.75" customWidth="1"/>
    <col min="8" max="8" width="7.875" customWidth="1"/>
    <col min="14" max="14" width="12.5" customWidth="1"/>
  </cols>
  <sheetData>
    <row r="1" spans="1:16" ht="15.6" customHeight="1" thickBot="1">
      <c r="A1" s="3177" t="s">
        <v>3408</v>
      </c>
      <c r="B1" s="3177" t="s">
        <v>3409</v>
      </c>
      <c r="C1" s="3177" t="s">
        <v>3410</v>
      </c>
      <c r="D1" s="3177" t="s">
        <v>3411</v>
      </c>
      <c r="E1" s="3177" t="s">
        <v>3412</v>
      </c>
      <c r="F1" s="3177" t="s">
        <v>3413</v>
      </c>
      <c r="G1" s="3177" t="s">
        <v>3414</v>
      </c>
      <c r="H1" s="3177" t="s">
        <v>3415</v>
      </c>
      <c r="I1" s="3177" t="s">
        <v>3416</v>
      </c>
      <c r="J1" s="3177" t="s">
        <v>3417</v>
      </c>
      <c r="K1" s="3177" t="s">
        <v>3418</v>
      </c>
      <c r="L1" s="3177" t="s">
        <v>3419</v>
      </c>
      <c r="M1" s="3177" t="s">
        <v>3420</v>
      </c>
      <c r="N1" s="3177" t="s">
        <v>3421</v>
      </c>
    </row>
    <row r="2" spans="1:16" s="3159" customFormat="1" ht="15.6" customHeight="1" thickBot="1">
      <c r="A2" s="3157" t="s">
        <v>3504</v>
      </c>
      <c r="B2" s="3157" t="s">
        <v>3525</v>
      </c>
      <c r="C2" s="3157" t="s">
        <v>3532</v>
      </c>
      <c r="D2" s="3157" t="s">
        <v>3423</v>
      </c>
      <c r="E2" s="3157">
        <v>83.19</v>
      </c>
      <c r="F2" s="3157" t="s">
        <v>3422</v>
      </c>
      <c r="G2" s="3157" t="s">
        <v>3506</v>
      </c>
      <c r="H2" s="3157">
        <v>2</v>
      </c>
      <c r="I2" s="3157">
        <v>2012</v>
      </c>
      <c r="J2" s="3157" t="s">
        <v>633</v>
      </c>
      <c r="K2" s="3157">
        <v>30292</v>
      </c>
      <c r="L2" s="3157">
        <v>30337</v>
      </c>
      <c r="M2" s="3157">
        <v>2523735</v>
      </c>
      <c r="N2" s="3158">
        <v>45708</v>
      </c>
      <c r="O2" s="3159" t="s">
        <v>3519</v>
      </c>
      <c r="P2" s="3159" t="s">
        <v>3520</v>
      </c>
    </row>
    <row r="3" spans="1:16" s="3159" customFormat="1" ht="15.6" customHeight="1" thickBot="1">
      <c r="A3" s="3157" t="s">
        <v>3504</v>
      </c>
      <c r="B3" s="3157" t="s">
        <v>3507</v>
      </c>
      <c r="C3" s="3157" t="s">
        <v>3505</v>
      </c>
      <c r="D3" s="3157" t="s">
        <v>3423</v>
      </c>
      <c r="E3" s="3157">
        <v>89.91</v>
      </c>
      <c r="F3" s="3157" t="s">
        <v>3422</v>
      </c>
      <c r="G3" s="3157" t="s">
        <v>3508</v>
      </c>
      <c r="H3" s="3157">
        <v>4</v>
      </c>
      <c r="I3" s="3157">
        <v>2013</v>
      </c>
      <c r="J3" s="3157" t="s">
        <v>633</v>
      </c>
      <c r="K3" s="3157">
        <v>33367</v>
      </c>
      <c r="L3" s="3157">
        <v>33413</v>
      </c>
      <c r="M3" s="3157">
        <v>3004163</v>
      </c>
      <c r="N3" s="3158">
        <v>45654</v>
      </c>
      <c r="O3" s="3159" t="s">
        <v>3521</v>
      </c>
      <c r="P3" s="3159" t="s">
        <v>3520</v>
      </c>
    </row>
    <row r="4" spans="1:16" ht="15.6" customHeight="1" thickBot="1">
      <c r="A4" s="3180" t="s">
        <v>3504</v>
      </c>
      <c r="B4" s="3180" t="s">
        <v>3509</v>
      </c>
      <c r="C4" s="3180" t="s">
        <v>3505</v>
      </c>
      <c r="D4" s="3180" t="s">
        <v>3423</v>
      </c>
      <c r="E4" s="3180">
        <v>90.66</v>
      </c>
      <c r="F4" s="3180" t="s">
        <v>3422</v>
      </c>
      <c r="G4" s="3180" t="s">
        <v>3506</v>
      </c>
      <c r="H4" s="3180">
        <v>1</v>
      </c>
      <c r="I4" s="3180" t="s">
        <v>633</v>
      </c>
      <c r="J4" s="3180">
        <v>2013</v>
      </c>
      <c r="K4" s="3180">
        <v>44011</v>
      </c>
      <c r="L4" s="3180">
        <v>44051</v>
      </c>
      <c r="M4" s="3180">
        <v>3993664</v>
      </c>
      <c r="N4" s="3181">
        <v>45646</v>
      </c>
    </row>
    <row r="5" spans="1:16" s="3159" customFormat="1" ht="15.6" customHeight="1" thickBot="1">
      <c r="A5" s="3157" t="s">
        <v>3504</v>
      </c>
      <c r="B5" s="3157" t="s">
        <v>3510</v>
      </c>
      <c r="C5" s="3157" t="s">
        <v>3505</v>
      </c>
      <c r="D5" s="3157" t="s">
        <v>3423</v>
      </c>
      <c r="E5" s="3157">
        <v>89.28</v>
      </c>
      <c r="F5" s="3157" t="s">
        <v>3422</v>
      </c>
      <c r="G5" s="3157" t="s">
        <v>3506</v>
      </c>
      <c r="H5" s="3157">
        <v>7</v>
      </c>
      <c r="I5" s="3157" t="s">
        <v>633</v>
      </c>
      <c r="J5" s="3157">
        <v>2012</v>
      </c>
      <c r="K5" s="3157">
        <v>32706</v>
      </c>
      <c r="L5" s="3157">
        <v>32793</v>
      </c>
      <c r="M5" s="3157">
        <v>2927759</v>
      </c>
      <c r="N5" s="3158">
        <v>45621</v>
      </c>
      <c r="O5" s="3159" t="s">
        <v>3521</v>
      </c>
      <c r="P5" s="3159" t="s">
        <v>3520</v>
      </c>
    </row>
    <row r="6" spans="1:16" ht="15.6" customHeight="1" thickBot="1">
      <c r="A6" s="3151" t="s">
        <v>3504</v>
      </c>
      <c r="B6" s="3151" t="s">
        <v>3511</v>
      </c>
      <c r="C6" s="3151" t="s">
        <v>3505</v>
      </c>
      <c r="D6" s="3151" t="s">
        <v>3423</v>
      </c>
      <c r="E6" s="3151">
        <v>89.73</v>
      </c>
      <c r="F6" s="3151" t="s">
        <v>3422</v>
      </c>
      <c r="G6" s="3151" t="s">
        <v>3508</v>
      </c>
      <c r="H6" s="3151">
        <v>5</v>
      </c>
      <c r="I6" s="3151">
        <v>2012</v>
      </c>
      <c r="J6" s="3151" t="s">
        <v>633</v>
      </c>
      <c r="K6" s="3151">
        <v>33434</v>
      </c>
      <c r="L6" s="3151">
        <v>33514</v>
      </c>
      <c r="M6" s="3151">
        <v>3007211</v>
      </c>
      <c r="N6" s="3152">
        <v>45597</v>
      </c>
    </row>
    <row r="7" spans="1:16" ht="15.6" customHeight="1" thickBot="1">
      <c r="A7" s="3151" t="s">
        <v>3504</v>
      </c>
      <c r="B7" s="3151" t="s">
        <v>3512</v>
      </c>
      <c r="C7" s="3151" t="s">
        <v>3505</v>
      </c>
      <c r="D7" s="3151" t="s">
        <v>3423</v>
      </c>
      <c r="E7" s="3151">
        <v>90.6</v>
      </c>
      <c r="F7" s="3151" t="s">
        <v>3422</v>
      </c>
      <c r="G7" s="3151" t="s">
        <v>3506</v>
      </c>
      <c r="H7" s="3151">
        <v>8</v>
      </c>
      <c r="I7" s="3151" t="s">
        <v>633</v>
      </c>
      <c r="J7" s="3151">
        <v>2012</v>
      </c>
      <c r="K7" s="3151">
        <v>32892</v>
      </c>
      <c r="L7" s="3151">
        <v>32990</v>
      </c>
      <c r="M7" s="3151">
        <v>2988894</v>
      </c>
      <c r="N7" s="3152">
        <v>45590</v>
      </c>
    </row>
    <row r="8" spans="1:16" ht="15.6" customHeight="1" thickBot="1">
      <c r="A8" s="3180" t="s">
        <v>3504</v>
      </c>
      <c r="B8" s="3180" t="s">
        <v>3513</v>
      </c>
      <c r="C8" s="3180" t="s">
        <v>3505</v>
      </c>
      <c r="D8" s="3180" t="s">
        <v>3423</v>
      </c>
      <c r="E8" s="3180">
        <v>89.33</v>
      </c>
      <c r="F8" s="3180" t="s">
        <v>3422</v>
      </c>
      <c r="G8" s="3180" t="s">
        <v>3506</v>
      </c>
      <c r="H8" s="3180">
        <v>6</v>
      </c>
      <c r="I8" s="3180" t="s">
        <v>633</v>
      </c>
      <c r="J8" s="3180">
        <v>2013</v>
      </c>
      <c r="K8" s="3180">
        <v>34255</v>
      </c>
      <c r="L8" s="3180">
        <v>34337</v>
      </c>
      <c r="M8" s="3180">
        <v>3067324</v>
      </c>
      <c r="N8" s="3181">
        <v>45526</v>
      </c>
      <c r="O8" s="3159" t="s">
        <v>3438</v>
      </c>
      <c r="P8" s="3159" t="s">
        <v>3520</v>
      </c>
    </row>
    <row r="9" spans="1:16" ht="15.6" customHeight="1" thickBot="1">
      <c r="A9" s="3151" t="s">
        <v>3504</v>
      </c>
      <c r="B9" s="3151" t="s">
        <v>3514</v>
      </c>
      <c r="C9" s="3151" t="s">
        <v>3505</v>
      </c>
      <c r="D9" s="3151" t="s">
        <v>3423</v>
      </c>
      <c r="E9" s="3151">
        <v>81.260000000000005</v>
      </c>
      <c r="F9" s="3151" t="s">
        <v>3422</v>
      </c>
      <c r="G9" s="3151" t="s">
        <v>3508</v>
      </c>
      <c r="H9" s="3151">
        <v>8</v>
      </c>
      <c r="I9" s="3151">
        <v>2012</v>
      </c>
      <c r="J9" s="3151" t="s">
        <v>633</v>
      </c>
      <c r="K9" s="3151">
        <v>49471</v>
      </c>
      <c r="L9" s="3151">
        <v>49563</v>
      </c>
      <c r="M9" s="3151">
        <v>4027489</v>
      </c>
      <c r="N9" s="3152">
        <v>45505</v>
      </c>
    </row>
    <row r="10" spans="1:16" ht="15.6" customHeight="1" thickBot="1">
      <c r="A10" s="3151" t="s">
        <v>3504</v>
      </c>
      <c r="B10" s="3151" t="s">
        <v>3515</v>
      </c>
      <c r="C10" s="3151" t="s">
        <v>3505</v>
      </c>
      <c r="D10" s="3151" t="s">
        <v>3423</v>
      </c>
      <c r="E10" s="3151">
        <v>89.18</v>
      </c>
      <c r="F10" s="3151" t="s">
        <v>3422</v>
      </c>
      <c r="G10" s="3151" t="s">
        <v>3506</v>
      </c>
      <c r="H10" s="3151">
        <v>5</v>
      </c>
      <c r="I10" s="3151">
        <v>2012</v>
      </c>
      <c r="J10" s="3151" t="s">
        <v>633</v>
      </c>
      <c r="K10" s="3151">
        <v>34537</v>
      </c>
      <c r="L10" s="3151">
        <v>34625</v>
      </c>
      <c r="M10" s="3151">
        <v>3087858</v>
      </c>
      <c r="N10" s="3152">
        <v>45497</v>
      </c>
    </row>
    <row r="11" spans="1:16" ht="15.6" customHeight="1" thickBot="1">
      <c r="A11" s="3151" t="s">
        <v>3504</v>
      </c>
      <c r="B11" s="3151" t="s">
        <v>3516</v>
      </c>
      <c r="C11" s="3151" t="s">
        <v>3505</v>
      </c>
      <c r="D11" s="3151" t="s">
        <v>3423</v>
      </c>
      <c r="E11" s="3151">
        <v>89.33</v>
      </c>
      <c r="F11" s="3151" t="s">
        <v>3422</v>
      </c>
      <c r="G11" s="3151" t="s">
        <v>3506</v>
      </c>
      <c r="H11" s="3151">
        <v>1</v>
      </c>
      <c r="I11" s="3151" t="s">
        <v>633</v>
      </c>
      <c r="J11" s="3151">
        <v>2013</v>
      </c>
      <c r="K11" s="3151">
        <v>64928</v>
      </c>
      <c r="L11" s="3151">
        <v>65015</v>
      </c>
      <c r="M11" s="3151">
        <v>5807790</v>
      </c>
      <c r="N11" s="3152">
        <v>45472</v>
      </c>
    </row>
    <row r="12" spans="1:16" ht="15.6" customHeight="1" thickBot="1">
      <c r="A12" s="3151" t="s">
        <v>3504</v>
      </c>
      <c r="B12" s="3151" t="s">
        <v>3517</v>
      </c>
      <c r="C12" s="3151" t="s">
        <v>3505</v>
      </c>
      <c r="D12" s="3151" t="s">
        <v>3423</v>
      </c>
      <c r="E12" s="3151">
        <v>90.39</v>
      </c>
      <c r="F12" s="3151" t="s">
        <v>3422</v>
      </c>
      <c r="G12" s="3151" t="s">
        <v>3506</v>
      </c>
      <c r="H12" s="3151">
        <v>3</v>
      </c>
      <c r="I12" s="3151" t="s">
        <v>633</v>
      </c>
      <c r="J12" s="3151">
        <v>2013</v>
      </c>
      <c r="K12" s="3151">
        <v>33079</v>
      </c>
      <c r="L12" s="3151">
        <v>33109</v>
      </c>
      <c r="M12" s="3151">
        <v>2992723</v>
      </c>
      <c r="N12" s="3152">
        <v>45457</v>
      </c>
    </row>
    <row r="13" spans="1:16" ht="15.6" customHeight="1" thickBot="1">
      <c r="A13" s="3151" t="s">
        <v>3504</v>
      </c>
      <c r="B13" s="3151" t="s">
        <v>3518</v>
      </c>
      <c r="C13" s="3151" t="s">
        <v>3505</v>
      </c>
      <c r="D13" s="3151" t="s">
        <v>3423</v>
      </c>
      <c r="E13" s="3151">
        <v>89.28</v>
      </c>
      <c r="F13" s="3151" t="s">
        <v>3422</v>
      </c>
      <c r="G13" s="3151" t="s">
        <v>3506</v>
      </c>
      <c r="H13" s="3151">
        <v>4</v>
      </c>
      <c r="I13" s="3151" t="s">
        <v>633</v>
      </c>
      <c r="J13" s="3151">
        <v>2012</v>
      </c>
      <c r="K13" s="3151">
        <v>33714</v>
      </c>
      <c r="L13" s="3151">
        <v>33769</v>
      </c>
      <c r="M13" s="3151">
        <v>3014896</v>
      </c>
      <c r="N13" s="3152">
        <v>45441</v>
      </c>
    </row>
    <row r="14" spans="1:16" ht="14.25" thickBot="1">
      <c r="A14" s="3180" t="s">
        <v>3504</v>
      </c>
      <c r="B14" s="3180" t="s">
        <v>3533</v>
      </c>
      <c r="C14" s="3180" t="s">
        <v>3549</v>
      </c>
      <c r="D14" s="3180" t="s">
        <v>3423</v>
      </c>
      <c r="E14" s="3180">
        <v>89.04</v>
      </c>
      <c r="F14" s="3180" t="s">
        <v>3422</v>
      </c>
      <c r="G14" s="3180" t="s">
        <v>3535</v>
      </c>
      <c r="H14" s="3180">
        <v>4</v>
      </c>
      <c r="I14" s="3180" t="s">
        <v>633</v>
      </c>
      <c r="J14" s="3180">
        <v>2011</v>
      </c>
      <c r="K14" s="3180">
        <v>35377</v>
      </c>
      <c r="L14" s="3180">
        <v>35393</v>
      </c>
      <c r="M14" s="3180">
        <v>3151393</v>
      </c>
      <c r="N14" s="3181">
        <v>45738</v>
      </c>
      <c r="O14" s="3159" t="s">
        <v>3438</v>
      </c>
      <c r="P14" s="3159" t="s">
        <v>3520</v>
      </c>
    </row>
    <row r="15" spans="1:16" ht="14.25" thickBot="1">
      <c r="A15" s="3180" t="s">
        <v>3504</v>
      </c>
      <c r="B15" s="3180" t="s">
        <v>3536</v>
      </c>
      <c r="C15" s="3180" t="s">
        <v>3537</v>
      </c>
      <c r="D15" s="3180" t="s">
        <v>3423</v>
      </c>
      <c r="E15" s="3180">
        <v>88.8</v>
      </c>
      <c r="F15" s="3180" t="s">
        <v>3422</v>
      </c>
      <c r="G15" s="3180" t="s">
        <v>3506</v>
      </c>
      <c r="H15" s="3180">
        <v>6</v>
      </c>
      <c r="I15" s="3180" t="s">
        <v>633</v>
      </c>
      <c r="J15" s="3180">
        <v>2011</v>
      </c>
      <c r="K15" s="3180">
        <v>35473</v>
      </c>
      <c r="L15" s="3180">
        <v>35503</v>
      </c>
      <c r="M15" s="3180">
        <v>3152666</v>
      </c>
      <c r="N15" s="3181">
        <v>45730</v>
      </c>
      <c r="O15" s="3159" t="s">
        <v>3438</v>
      </c>
      <c r="P15" s="3159" t="s">
        <v>3520</v>
      </c>
    </row>
    <row r="16" spans="1:16" ht="14.25" thickBot="1">
      <c r="A16" s="3151" t="s">
        <v>3504</v>
      </c>
      <c r="B16" s="3151" t="s">
        <v>3538</v>
      </c>
      <c r="C16" s="3151" t="s">
        <v>3534</v>
      </c>
      <c r="D16" s="3151" t="s">
        <v>3423</v>
      </c>
      <c r="E16" s="3151">
        <v>87.97</v>
      </c>
      <c r="F16" s="3151" t="s">
        <v>3422</v>
      </c>
      <c r="G16" s="3151" t="s">
        <v>3506</v>
      </c>
      <c r="H16" s="3151">
        <v>2</v>
      </c>
      <c r="I16" s="3151">
        <v>2011</v>
      </c>
      <c r="J16" s="3151" t="s">
        <v>633</v>
      </c>
      <c r="K16" s="3151">
        <v>32625</v>
      </c>
      <c r="L16" s="3151">
        <v>32638</v>
      </c>
      <c r="M16" s="3151">
        <v>2871165</v>
      </c>
      <c r="N16" s="3152">
        <v>45659</v>
      </c>
    </row>
    <row r="17" spans="1:14" ht="14.25" thickBot="1">
      <c r="A17" s="3151" t="s">
        <v>3504</v>
      </c>
      <c r="B17" s="3151" t="s">
        <v>3539</v>
      </c>
      <c r="C17" s="3151" t="s">
        <v>3534</v>
      </c>
      <c r="D17" s="3151" t="s">
        <v>3423</v>
      </c>
      <c r="E17" s="3151">
        <v>80.69</v>
      </c>
      <c r="F17" s="3151" t="s">
        <v>3422</v>
      </c>
      <c r="G17" s="3151" t="s">
        <v>3506</v>
      </c>
      <c r="H17" s="3151">
        <v>8</v>
      </c>
      <c r="I17" s="3151" t="s">
        <v>633</v>
      </c>
      <c r="J17" s="3151">
        <v>2011</v>
      </c>
      <c r="K17" s="3151">
        <v>31974</v>
      </c>
      <c r="L17" s="3151">
        <v>31982</v>
      </c>
      <c r="M17" s="3151">
        <v>2580628</v>
      </c>
      <c r="N17" s="3152">
        <v>45659</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估价对象为北京市房地产，为所有。根据《国有土地使用证》[]，估价对象（分摊）出让国有建设用地使用权面积为0平方米，建筑面积为89.91平方米。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估价对象为北京市房地产,属开发建设的，该项目尚在开发建设中。根据《国有土地使用证》[]，估价对象（分摊）出让国有建设用地使用权面积为0平方米，规划建筑面积为89.91平方米。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2025年4月2日（评估专业人员实地查勘之日）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21"/>
  <sheetViews>
    <sheetView topLeftCell="A43" workbookViewId="0">
      <selection activeCell="F97" sqref="F97"/>
    </sheetView>
  </sheetViews>
  <sheetFormatPr defaultRowHeight="13.5"/>
  <cols>
    <col min="1" max="1" width="16.75" customWidth="1"/>
    <col min="3" max="3" width="9.5" bestFit="1" customWidth="1"/>
    <col min="5" max="5" width="9.5" bestFit="1" customWidth="1"/>
    <col min="7" max="7" width="11.625" bestFit="1" customWidth="1"/>
  </cols>
  <sheetData>
    <row r="1" spans="1:7">
      <c r="A1" s="1405"/>
      <c r="B1" s="1405"/>
    </row>
    <row r="2" spans="1:7">
      <c r="A2" s="1405"/>
      <c r="B2" s="1405" t="s">
        <v>3491</v>
      </c>
      <c r="C2" s="1405" t="s">
        <v>3492</v>
      </c>
      <c r="D2" s="1405" t="s">
        <v>3493</v>
      </c>
      <c r="E2" s="1405" t="s">
        <v>3494</v>
      </c>
      <c r="F2" s="1405" t="s">
        <v>3495</v>
      </c>
      <c r="G2" s="1405" t="s">
        <v>3496</v>
      </c>
    </row>
    <row r="3" spans="1:7">
      <c r="B3">
        <v>90.2</v>
      </c>
      <c r="C3">
        <v>3000000</v>
      </c>
      <c r="D3">
        <f>ROUND(C3/B3,0)</f>
        <v>33259</v>
      </c>
      <c r="G3" s="3173">
        <v>45299</v>
      </c>
    </row>
    <row r="4" spans="1:7">
      <c r="A4" s="3174" t="s">
        <v>3526</v>
      </c>
    </row>
    <row r="26" spans="1:7">
      <c r="A26" s="1405"/>
      <c r="B26" s="1405"/>
    </row>
    <row r="27" spans="1:7">
      <c r="A27" s="1405"/>
      <c r="B27" s="1405" t="s">
        <v>3491</v>
      </c>
      <c r="C27" s="1405" t="s">
        <v>3492</v>
      </c>
      <c r="D27" s="1405" t="s">
        <v>3493</v>
      </c>
      <c r="E27" s="1405" t="s">
        <v>3494</v>
      </c>
      <c r="F27" s="1405" t="s">
        <v>3495</v>
      </c>
      <c r="G27" s="1405" t="s">
        <v>3496</v>
      </c>
    </row>
    <row r="28" spans="1:7">
      <c r="B28">
        <v>90.49</v>
      </c>
      <c r="C28">
        <v>3092880</v>
      </c>
      <c r="D28">
        <f>ROUND(C28/B28,0)</f>
        <v>34179</v>
      </c>
      <c r="G28" s="3173">
        <v>44652</v>
      </c>
    </row>
    <row r="29" spans="1:7">
      <c r="A29" s="3174" t="s">
        <v>3527</v>
      </c>
    </row>
    <row r="49" spans="1:8">
      <c r="A49" s="1405"/>
      <c r="B49" s="1405"/>
    </row>
    <row r="50" spans="1:8">
      <c r="A50" s="1405"/>
      <c r="B50" s="3178" t="s">
        <v>3491</v>
      </c>
      <c r="C50" s="3178" t="s">
        <v>3492</v>
      </c>
      <c r="D50" s="3178" t="s">
        <v>3493</v>
      </c>
      <c r="E50" s="3178" t="s">
        <v>3494</v>
      </c>
      <c r="F50" s="3178" t="s">
        <v>3495</v>
      </c>
      <c r="G50" s="3178" t="s">
        <v>3496</v>
      </c>
      <c r="H50" s="3176"/>
    </row>
    <row r="51" spans="1:8">
      <c r="B51" s="3176">
        <v>120.69</v>
      </c>
      <c r="C51" s="3176">
        <v>5016200</v>
      </c>
      <c r="D51" s="3176">
        <f>ROUND(C51/B51,0)</f>
        <v>41563</v>
      </c>
      <c r="E51" s="3176">
        <v>4150180</v>
      </c>
      <c r="F51" s="3176">
        <f>ROUND(E51/B51,0)</f>
        <v>34387</v>
      </c>
      <c r="G51" s="3179">
        <v>45292</v>
      </c>
      <c r="H51" s="3176"/>
    </row>
    <row r="52" spans="1:8">
      <c r="A52" s="3174" t="s">
        <v>3528</v>
      </c>
      <c r="B52" s="3174"/>
    </row>
    <row r="72" spans="1:7">
      <c r="A72" s="3174" t="s">
        <v>3529</v>
      </c>
    </row>
    <row r="73" spans="1:7">
      <c r="B73" s="3178" t="s">
        <v>3491</v>
      </c>
      <c r="C73" s="3178" t="s">
        <v>3492</v>
      </c>
      <c r="D73" s="3178" t="s">
        <v>3493</v>
      </c>
      <c r="E73" s="3178" t="s">
        <v>3494</v>
      </c>
      <c r="F73" s="3178" t="s">
        <v>3495</v>
      </c>
      <c r="G73" s="3178" t="s">
        <v>3496</v>
      </c>
    </row>
    <row r="74" spans="1:7">
      <c r="B74" s="3176">
        <v>90.49</v>
      </c>
      <c r="C74" s="3176">
        <v>3638211</v>
      </c>
      <c r="D74" s="3176">
        <f>ROUND(C74/B74,0)</f>
        <v>40206</v>
      </c>
      <c r="E74" s="3176">
        <v>2648612</v>
      </c>
      <c r="F74" s="3176">
        <f>ROUND(E74/B74,0)</f>
        <v>29270</v>
      </c>
      <c r="G74" s="3179">
        <v>45713</v>
      </c>
    </row>
    <row r="96" spans="1:1">
      <c r="A96" s="3174" t="s">
        <v>3530</v>
      </c>
    </row>
    <row r="97" spans="2:7">
      <c r="B97" s="1405" t="s">
        <v>3491</v>
      </c>
      <c r="C97" s="1405" t="s">
        <v>3492</v>
      </c>
      <c r="D97" s="1405" t="s">
        <v>3493</v>
      </c>
      <c r="E97" s="1405" t="s">
        <v>3494</v>
      </c>
      <c r="F97" s="1405" t="s">
        <v>3495</v>
      </c>
      <c r="G97" s="1405" t="s">
        <v>3496</v>
      </c>
    </row>
    <row r="98" spans="2:7">
      <c r="B98">
        <v>90.49</v>
      </c>
      <c r="C98">
        <v>3866100</v>
      </c>
      <c r="D98">
        <f>ROUND(C98/B98,0)</f>
        <v>42724</v>
      </c>
      <c r="G98" s="3173">
        <v>45713</v>
      </c>
    </row>
    <row r="118" spans="1:7">
      <c r="A118" s="3174" t="s">
        <v>3531</v>
      </c>
    </row>
    <row r="120" spans="1:7">
      <c r="B120" s="3178" t="s">
        <v>3491</v>
      </c>
      <c r="C120" s="3178" t="s">
        <v>3492</v>
      </c>
      <c r="D120" s="3178" t="s">
        <v>3493</v>
      </c>
      <c r="E120" s="3178" t="s">
        <v>3494</v>
      </c>
      <c r="F120" s="3178" t="s">
        <v>3495</v>
      </c>
      <c r="G120" s="3178" t="s">
        <v>3496</v>
      </c>
    </row>
    <row r="121" spans="1:7">
      <c r="B121" s="3176">
        <v>87.97</v>
      </c>
      <c r="C121" s="3176">
        <v>3863687</v>
      </c>
      <c r="D121" s="3176">
        <f>ROUND(C121/B121,0)</f>
        <v>43921</v>
      </c>
      <c r="E121" s="3176">
        <v>2630000</v>
      </c>
      <c r="F121" s="3176">
        <f>ROUND(E121/B121,0)</f>
        <v>29897</v>
      </c>
      <c r="G121" s="3179">
        <v>45601</v>
      </c>
    </row>
  </sheetData>
  <phoneticPr fontId="134" type="noConversion"/>
  <hyperlinks>
    <hyperlink ref="A29" r:id="rId1" xr:uid="{00000000-0004-0000-1D00-000000000000}"/>
    <hyperlink ref="A52" r:id="rId2" xr:uid="{00000000-0004-0000-1D00-000001000000}"/>
    <hyperlink ref="A72" r:id="rId3" xr:uid="{00000000-0004-0000-1D00-000002000000}"/>
    <hyperlink ref="A96" r:id="rId4" xr:uid="{00000000-0004-0000-1D00-000003000000}"/>
    <hyperlink ref="A118" r:id="rId5" xr:uid="{00000000-0004-0000-1D00-000004000000}"/>
  </hyperlinks>
  <pageMargins left="0.7" right="0.7" top="0.75" bottom="0.75" header="0.3" footer="0.3"/>
  <drawing r:id="rId6"/>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89.91</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5">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399" t="s">
        <v>1771</v>
      </c>
      <c r="S4" s="3400"/>
      <c r="T4" s="3399" t="s">
        <v>1772</v>
      </c>
      <c r="U4" s="3400"/>
      <c r="V4" s="3424" t="s">
        <v>1773</v>
      </c>
      <c r="W4" s="3424"/>
      <c r="X4" s="1265"/>
      <c r="Y4" s="3399" t="s">
        <v>1775</v>
      </c>
      <c r="Z4" s="3400"/>
      <c r="AA4" s="3394" t="s">
        <v>1771</v>
      </c>
      <c r="AB4" s="3424" t="s">
        <v>1772</v>
      </c>
      <c r="AC4" s="3394" t="s">
        <v>1773</v>
      </c>
    </row>
    <row r="5" spans="1:29" ht="15">
      <c r="A5" s="348"/>
      <c r="B5" s="349"/>
      <c r="C5" s="3405" t="s">
        <v>1673</v>
      </c>
      <c r="D5" s="3406"/>
      <c r="E5" s="3403" t="s">
        <v>1674</v>
      </c>
      <c r="F5" s="3404"/>
      <c r="G5" s="3405" t="s">
        <v>1675</v>
      </c>
      <c r="H5" s="3406"/>
      <c r="I5" s="3405" t="s">
        <v>1676</v>
      </c>
      <c r="J5" s="3406"/>
      <c r="K5" s="537"/>
      <c r="L5" s="2484"/>
      <c r="M5" s="2485"/>
      <c r="N5" s="2485"/>
      <c r="O5" s="2485"/>
      <c r="P5" s="3418"/>
      <c r="Q5" s="3419"/>
      <c r="R5" s="3401"/>
      <c r="S5" s="3402"/>
      <c r="T5" s="3401"/>
      <c r="U5" s="3402"/>
      <c r="V5" s="3424"/>
      <c r="W5" s="3424"/>
      <c r="X5" s="1265"/>
      <c r="Y5" s="3401"/>
      <c r="Z5" s="3402"/>
      <c r="AA5" s="3395"/>
      <c r="AB5" s="3424"/>
      <c r="AC5" s="3395"/>
    </row>
    <row r="6" spans="1:29" ht="15.75" thickBot="1">
      <c r="A6" s="350"/>
      <c r="B6" s="351"/>
      <c r="C6" s="3407" t="s">
        <v>1677</v>
      </c>
      <c r="D6" s="3408"/>
      <c r="E6" s="3409" t="s">
        <v>1677</v>
      </c>
      <c r="F6" s="3410"/>
      <c r="G6" s="3407" t="s">
        <v>1677</v>
      </c>
      <c r="H6" s="3408"/>
      <c r="I6" s="3407" t="s">
        <v>1677</v>
      </c>
      <c r="J6" s="3408"/>
      <c r="K6" s="537" t="s">
        <v>1678</v>
      </c>
      <c r="L6" s="2484"/>
      <c r="M6" s="2485"/>
      <c r="N6" s="2485"/>
      <c r="O6" s="2485"/>
      <c r="P6" s="3420"/>
      <c r="Q6" s="3421"/>
      <c r="R6" s="3401"/>
      <c r="S6" s="3402"/>
      <c r="T6" s="3422"/>
      <c r="U6" s="3423"/>
      <c r="V6" s="3424"/>
      <c r="W6" s="3424"/>
      <c r="X6" s="1265"/>
      <c r="Y6" s="3422"/>
      <c r="Z6" s="3423"/>
      <c r="AA6" s="3396"/>
      <c r="AB6" s="3424"/>
      <c r="AC6" s="3396"/>
    </row>
    <row r="7" spans="1:29" s="102" customFormat="1" ht="15.75" thickBot="1">
      <c r="A7" s="352" t="s">
        <v>1679</v>
      </c>
      <c r="B7" s="353"/>
      <c r="C7" s="354">
        <f>'数据-取费表'!B2</f>
        <v>45749</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7"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1"/>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7" t="s">
        <v>1691</v>
      </c>
      <c r="Q15" s="1263" t="str">
        <f t="shared" si="6"/>
        <v>商业繁华度</v>
      </c>
      <c r="R15" s="667" t="s">
        <v>14</v>
      </c>
      <c r="S15" s="668">
        <f t="shared" si="0"/>
        <v>100</v>
      </c>
      <c r="T15" s="667" t="s">
        <v>14</v>
      </c>
      <c r="U15" s="668">
        <f t="shared" si="1"/>
        <v>100</v>
      </c>
      <c r="V15" s="667" t="s">
        <v>14</v>
      </c>
      <c r="W15" s="668">
        <f t="shared" si="2"/>
        <v>100</v>
      </c>
      <c r="X15" s="1265"/>
      <c r="Y15" s="343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8"/>
      <c r="Q16" s="1263"/>
      <c r="R16" s="667"/>
      <c r="S16" s="668"/>
      <c r="T16" s="667"/>
      <c r="U16" s="668"/>
      <c r="V16" s="667"/>
      <c r="W16" s="668"/>
      <c r="X16" s="1265"/>
      <c r="Y16" s="3431"/>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38"/>
      <c r="Q18" s="1263"/>
      <c r="R18" s="667"/>
      <c r="S18" s="668"/>
      <c r="T18" s="667"/>
      <c r="U18" s="668"/>
      <c r="V18" s="667"/>
      <c r="W18" s="668"/>
      <c r="X18" s="1265"/>
      <c r="Y18" s="3431"/>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38"/>
      <c r="Q20" s="1263"/>
      <c r="R20" s="667"/>
      <c r="S20" s="668"/>
      <c r="T20" s="667"/>
      <c r="U20" s="668"/>
      <c r="V20" s="667"/>
      <c r="W20" s="668"/>
      <c r="X20" s="1265"/>
      <c r="Y20" s="3431"/>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38"/>
      <c r="Q22" s="1263"/>
      <c r="R22" s="667"/>
      <c r="S22" s="668"/>
      <c r="T22" s="667"/>
      <c r="U22" s="668"/>
      <c r="V22" s="667"/>
      <c r="W22" s="668"/>
      <c r="X22" s="1265"/>
      <c r="Y22" s="3431"/>
      <c r="Z22" s="1264"/>
      <c r="AA22" s="1264">
        <v>1</v>
      </c>
      <c r="AB22" s="1264">
        <v>1</v>
      </c>
      <c r="AC22" s="1264">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8"/>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38"/>
      <c r="Q24" s="1263"/>
      <c r="R24" s="667"/>
      <c r="S24" s="668"/>
      <c r="T24" s="667"/>
      <c r="U24" s="668"/>
      <c r="V24" s="667"/>
      <c r="W24" s="668"/>
      <c r="X24" s="1265"/>
      <c r="Y24" s="343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8"/>
      <c r="Q25" s="1263" t="str">
        <f t="shared" ref="Q25:Q46" si="11">B25</f>
        <v>临街状况</v>
      </c>
      <c r="R25" s="667" t="s">
        <v>14</v>
      </c>
      <c r="S25" s="668">
        <f>F25</f>
        <v>100</v>
      </c>
      <c r="T25" s="667" t="s">
        <v>14</v>
      </c>
      <c r="U25" s="668">
        <f>H25</f>
        <v>100</v>
      </c>
      <c r="V25" s="667" t="s">
        <v>14</v>
      </c>
      <c r="W25" s="668">
        <f>J25</f>
        <v>100</v>
      </c>
      <c r="X25" s="1265"/>
      <c r="Y25" s="343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8"/>
      <c r="Q26" s="1263" t="str">
        <f t="shared" si="11"/>
        <v>平面位置/可视性</v>
      </c>
      <c r="R26" s="667" t="s">
        <v>14</v>
      </c>
      <c r="S26" s="668">
        <f>F26</f>
        <v>100</v>
      </c>
      <c r="T26" s="667" t="s">
        <v>14</v>
      </c>
      <c r="U26" s="668">
        <f>H26</f>
        <v>100</v>
      </c>
      <c r="V26" s="667" t="s">
        <v>14</v>
      </c>
      <c r="W26" s="668">
        <f>J26</f>
        <v>100</v>
      </c>
      <c r="X26" s="1265"/>
      <c r="Y26" s="3431"/>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38"/>
      <c r="Q27" s="530" t="str">
        <f t="shared" si="11"/>
        <v>人流量</v>
      </c>
      <c r="R27" s="664" t="s">
        <v>14</v>
      </c>
      <c r="S27" s="665">
        <f>F27</f>
        <v>100</v>
      </c>
      <c r="T27" s="664" t="s">
        <v>14</v>
      </c>
      <c r="U27" s="665">
        <f>H27</f>
        <v>100</v>
      </c>
      <c r="V27" s="664" t="s">
        <v>14</v>
      </c>
      <c r="W27" s="665">
        <f>J27</f>
        <v>100</v>
      </c>
      <c r="X27" s="666"/>
      <c r="Y27" s="343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8"/>
      <c r="Q29" s="1263">
        <f t="shared" si="11"/>
        <v>111</v>
      </c>
      <c r="R29" s="667" t="s">
        <v>14</v>
      </c>
      <c r="S29" s="668">
        <f t="shared" si="12"/>
        <v>100</v>
      </c>
      <c r="T29" s="667" t="s">
        <v>14</v>
      </c>
      <c r="U29" s="668">
        <f t="shared" si="13"/>
        <v>100</v>
      </c>
      <c r="V29" s="667" t="s">
        <v>14</v>
      </c>
      <c r="W29" s="668">
        <f t="shared" si="14"/>
        <v>100</v>
      </c>
      <c r="X29" s="1265"/>
      <c r="Y29" s="34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2" t="s">
        <v>1696</v>
      </c>
      <c r="Q32" s="1263" t="str">
        <f t="shared" si="11"/>
        <v>商业类型</v>
      </c>
      <c r="R32" s="667" t="s">
        <v>14</v>
      </c>
      <c r="S32" s="668">
        <f t="shared" si="12"/>
        <v>100</v>
      </c>
      <c r="T32" s="667" t="s">
        <v>14</v>
      </c>
      <c r="U32" s="668">
        <f t="shared" si="13"/>
        <v>100</v>
      </c>
      <c r="V32" s="667" t="s">
        <v>14</v>
      </c>
      <c r="W32" s="668">
        <f t="shared" si="14"/>
        <v>100</v>
      </c>
      <c r="X32" s="1265"/>
      <c r="Y32" s="343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3"/>
      <c r="Q33" s="531" t="str">
        <f t="shared" si="11"/>
        <v>项目建筑规模</v>
      </c>
      <c r="R33" s="669" t="s">
        <v>14</v>
      </c>
      <c r="S33" s="670" t="e">
        <f t="shared" si="12"/>
        <v>#N/A</v>
      </c>
      <c r="T33" s="669" t="s">
        <v>14</v>
      </c>
      <c r="U33" s="670" t="e">
        <f t="shared" si="13"/>
        <v>#N/A</v>
      </c>
      <c r="V33" s="669" t="s">
        <v>14</v>
      </c>
      <c r="W33" s="670" t="e">
        <f t="shared" si="14"/>
        <v>#N/A</v>
      </c>
      <c r="X33" s="671"/>
      <c r="Y33" s="343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3"/>
      <c r="Q35" s="1263" t="str">
        <f t="shared" si="11"/>
        <v>公共部分装修</v>
      </c>
      <c r="R35" s="667" t="s">
        <v>14</v>
      </c>
      <c r="S35" s="668">
        <f t="shared" si="12"/>
        <v>100</v>
      </c>
      <c r="T35" s="667" t="s">
        <v>14</v>
      </c>
      <c r="U35" s="668">
        <f t="shared" si="13"/>
        <v>100</v>
      </c>
      <c r="V35" s="667" t="s">
        <v>14</v>
      </c>
      <c r="W35" s="668">
        <f t="shared" si="14"/>
        <v>100</v>
      </c>
      <c r="X35" s="1265"/>
      <c r="Y35" s="343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3"/>
      <c r="Q36" s="1263" t="str">
        <f t="shared" si="11"/>
        <v>成新度</v>
      </c>
      <c r="R36" s="667" t="s">
        <v>14</v>
      </c>
      <c r="S36" s="668" t="e">
        <f t="shared" si="12"/>
        <v>#N/A</v>
      </c>
      <c r="T36" s="667" t="s">
        <v>14</v>
      </c>
      <c r="U36" s="668" t="e">
        <f t="shared" si="13"/>
        <v>#N/A</v>
      </c>
      <c r="V36" s="667" t="s">
        <v>14</v>
      </c>
      <c r="W36" s="668" t="e">
        <f t="shared" si="14"/>
        <v>#N/A</v>
      </c>
      <c r="X36" s="1265"/>
      <c r="Y36" s="3435"/>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3"/>
      <c r="Q37" s="530" t="str">
        <f t="shared" si="11"/>
        <v>市政基础设施</v>
      </c>
      <c r="R37" s="664" t="s">
        <v>14</v>
      </c>
      <c r="S37" s="665">
        <f t="shared" si="12"/>
        <v>100</v>
      </c>
      <c r="T37" s="664" t="s">
        <v>14</v>
      </c>
      <c r="U37" s="665">
        <f t="shared" si="13"/>
        <v>100</v>
      </c>
      <c r="V37" s="664" t="s">
        <v>14</v>
      </c>
      <c r="W37" s="665">
        <f t="shared" si="14"/>
        <v>100</v>
      </c>
      <c r="X37" s="666"/>
      <c r="Y37" s="343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3" t="s">
        <v>1696</v>
      </c>
      <c r="Q38" s="1263" t="str">
        <f t="shared" si="11"/>
        <v>业态</v>
      </c>
      <c r="R38" s="667" t="s">
        <v>14</v>
      </c>
      <c r="S38" s="668">
        <f t="shared" si="12"/>
        <v>100</v>
      </c>
      <c r="T38" s="667" t="s">
        <v>14</v>
      </c>
      <c r="U38" s="668">
        <f t="shared" si="13"/>
        <v>100</v>
      </c>
      <c r="V38" s="667" t="s">
        <v>14</v>
      </c>
      <c r="W38" s="668">
        <f t="shared" si="14"/>
        <v>100</v>
      </c>
      <c r="X38" s="1265"/>
      <c r="Y38" s="3435"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3"/>
      <c r="Q39" s="1263" t="str">
        <f t="shared" si="11"/>
        <v>层高</v>
      </c>
      <c r="R39" s="667" t="s">
        <v>14</v>
      </c>
      <c r="S39" s="668">
        <f t="shared" si="12"/>
        <v>100</v>
      </c>
      <c r="T39" s="667" t="s">
        <v>14</v>
      </c>
      <c r="U39" s="668">
        <f t="shared" si="13"/>
        <v>100</v>
      </c>
      <c r="V39" s="667" t="s">
        <v>14</v>
      </c>
      <c r="W39" s="668">
        <f t="shared" si="14"/>
        <v>100</v>
      </c>
      <c r="X39" s="1265"/>
      <c r="Y39" s="343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3"/>
      <c r="Q40" s="1263" t="str">
        <f t="shared" si="11"/>
        <v>单套建筑面积</v>
      </c>
      <c r="R40" s="667" t="s">
        <v>14</v>
      </c>
      <c r="S40" s="668">
        <f t="shared" si="12"/>
        <v>100</v>
      </c>
      <c r="T40" s="667" t="s">
        <v>14</v>
      </c>
      <c r="U40" s="668">
        <f t="shared" si="13"/>
        <v>100</v>
      </c>
      <c r="V40" s="667" t="s">
        <v>14</v>
      </c>
      <c r="W40" s="668">
        <f t="shared" si="14"/>
        <v>100</v>
      </c>
      <c r="X40" s="1265"/>
      <c r="Y40" s="343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3"/>
      <c r="Q41" s="531" t="str">
        <f t="shared" si="11"/>
        <v>进深比</v>
      </c>
      <c r="R41" s="669" t="s">
        <v>14</v>
      </c>
      <c r="S41" s="670">
        <f t="shared" si="12"/>
        <v>100</v>
      </c>
      <c r="T41" s="669" t="s">
        <v>14</v>
      </c>
      <c r="U41" s="670">
        <f t="shared" si="13"/>
        <v>100</v>
      </c>
      <c r="V41" s="669" t="s">
        <v>14</v>
      </c>
      <c r="W41" s="670">
        <f t="shared" si="14"/>
        <v>100</v>
      </c>
      <c r="X41" s="671"/>
      <c r="Y41" s="3435"/>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3"/>
      <c r="Q42" s="1263" t="str">
        <f t="shared" si="11"/>
        <v>内部装修</v>
      </c>
      <c r="R42" s="667" t="s">
        <v>14</v>
      </c>
      <c r="S42" s="668">
        <f t="shared" si="12"/>
        <v>100</v>
      </c>
      <c r="T42" s="667" t="s">
        <v>14</v>
      </c>
      <c r="U42" s="668">
        <f t="shared" si="13"/>
        <v>100</v>
      </c>
      <c r="V42" s="667" t="s">
        <v>14</v>
      </c>
      <c r="W42" s="668">
        <f t="shared" si="14"/>
        <v>100</v>
      </c>
      <c r="X42" s="1265"/>
      <c r="Y42" s="3435"/>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3"/>
      <c r="Q44" s="530">
        <f t="shared" si="11"/>
        <v>111</v>
      </c>
      <c r="R44" s="664" t="s">
        <v>14</v>
      </c>
      <c r="S44" s="665">
        <f t="shared" si="12"/>
        <v>100</v>
      </c>
      <c r="T44" s="664" t="s">
        <v>14</v>
      </c>
      <c r="U44" s="665">
        <f t="shared" si="13"/>
        <v>100</v>
      </c>
      <c r="V44" s="664" t="s">
        <v>14</v>
      </c>
      <c r="W44" s="665">
        <f t="shared" si="14"/>
        <v>100</v>
      </c>
      <c r="X44" s="666"/>
      <c r="Y44" s="343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3"/>
      <c r="Q45" s="1263">
        <f t="shared" si="11"/>
        <v>111</v>
      </c>
      <c r="R45" s="667" t="s">
        <v>14</v>
      </c>
      <c r="S45" s="668">
        <f t="shared" si="12"/>
        <v>100</v>
      </c>
      <c r="T45" s="667" t="s">
        <v>14</v>
      </c>
      <c r="U45" s="668">
        <f t="shared" si="13"/>
        <v>100</v>
      </c>
      <c r="V45" s="667" t="s">
        <v>14</v>
      </c>
      <c r="W45" s="668">
        <f t="shared" si="14"/>
        <v>100</v>
      </c>
      <c r="X45" s="1265"/>
      <c r="Y45" s="3435"/>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29" t="str">
        <f>A47</f>
        <v>成交单价（元/平方米）</v>
      </c>
      <c r="Q47" s="3429"/>
      <c r="R47" s="3424">
        <f>E47</f>
        <v>0</v>
      </c>
      <c r="S47" s="3424"/>
      <c r="T47" s="3424">
        <f>G47</f>
        <v>0</v>
      </c>
      <c r="U47" s="3424"/>
      <c r="V47" s="3424">
        <f>I47</f>
        <v>0</v>
      </c>
      <c r="W47" s="3424"/>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89.91</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2" t="s">
        <v>1770</v>
      </c>
      <c r="D4" s="3413"/>
      <c r="E4" s="3414" t="s">
        <v>1771</v>
      </c>
      <c r="F4" s="3415"/>
      <c r="G4" s="3412" t="s">
        <v>1772</v>
      </c>
      <c r="H4" s="3413"/>
      <c r="I4" s="3412" t="s">
        <v>1773</v>
      </c>
      <c r="J4" s="3413"/>
      <c r="K4" s="537" t="s">
        <v>1774</v>
      </c>
      <c r="L4" s="2484"/>
      <c r="M4" s="2485"/>
      <c r="N4" s="2485"/>
      <c r="O4" s="2485"/>
      <c r="P4" s="3445" t="s">
        <v>1775</v>
      </c>
      <c r="Q4" s="3446"/>
      <c r="R4" s="3440" t="s">
        <v>1771</v>
      </c>
      <c r="S4" s="3441"/>
      <c r="T4" s="3440" t="s">
        <v>1772</v>
      </c>
      <c r="U4" s="3441"/>
      <c r="V4" s="3449" t="s">
        <v>1773</v>
      </c>
      <c r="W4" s="3449"/>
      <c r="X4" s="1806"/>
      <c r="Y4" s="3440" t="s">
        <v>1775</v>
      </c>
      <c r="Z4" s="3441"/>
      <c r="AA4" s="3439" t="s">
        <v>1771</v>
      </c>
      <c r="AB4" s="3439" t="s">
        <v>1772</v>
      </c>
      <c r="AC4" s="3442" t="s">
        <v>1773</v>
      </c>
    </row>
    <row r="5" spans="1:29" ht="15">
      <c r="A5" s="348"/>
      <c r="B5" s="349"/>
      <c r="C5" s="3405" t="s">
        <v>1673</v>
      </c>
      <c r="D5" s="3406"/>
      <c r="E5" s="3403" t="s">
        <v>1674</v>
      </c>
      <c r="F5" s="3404"/>
      <c r="G5" s="3405" t="s">
        <v>1675</v>
      </c>
      <c r="H5" s="3406"/>
      <c r="I5" s="3405" t="s">
        <v>1676</v>
      </c>
      <c r="J5" s="3406"/>
      <c r="K5" s="537"/>
      <c r="L5" s="2484"/>
      <c r="M5" s="2485"/>
      <c r="N5" s="2485"/>
      <c r="O5" s="2485"/>
      <c r="P5" s="3447"/>
      <c r="Q5" s="3419"/>
      <c r="R5" s="3401"/>
      <c r="S5" s="3402"/>
      <c r="T5" s="3401"/>
      <c r="U5" s="3402"/>
      <c r="V5" s="3424"/>
      <c r="W5" s="3424"/>
      <c r="X5" s="1265"/>
      <c r="Y5" s="3401"/>
      <c r="Z5" s="3402"/>
      <c r="AA5" s="3395"/>
      <c r="AB5" s="3395"/>
      <c r="AC5" s="3443"/>
    </row>
    <row r="6" spans="1:29" ht="15.75" thickBot="1">
      <c r="A6" s="350"/>
      <c r="B6" s="351"/>
      <c r="C6" s="3407" t="s">
        <v>1677</v>
      </c>
      <c r="D6" s="3408"/>
      <c r="E6" s="3409" t="s">
        <v>1677</v>
      </c>
      <c r="F6" s="3410"/>
      <c r="G6" s="3407" t="s">
        <v>1677</v>
      </c>
      <c r="H6" s="3408"/>
      <c r="I6" s="3407" t="s">
        <v>1677</v>
      </c>
      <c r="J6" s="3408"/>
      <c r="K6" s="537" t="s">
        <v>1678</v>
      </c>
      <c r="L6" s="2484"/>
      <c r="M6" s="2485"/>
      <c r="N6" s="2485"/>
      <c r="O6" s="2485"/>
      <c r="P6" s="3448"/>
      <c r="Q6" s="3421"/>
      <c r="R6" s="3401"/>
      <c r="S6" s="3402"/>
      <c r="T6" s="3422"/>
      <c r="U6" s="3423"/>
      <c r="V6" s="3424"/>
      <c r="W6" s="3424"/>
      <c r="X6" s="1265"/>
      <c r="Y6" s="3422"/>
      <c r="Z6" s="3423"/>
      <c r="AA6" s="3396"/>
      <c r="AB6" s="3396"/>
      <c r="AC6" s="3444"/>
    </row>
    <row r="7" spans="1:29" s="102" customFormat="1" ht="15.75" thickBot="1">
      <c r="A7" s="352" t="s">
        <v>1679</v>
      </c>
      <c r="B7" s="353"/>
      <c r="C7" s="354">
        <f>'数据-取费表'!B2</f>
        <v>45749</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0"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0" t="s">
        <v>1683</v>
      </c>
      <c r="Q8" s="3398"/>
      <c r="R8" s="664" t="s">
        <v>14</v>
      </c>
      <c r="S8" s="665">
        <f t="shared" si="0"/>
        <v>100</v>
      </c>
      <c r="T8" s="664" t="s">
        <v>14</v>
      </c>
      <c r="U8" s="665">
        <f t="shared" si="1"/>
        <v>100</v>
      </c>
      <c r="V8" s="664" t="s">
        <v>14</v>
      </c>
      <c r="W8" s="665">
        <f t="shared" si="2"/>
        <v>100</v>
      </c>
      <c r="X8" s="666"/>
      <c r="Y8" s="3397" t="s">
        <v>1683</v>
      </c>
      <c r="Z8" s="339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7" t="s">
        <v>1691</v>
      </c>
      <c r="Q15" s="1263" t="str">
        <f t="shared" si="6"/>
        <v>办公集聚程度</v>
      </c>
      <c r="R15" s="667" t="s">
        <v>14</v>
      </c>
      <c r="S15" s="668">
        <f t="shared" si="0"/>
        <v>100</v>
      </c>
      <c r="T15" s="667" t="s">
        <v>14</v>
      </c>
      <c r="U15" s="668">
        <f t="shared" si="1"/>
        <v>100</v>
      </c>
      <c r="V15" s="667" t="s">
        <v>14</v>
      </c>
      <c r="W15" s="668">
        <f t="shared" si="2"/>
        <v>100</v>
      </c>
      <c r="X15" s="1265"/>
      <c r="Y15" s="3430"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38"/>
      <c r="Q16" s="1263"/>
      <c r="R16" s="667"/>
      <c r="S16" s="668"/>
      <c r="T16" s="667"/>
      <c r="U16" s="668"/>
      <c r="V16" s="667"/>
      <c r="W16" s="668"/>
      <c r="X16" s="1265"/>
      <c r="Y16" s="3431"/>
      <c r="Z16" s="1264"/>
      <c r="AA16" s="1264">
        <v>1</v>
      </c>
      <c r="AB16" s="1264">
        <v>1</v>
      </c>
      <c r="AC16" s="1809">
        <v>1</v>
      </c>
    </row>
    <row r="17" spans="1:29" ht="71.2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38"/>
      <c r="Q18" s="1263"/>
      <c r="R18" s="667"/>
      <c r="S18" s="668"/>
      <c r="T18" s="667"/>
      <c r="U18" s="668"/>
      <c r="V18" s="667"/>
      <c r="W18" s="668"/>
      <c r="X18" s="1265"/>
      <c r="Y18" s="3431"/>
      <c r="Z18" s="1264"/>
      <c r="AA18" s="1264">
        <v>1</v>
      </c>
      <c r="AB18" s="1264">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38"/>
      <c r="Q20" s="1263"/>
      <c r="R20" s="667"/>
      <c r="S20" s="668"/>
      <c r="T20" s="667"/>
      <c r="U20" s="668"/>
      <c r="V20" s="667"/>
      <c r="W20" s="668"/>
      <c r="X20" s="1265"/>
      <c r="Y20" s="3431"/>
      <c r="Z20" s="1264"/>
      <c r="AA20" s="1264">
        <v>1</v>
      </c>
      <c r="AB20" s="1264">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38"/>
      <c r="Q22" s="1263"/>
      <c r="R22" s="667"/>
      <c r="S22" s="668"/>
      <c r="T22" s="667"/>
      <c r="U22" s="668"/>
      <c r="V22" s="667"/>
      <c r="W22" s="668"/>
      <c r="X22" s="1265"/>
      <c r="Y22" s="3431"/>
      <c r="Z22" s="1264"/>
      <c r="AA22" s="1264">
        <v>1</v>
      </c>
      <c r="AB22" s="1264">
        <v>1</v>
      </c>
      <c r="AC22" s="1809">
        <v>1</v>
      </c>
    </row>
    <row r="23" spans="1:29" ht="42.75">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8"/>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38"/>
      <c r="Q24" s="1263"/>
      <c r="R24" s="667"/>
      <c r="S24" s="668"/>
      <c r="T24" s="667"/>
      <c r="U24" s="668"/>
      <c r="V24" s="667"/>
      <c r="W24" s="668"/>
      <c r="X24" s="1265"/>
      <c r="Y24" s="3431"/>
      <c r="Z24" s="1264"/>
      <c r="AA24" s="1264">
        <v>1</v>
      </c>
      <c r="AB24" s="1264">
        <v>1</v>
      </c>
      <c r="AC24" s="1809">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8"/>
      <c r="Q25" s="1263" t="str">
        <f>B25</f>
        <v>毗邻道路的类型与等级</v>
      </c>
      <c r="R25" s="667" t="s">
        <v>14</v>
      </c>
      <c r="S25" s="668">
        <f>F25</f>
        <v>100</v>
      </c>
      <c r="T25" s="667" t="s">
        <v>14</v>
      </c>
      <c r="U25" s="668">
        <f>H25</f>
        <v>100</v>
      </c>
      <c r="V25" s="667" t="s">
        <v>14</v>
      </c>
      <c r="W25" s="668">
        <f>J25</f>
        <v>100</v>
      </c>
      <c r="X25" s="1265"/>
      <c r="Y25" s="3431"/>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38"/>
      <c r="Q26" s="1263"/>
      <c r="R26" s="667"/>
      <c r="S26" s="668"/>
      <c r="T26" s="667"/>
      <c r="U26" s="668"/>
      <c r="V26" s="667"/>
      <c r="W26" s="668"/>
      <c r="X26" s="1265"/>
      <c r="Y26" s="3431"/>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8"/>
      <c r="Q27" s="1263" t="str">
        <f t="shared" ref="Q27:Q47" si="11">B27</f>
        <v>楼层</v>
      </c>
      <c r="R27" s="667" t="s">
        <v>14</v>
      </c>
      <c r="S27" s="668">
        <f>F27</f>
        <v>100</v>
      </c>
      <c r="T27" s="667" t="s">
        <v>14</v>
      </c>
      <c r="U27" s="668">
        <f>H27</f>
        <v>100</v>
      </c>
      <c r="V27" s="667" t="s">
        <v>14</v>
      </c>
      <c r="W27" s="668">
        <f>J27</f>
        <v>100</v>
      </c>
      <c r="X27" s="1265"/>
      <c r="Y27" s="3431"/>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38"/>
      <c r="Q28" s="530" t="str">
        <f t="shared" si="11"/>
        <v>朝向</v>
      </c>
      <c r="R28" s="664" t="s">
        <v>14</v>
      </c>
      <c r="S28" s="665">
        <f>F28</f>
        <v>100</v>
      </c>
      <c r="T28" s="664" t="s">
        <v>14</v>
      </c>
      <c r="U28" s="665">
        <f>H28</f>
        <v>100</v>
      </c>
      <c r="V28" s="664" t="s">
        <v>14</v>
      </c>
      <c r="W28" s="665">
        <f>J28</f>
        <v>100</v>
      </c>
      <c r="X28" s="666"/>
      <c r="Y28" s="3431"/>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38"/>
      <c r="Q29" s="1263">
        <f t="shared" si="11"/>
        <v>111</v>
      </c>
      <c r="R29" s="667" t="s">
        <v>14</v>
      </c>
      <c r="S29" s="668">
        <f t="shared" ref="S29:S47" si="12">F29</f>
        <v>100</v>
      </c>
      <c r="T29" s="667" t="s">
        <v>14</v>
      </c>
      <c r="U29" s="668">
        <f t="shared" ref="U29:U47" si="13">H29</f>
        <v>100</v>
      </c>
      <c r="V29" s="667" t="s">
        <v>14</v>
      </c>
      <c r="W29" s="668">
        <f t="shared" ref="W29:W47" si="14">J29</f>
        <v>100</v>
      </c>
      <c r="X29" s="1265"/>
      <c r="Y29" s="3431"/>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38"/>
      <c r="Q32" s="1263">
        <f t="shared" si="11"/>
        <v>111</v>
      </c>
      <c r="R32" s="667" t="s">
        <v>14</v>
      </c>
      <c r="S32" s="668">
        <f t="shared" si="12"/>
        <v>100</v>
      </c>
      <c r="T32" s="667" t="s">
        <v>14</v>
      </c>
      <c r="U32" s="668">
        <f t="shared" si="13"/>
        <v>100</v>
      </c>
      <c r="V32" s="667" t="s">
        <v>14</v>
      </c>
      <c r="W32" s="668">
        <f t="shared" si="14"/>
        <v>100</v>
      </c>
      <c r="X32" s="1265"/>
      <c r="Y32" s="3431"/>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2" t="s">
        <v>1696</v>
      </c>
      <c r="Q33" s="1263" t="str">
        <f t="shared" si="11"/>
        <v>建筑类型</v>
      </c>
      <c r="R33" s="667" t="s">
        <v>14</v>
      </c>
      <c r="S33" s="668">
        <f t="shared" si="12"/>
        <v>100</v>
      </c>
      <c r="T33" s="667" t="s">
        <v>14</v>
      </c>
      <c r="U33" s="668">
        <f t="shared" si="13"/>
        <v>100</v>
      </c>
      <c r="V33" s="667" t="s">
        <v>14</v>
      </c>
      <c r="W33" s="668">
        <f t="shared" si="14"/>
        <v>100</v>
      </c>
      <c r="X33" s="1265"/>
      <c r="Y33" s="3435"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3"/>
      <c r="Q34" s="531" t="str">
        <f t="shared" si="11"/>
        <v>项目建筑规模</v>
      </c>
      <c r="R34" s="669" t="s">
        <v>14</v>
      </c>
      <c r="S34" s="670" t="e">
        <f t="shared" si="12"/>
        <v>#N/A</v>
      </c>
      <c r="T34" s="669" t="s">
        <v>14</v>
      </c>
      <c r="U34" s="670" t="e">
        <f t="shared" si="13"/>
        <v>#N/A</v>
      </c>
      <c r="V34" s="669" t="s">
        <v>14</v>
      </c>
      <c r="W34" s="670" t="e">
        <f t="shared" si="14"/>
        <v>#N/A</v>
      </c>
      <c r="X34" s="671"/>
      <c r="Y34" s="3435"/>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3"/>
      <c r="Q35" s="1263" t="str">
        <f t="shared" si="11"/>
        <v>建筑结构</v>
      </c>
      <c r="R35" s="667" t="s">
        <v>14</v>
      </c>
      <c r="S35" s="668">
        <f t="shared" si="12"/>
        <v>100</v>
      </c>
      <c r="T35" s="667" t="s">
        <v>14</v>
      </c>
      <c r="U35" s="668">
        <f t="shared" si="13"/>
        <v>100</v>
      </c>
      <c r="V35" s="667" t="s">
        <v>14</v>
      </c>
      <c r="W35" s="668">
        <f t="shared" si="14"/>
        <v>100</v>
      </c>
      <c r="X35" s="1265"/>
      <c r="Y35" s="3435"/>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3"/>
      <c r="Q36" s="1263" t="str">
        <f t="shared" si="11"/>
        <v>公共部分装修</v>
      </c>
      <c r="R36" s="667" t="s">
        <v>14</v>
      </c>
      <c r="S36" s="668">
        <f t="shared" si="12"/>
        <v>100</v>
      </c>
      <c r="T36" s="667" t="s">
        <v>14</v>
      </c>
      <c r="U36" s="668">
        <f t="shared" si="13"/>
        <v>100</v>
      </c>
      <c r="V36" s="667" t="s">
        <v>14</v>
      </c>
      <c r="W36" s="668">
        <f t="shared" si="14"/>
        <v>100</v>
      </c>
      <c r="X36" s="1265"/>
      <c r="Y36" s="3435"/>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3"/>
      <c r="Q37" s="1263" t="str">
        <f t="shared" si="11"/>
        <v>成新度</v>
      </c>
      <c r="R37" s="667" t="s">
        <v>14</v>
      </c>
      <c r="S37" s="668" t="e">
        <f t="shared" si="12"/>
        <v>#N/A</v>
      </c>
      <c r="T37" s="667" t="s">
        <v>14</v>
      </c>
      <c r="U37" s="668" t="e">
        <f t="shared" si="13"/>
        <v>#N/A</v>
      </c>
      <c r="V37" s="667" t="s">
        <v>14</v>
      </c>
      <c r="W37" s="668" t="e">
        <f t="shared" si="14"/>
        <v>#N/A</v>
      </c>
      <c r="X37" s="1265"/>
      <c r="Y37" s="3435"/>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3"/>
      <c r="Q38" s="530" t="str">
        <f t="shared" si="11"/>
        <v>写字楼等级</v>
      </c>
      <c r="R38" s="664" t="s">
        <v>14</v>
      </c>
      <c r="S38" s="665">
        <f t="shared" si="12"/>
        <v>100</v>
      </c>
      <c r="T38" s="664" t="s">
        <v>14</v>
      </c>
      <c r="U38" s="665">
        <f t="shared" si="13"/>
        <v>100</v>
      </c>
      <c r="V38" s="664" t="s">
        <v>14</v>
      </c>
      <c r="W38" s="665">
        <f t="shared" si="14"/>
        <v>100</v>
      </c>
      <c r="X38" s="666"/>
      <c r="Y38" s="343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3" t="s">
        <v>1696</v>
      </c>
      <c r="Q39" s="1263" t="str">
        <f t="shared" si="11"/>
        <v>物业管理</v>
      </c>
      <c r="R39" s="667" t="s">
        <v>14</v>
      </c>
      <c r="S39" s="668">
        <f t="shared" si="12"/>
        <v>100</v>
      </c>
      <c r="T39" s="667" t="s">
        <v>14</v>
      </c>
      <c r="U39" s="668">
        <f t="shared" si="13"/>
        <v>100</v>
      </c>
      <c r="V39" s="667" t="s">
        <v>14</v>
      </c>
      <c r="W39" s="668">
        <f t="shared" si="14"/>
        <v>100</v>
      </c>
      <c r="X39" s="1265"/>
      <c r="Y39" s="3435"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3"/>
      <c r="Q40" s="1263" t="str">
        <f t="shared" si="11"/>
        <v>市政基础设施</v>
      </c>
      <c r="R40" s="667" t="s">
        <v>14</v>
      </c>
      <c r="S40" s="668">
        <f t="shared" si="12"/>
        <v>100</v>
      </c>
      <c r="T40" s="667" t="s">
        <v>14</v>
      </c>
      <c r="U40" s="668">
        <f t="shared" si="13"/>
        <v>100</v>
      </c>
      <c r="V40" s="667" t="s">
        <v>14</v>
      </c>
      <c r="W40" s="668">
        <f t="shared" si="14"/>
        <v>100</v>
      </c>
      <c r="X40" s="1265"/>
      <c r="Y40" s="3435"/>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3"/>
      <c r="Q41" s="1263" t="str">
        <f t="shared" si="11"/>
        <v>层高</v>
      </c>
      <c r="R41" s="667" t="s">
        <v>14</v>
      </c>
      <c r="S41" s="668">
        <f t="shared" si="12"/>
        <v>100</v>
      </c>
      <c r="T41" s="667" t="s">
        <v>14</v>
      </c>
      <c r="U41" s="668">
        <f t="shared" si="13"/>
        <v>100</v>
      </c>
      <c r="V41" s="667" t="s">
        <v>14</v>
      </c>
      <c r="W41" s="668">
        <f t="shared" si="14"/>
        <v>100</v>
      </c>
      <c r="X41" s="1265"/>
      <c r="Y41" s="3435"/>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3"/>
      <c r="Q42" s="531" t="str">
        <f t="shared" si="11"/>
        <v>单套建筑面积</v>
      </c>
      <c r="R42" s="669" t="s">
        <v>14</v>
      </c>
      <c r="S42" s="670">
        <f t="shared" si="12"/>
        <v>100</v>
      </c>
      <c r="T42" s="669" t="s">
        <v>14</v>
      </c>
      <c r="U42" s="670">
        <f t="shared" si="13"/>
        <v>100</v>
      </c>
      <c r="V42" s="669" t="s">
        <v>14</v>
      </c>
      <c r="W42" s="670">
        <f t="shared" si="14"/>
        <v>100</v>
      </c>
      <c r="X42" s="671"/>
      <c r="Y42" s="3435"/>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3"/>
      <c r="Q43" s="1263" t="str">
        <f t="shared" si="11"/>
        <v>内部装修</v>
      </c>
      <c r="R43" s="667" t="s">
        <v>14</v>
      </c>
      <c r="S43" s="668">
        <f t="shared" si="12"/>
        <v>100</v>
      </c>
      <c r="T43" s="667" t="s">
        <v>14</v>
      </c>
      <c r="U43" s="668">
        <f t="shared" si="13"/>
        <v>100</v>
      </c>
      <c r="V43" s="667" t="s">
        <v>14</v>
      </c>
      <c r="W43" s="668">
        <f t="shared" si="14"/>
        <v>100</v>
      </c>
      <c r="X43" s="1265"/>
      <c r="Y43" s="3435"/>
      <c r="Z43" s="1264" t="str">
        <f t="shared" si="15"/>
        <v>内部装修</v>
      </c>
      <c r="AA43" s="1264">
        <f t="shared" si="3"/>
        <v>1</v>
      </c>
      <c r="AB43" s="1264">
        <f t="shared" si="4"/>
        <v>1</v>
      </c>
      <c r="AC43" s="1809">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3"/>
      <c r="Q44" s="1263" t="str">
        <f t="shared" si="11"/>
        <v>内部装修维护情况</v>
      </c>
      <c r="R44" s="667" t="s">
        <v>14</v>
      </c>
      <c r="S44" s="668">
        <f t="shared" si="12"/>
        <v>100</v>
      </c>
      <c r="T44" s="667" t="s">
        <v>14</v>
      </c>
      <c r="U44" s="668">
        <f t="shared" si="13"/>
        <v>100</v>
      </c>
      <c r="V44" s="667" t="s">
        <v>14</v>
      </c>
      <c r="W44" s="668">
        <f t="shared" si="14"/>
        <v>100</v>
      </c>
      <c r="X44" s="1265"/>
      <c r="Y44" s="3435"/>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3"/>
      <c r="Q45" s="530">
        <f t="shared" si="11"/>
        <v>111</v>
      </c>
      <c r="R45" s="664" t="s">
        <v>14</v>
      </c>
      <c r="S45" s="665">
        <f t="shared" si="12"/>
        <v>100</v>
      </c>
      <c r="T45" s="664" t="s">
        <v>14</v>
      </c>
      <c r="U45" s="665">
        <f t="shared" si="13"/>
        <v>100</v>
      </c>
      <c r="V45" s="664" t="s">
        <v>14</v>
      </c>
      <c r="W45" s="665">
        <f t="shared" si="14"/>
        <v>100</v>
      </c>
      <c r="X45" s="666"/>
      <c r="Y45" s="343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4"/>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09">
        <f t="shared" si="5"/>
        <v>1</v>
      </c>
    </row>
    <row r="48" spans="1:29" ht="15">
      <c r="A48" s="416" t="s">
        <v>1708</v>
      </c>
      <c r="B48" s="417"/>
      <c r="C48" s="1081" t="s">
        <v>0</v>
      </c>
      <c r="D48" s="418"/>
      <c r="E48" s="419"/>
      <c r="F48" s="420"/>
      <c r="G48" s="421"/>
      <c r="H48" s="422"/>
      <c r="I48" s="419"/>
      <c r="J48" s="422"/>
      <c r="K48" s="674"/>
      <c r="L48" s="2492"/>
      <c r="M48" s="2485"/>
      <c r="N48" s="2485"/>
      <c r="O48" s="2485"/>
      <c r="P48" s="3411" t="str">
        <f>A48</f>
        <v>成交单价（元/平方米）</v>
      </c>
      <c r="Q48" s="3429"/>
      <c r="R48" s="3424">
        <f>E48</f>
        <v>0</v>
      </c>
      <c r="S48" s="3424"/>
      <c r="T48" s="3424">
        <f>G48</f>
        <v>0</v>
      </c>
      <c r="U48" s="3424"/>
      <c r="V48" s="3424">
        <f>I48</f>
        <v>0</v>
      </c>
      <c r="W48" s="3424"/>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1" t="str">
        <f>A49</f>
        <v>比较价值（元/平方米）</v>
      </c>
      <c r="Q49" s="3429"/>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89.91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860"/>
      <c r="M4" s="861"/>
      <c r="N4" s="861"/>
      <c r="O4" s="861"/>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ht="15">
      <c r="A5" s="348"/>
      <c r="B5" s="349"/>
      <c r="C5" s="3405" t="s">
        <v>1673</v>
      </c>
      <c r="D5" s="3406"/>
      <c r="E5" s="3403" t="s">
        <v>1674</v>
      </c>
      <c r="F5" s="3404"/>
      <c r="G5" s="3405" t="s">
        <v>1675</v>
      </c>
      <c r="H5" s="3406"/>
      <c r="I5" s="3405" t="s">
        <v>1676</v>
      </c>
      <c r="J5" s="3406"/>
      <c r="K5" s="537"/>
      <c r="L5" s="860"/>
      <c r="M5" s="861"/>
      <c r="N5" s="861"/>
      <c r="O5" s="861"/>
      <c r="P5" s="3418"/>
      <c r="Q5" s="3419"/>
      <c r="R5" s="3401"/>
      <c r="S5" s="3402"/>
      <c r="T5" s="3401"/>
      <c r="U5" s="3402"/>
      <c r="V5" s="3424"/>
      <c r="W5" s="3424"/>
      <c r="X5" s="1265"/>
      <c r="Y5" s="3401"/>
      <c r="Z5" s="3402"/>
      <c r="AA5" s="3395"/>
      <c r="AB5" s="3395"/>
      <c r="AC5" s="3395"/>
    </row>
    <row r="6" spans="1:29" ht="15.75" thickBot="1">
      <c r="A6" s="350"/>
      <c r="B6" s="351"/>
      <c r="C6" s="3407" t="s">
        <v>1677</v>
      </c>
      <c r="D6" s="3408"/>
      <c r="E6" s="3409" t="s">
        <v>1677</v>
      </c>
      <c r="F6" s="3410"/>
      <c r="G6" s="3407" t="s">
        <v>1677</v>
      </c>
      <c r="H6" s="3408"/>
      <c r="I6" s="3407" t="s">
        <v>1677</v>
      </c>
      <c r="J6" s="3408"/>
      <c r="K6" s="537" t="s">
        <v>1678</v>
      </c>
      <c r="L6" s="860"/>
      <c r="M6" s="861"/>
      <c r="N6" s="861"/>
      <c r="O6" s="861"/>
      <c r="P6" s="3420"/>
      <c r="Q6" s="3421"/>
      <c r="R6" s="3401"/>
      <c r="S6" s="3402"/>
      <c r="T6" s="3422"/>
      <c r="U6" s="3423"/>
      <c r="V6" s="3424"/>
      <c r="W6" s="3424"/>
      <c r="X6" s="1265"/>
      <c r="Y6" s="3422"/>
      <c r="Z6" s="3423"/>
      <c r="AA6" s="3396"/>
      <c r="AB6" s="3396"/>
      <c r="AC6" s="3396"/>
    </row>
    <row r="7" spans="1:29" s="102" customFormat="1" ht="15.75" thickBot="1">
      <c r="A7" s="352" t="s">
        <v>1679</v>
      </c>
      <c r="B7" s="353"/>
      <c r="C7" s="354">
        <f>'数据-取费表'!B2</f>
        <v>45749</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9"/>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1"/>
      <c r="Q16" s="1263"/>
      <c r="R16" s="667"/>
      <c r="S16" s="668"/>
      <c r="T16" s="667"/>
      <c r="U16" s="668"/>
      <c r="V16" s="667"/>
      <c r="W16" s="668"/>
      <c r="X16" s="1265"/>
      <c r="Y16" s="3431"/>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1"/>
      <c r="Q18" s="1263"/>
      <c r="R18" s="667"/>
      <c r="S18" s="668"/>
      <c r="T18" s="667"/>
      <c r="U18" s="668"/>
      <c r="V18" s="667"/>
      <c r="W18" s="668"/>
      <c r="X18" s="1265"/>
      <c r="Y18" s="3431"/>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1"/>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1"/>
      <c r="Q20" s="1263"/>
      <c r="R20" s="667"/>
      <c r="S20" s="668"/>
      <c r="T20" s="667"/>
      <c r="U20" s="668"/>
      <c r="V20" s="667"/>
      <c r="W20" s="668"/>
      <c r="X20" s="1265"/>
      <c r="Y20" s="3431"/>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1"/>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1"/>
      <c r="Q22" s="1263"/>
      <c r="R22" s="667"/>
      <c r="S22" s="668"/>
      <c r="T22" s="667"/>
      <c r="U22" s="668"/>
      <c r="V22" s="667"/>
      <c r="W22" s="668"/>
      <c r="X22" s="1265"/>
      <c r="Y22" s="3431"/>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1"/>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1"/>
      <c r="Q24" s="1263"/>
      <c r="R24" s="667"/>
      <c r="S24" s="668"/>
      <c r="T24" s="667"/>
      <c r="U24" s="668"/>
      <c r="V24" s="667"/>
      <c r="W24" s="668"/>
      <c r="X24" s="1265"/>
      <c r="Y24" s="34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1"/>
      <c r="Q25" s="1263">
        <f>B25</f>
        <v>111</v>
      </c>
      <c r="R25" s="667" t="s">
        <v>14</v>
      </c>
      <c r="S25" s="668">
        <f>F25</f>
        <v>100</v>
      </c>
      <c r="T25" s="667" t="s">
        <v>14</v>
      </c>
      <c r="U25" s="668">
        <f>H25</f>
        <v>100</v>
      </c>
      <c r="V25" s="667" t="s">
        <v>14</v>
      </c>
      <c r="W25" s="668">
        <f>J25</f>
        <v>100</v>
      </c>
      <c r="X25" s="1265"/>
      <c r="Y25" s="34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1"/>
      <c r="Q26" s="1263">
        <f t="shared" ref="Q26:Q40" si="11">B26</f>
        <v>111</v>
      </c>
      <c r="R26" s="667" t="s">
        <v>14</v>
      </c>
      <c r="S26" s="668">
        <f>F26</f>
        <v>100</v>
      </c>
      <c r="T26" s="667" t="s">
        <v>14</v>
      </c>
      <c r="U26" s="668">
        <f>H26</f>
        <v>100</v>
      </c>
      <c r="V26" s="667" t="s">
        <v>14</v>
      </c>
      <c r="W26" s="668">
        <f>J26</f>
        <v>100</v>
      </c>
      <c r="X26" s="1265"/>
      <c r="Y26" s="34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1"/>
      <c r="Q27" s="530">
        <f t="shared" si="11"/>
        <v>111</v>
      </c>
      <c r="R27" s="664" t="s">
        <v>14</v>
      </c>
      <c r="S27" s="665">
        <f>F27</f>
        <v>100</v>
      </c>
      <c r="T27" s="664" t="s">
        <v>14</v>
      </c>
      <c r="U27" s="665">
        <f>H27</f>
        <v>100</v>
      </c>
      <c r="V27" s="664" t="s">
        <v>14</v>
      </c>
      <c r="W27" s="665">
        <f>J27</f>
        <v>100</v>
      </c>
      <c r="X27" s="666"/>
      <c r="Y27" s="343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1"/>
      <c r="Q28" s="1263">
        <f t="shared" si="11"/>
        <v>111</v>
      </c>
      <c r="R28" s="667" t="s">
        <v>14</v>
      </c>
      <c r="S28" s="668">
        <f t="shared" ref="S28:S40" si="12">F28</f>
        <v>100</v>
      </c>
      <c r="T28" s="667" t="s">
        <v>14</v>
      </c>
      <c r="U28" s="668">
        <f t="shared" ref="U28:U40" si="13">H28</f>
        <v>100</v>
      </c>
      <c r="V28" s="667" t="s">
        <v>14</v>
      </c>
      <c r="W28" s="668">
        <f t="shared" ref="W28:W40" si="14">J28</f>
        <v>100</v>
      </c>
      <c r="X28" s="1265"/>
      <c r="Y28" s="3431"/>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4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5"/>
      <c r="Q30" s="531" t="str">
        <f t="shared" si="11"/>
        <v>项目建筑规模</v>
      </c>
      <c r="R30" s="669" t="s">
        <v>14</v>
      </c>
      <c r="S30" s="670" t="e">
        <f t="shared" si="12"/>
        <v>#N/A</v>
      </c>
      <c r="T30" s="669" t="s">
        <v>14</v>
      </c>
      <c r="U30" s="670" t="e">
        <f t="shared" si="13"/>
        <v>#N/A</v>
      </c>
      <c r="V30" s="669" t="s">
        <v>14</v>
      </c>
      <c r="W30" s="670" t="e">
        <f t="shared" si="14"/>
        <v>#N/A</v>
      </c>
      <c r="X30" s="671"/>
      <c r="Y30" s="34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5"/>
      <c r="Q31" s="1263" t="str">
        <f t="shared" si="11"/>
        <v>建筑结构</v>
      </c>
      <c r="R31" s="667" t="s">
        <v>14</v>
      </c>
      <c r="S31" s="668">
        <f t="shared" si="12"/>
        <v>100</v>
      </c>
      <c r="T31" s="667" t="s">
        <v>14</v>
      </c>
      <c r="U31" s="668">
        <f t="shared" si="13"/>
        <v>100</v>
      </c>
      <c r="V31" s="667" t="s">
        <v>14</v>
      </c>
      <c r="W31" s="668">
        <f t="shared" si="14"/>
        <v>100</v>
      </c>
      <c r="X31" s="1265"/>
      <c r="Y31" s="34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5"/>
      <c r="Q32" s="1263" t="str">
        <f t="shared" si="11"/>
        <v>公共部分装修</v>
      </c>
      <c r="R32" s="667" t="s">
        <v>14</v>
      </c>
      <c r="S32" s="668">
        <f t="shared" si="12"/>
        <v>100</v>
      </c>
      <c r="T32" s="667" t="s">
        <v>14</v>
      </c>
      <c r="U32" s="668">
        <f t="shared" si="13"/>
        <v>100</v>
      </c>
      <c r="V32" s="667" t="s">
        <v>14</v>
      </c>
      <c r="W32" s="668">
        <f t="shared" si="14"/>
        <v>100</v>
      </c>
      <c r="X32" s="1265"/>
      <c r="Y32" s="34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5"/>
      <c r="Q33" s="1263" t="str">
        <f t="shared" si="11"/>
        <v>成新度</v>
      </c>
      <c r="R33" s="667" t="s">
        <v>14</v>
      </c>
      <c r="S33" s="668" t="e">
        <f t="shared" si="12"/>
        <v>#N/A</v>
      </c>
      <c r="T33" s="667" t="s">
        <v>14</v>
      </c>
      <c r="U33" s="668" t="e">
        <f t="shared" si="13"/>
        <v>#N/A</v>
      </c>
      <c r="V33" s="667" t="s">
        <v>14</v>
      </c>
      <c r="W33" s="668" t="e">
        <f t="shared" si="14"/>
        <v>#N/A</v>
      </c>
      <c r="X33" s="1265"/>
      <c r="Y33" s="34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5"/>
      <c r="Q34" s="530" t="str">
        <f t="shared" si="11"/>
        <v>物业管理</v>
      </c>
      <c r="R34" s="664" t="s">
        <v>14</v>
      </c>
      <c r="S34" s="665">
        <f t="shared" si="12"/>
        <v>100</v>
      </c>
      <c r="T34" s="664" t="s">
        <v>14</v>
      </c>
      <c r="U34" s="665">
        <f t="shared" si="13"/>
        <v>100</v>
      </c>
      <c r="V34" s="664" t="s">
        <v>14</v>
      </c>
      <c r="W34" s="665">
        <f t="shared" si="14"/>
        <v>100</v>
      </c>
      <c r="X34" s="666"/>
      <c r="Y34" s="34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5" t="s">
        <v>1696</v>
      </c>
      <c r="Q35" s="1263" t="str">
        <f t="shared" si="11"/>
        <v>市政基础设施</v>
      </c>
      <c r="R35" s="667" t="s">
        <v>14</v>
      </c>
      <c r="S35" s="668">
        <f t="shared" si="12"/>
        <v>100</v>
      </c>
      <c r="T35" s="667" t="s">
        <v>14</v>
      </c>
      <c r="U35" s="668">
        <f t="shared" si="13"/>
        <v>100</v>
      </c>
      <c r="V35" s="667" t="s">
        <v>14</v>
      </c>
      <c r="W35" s="668">
        <f t="shared" si="14"/>
        <v>100</v>
      </c>
      <c r="X35" s="1265"/>
      <c r="Y35" s="34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5"/>
      <c r="Q36" s="1263" t="str">
        <f t="shared" si="11"/>
        <v>内部装修</v>
      </c>
      <c r="R36" s="667" t="s">
        <v>14</v>
      </c>
      <c r="S36" s="668">
        <f t="shared" si="12"/>
        <v>100</v>
      </c>
      <c r="T36" s="667" t="s">
        <v>14</v>
      </c>
      <c r="U36" s="668">
        <f t="shared" si="13"/>
        <v>100</v>
      </c>
      <c r="V36" s="667" t="s">
        <v>14</v>
      </c>
      <c r="W36" s="668">
        <f t="shared" si="14"/>
        <v>100</v>
      </c>
      <c r="X36" s="1265"/>
      <c r="Y36" s="34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5"/>
      <c r="Q37" s="1263" t="str">
        <f t="shared" si="11"/>
        <v>内部装修状况</v>
      </c>
      <c r="R37" s="667" t="s">
        <v>14</v>
      </c>
      <c r="S37" s="668">
        <f t="shared" si="12"/>
        <v>100</v>
      </c>
      <c r="T37" s="667" t="s">
        <v>14</v>
      </c>
      <c r="U37" s="668">
        <f t="shared" si="13"/>
        <v>100</v>
      </c>
      <c r="V37" s="667" t="s">
        <v>14</v>
      </c>
      <c r="W37" s="668">
        <f t="shared" si="14"/>
        <v>100</v>
      </c>
      <c r="X37" s="1265"/>
      <c r="Y37" s="34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5"/>
      <c r="Q38" s="531">
        <f t="shared" si="11"/>
        <v>111</v>
      </c>
      <c r="R38" s="669" t="s">
        <v>14</v>
      </c>
      <c r="S38" s="670">
        <f t="shared" si="12"/>
        <v>100</v>
      </c>
      <c r="T38" s="669" t="s">
        <v>14</v>
      </c>
      <c r="U38" s="670">
        <f t="shared" si="13"/>
        <v>100</v>
      </c>
      <c r="V38" s="669" t="s">
        <v>14</v>
      </c>
      <c r="W38" s="670">
        <f t="shared" si="14"/>
        <v>100</v>
      </c>
      <c r="X38" s="671"/>
      <c r="Y38" s="34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5"/>
      <c r="Q39" s="1263">
        <f t="shared" si="11"/>
        <v>111</v>
      </c>
      <c r="R39" s="667" t="s">
        <v>14</v>
      </c>
      <c r="S39" s="668">
        <f t="shared" si="12"/>
        <v>100</v>
      </c>
      <c r="T39" s="667" t="s">
        <v>14</v>
      </c>
      <c r="U39" s="668">
        <f t="shared" si="13"/>
        <v>100</v>
      </c>
      <c r="V39" s="667" t="s">
        <v>14</v>
      </c>
      <c r="W39" s="668">
        <f t="shared" si="14"/>
        <v>100</v>
      </c>
      <c r="X39" s="1265"/>
      <c r="Y39" s="3435"/>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9" t="str">
        <f>A41</f>
        <v>成交单价（元/平方米）</v>
      </c>
      <c r="Q41" s="3429"/>
      <c r="R41" s="3424">
        <f>E41</f>
        <v>0</v>
      </c>
      <c r="S41" s="3424"/>
      <c r="T41" s="3424">
        <f>G41</f>
        <v>0</v>
      </c>
      <c r="U41" s="3424"/>
      <c r="V41" s="3424">
        <f>I41</f>
        <v>0</v>
      </c>
      <c r="W41" s="3424"/>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ht="15">
      <c r="A5" s="348"/>
      <c r="B5" s="349"/>
      <c r="C5" s="3405" t="s">
        <v>1673</v>
      </c>
      <c r="D5" s="3406"/>
      <c r="E5" s="3403" t="s">
        <v>1674</v>
      </c>
      <c r="F5" s="3404"/>
      <c r="G5" s="3405" t="s">
        <v>1675</v>
      </c>
      <c r="H5" s="3406"/>
      <c r="I5" s="3405" t="s">
        <v>1676</v>
      </c>
      <c r="J5" s="3406"/>
      <c r="K5" s="537"/>
      <c r="L5" s="2484"/>
      <c r="M5" s="2485"/>
      <c r="N5" s="2485"/>
      <c r="O5" s="2485"/>
      <c r="P5" s="3418"/>
      <c r="Q5" s="3419"/>
      <c r="R5" s="3401"/>
      <c r="S5" s="3402"/>
      <c r="T5" s="3401"/>
      <c r="U5" s="3402"/>
      <c r="V5" s="3424"/>
      <c r="W5" s="3424"/>
      <c r="X5" s="1265"/>
      <c r="Y5" s="3401"/>
      <c r="Z5" s="3402"/>
      <c r="AA5" s="3395"/>
      <c r="AB5" s="3395"/>
      <c r="AC5" s="3395"/>
    </row>
    <row r="6" spans="1:29" ht="15.75" thickBot="1">
      <c r="A6" s="350"/>
      <c r="B6" s="351"/>
      <c r="C6" s="3407" t="s">
        <v>1677</v>
      </c>
      <c r="D6" s="3408"/>
      <c r="E6" s="3409" t="s">
        <v>1677</v>
      </c>
      <c r="F6" s="3410"/>
      <c r="G6" s="3407" t="s">
        <v>1677</v>
      </c>
      <c r="H6" s="3408"/>
      <c r="I6" s="3407" t="s">
        <v>1677</v>
      </c>
      <c r="J6" s="3408"/>
      <c r="K6" s="537" t="s">
        <v>1678</v>
      </c>
      <c r="L6" s="2484"/>
      <c r="M6" s="2485"/>
      <c r="N6" s="2485"/>
      <c r="O6" s="2485"/>
      <c r="P6" s="3420"/>
      <c r="Q6" s="3421"/>
      <c r="R6" s="3401"/>
      <c r="S6" s="3402"/>
      <c r="T6" s="3422"/>
      <c r="U6" s="3423"/>
      <c r="V6" s="3424"/>
      <c r="W6" s="3424"/>
      <c r="X6" s="1265"/>
      <c r="Y6" s="3422"/>
      <c r="Z6" s="3423"/>
      <c r="AA6" s="3396"/>
      <c r="AB6" s="3396"/>
      <c r="AC6" s="3396"/>
    </row>
    <row r="7" spans="1:29" s="102" customFormat="1" ht="15.75" thickBot="1">
      <c r="A7" s="352" t="s">
        <v>1679</v>
      </c>
      <c r="B7" s="353"/>
      <c r="C7" s="354">
        <f>'数据-取费表'!B2</f>
        <v>45749</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7" t="s">
        <v>1680</v>
      </c>
      <c r="Q7" s="3425"/>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29"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9"/>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1"/>
      <c r="Q15" s="1263"/>
      <c r="R15" s="667"/>
      <c r="S15" s="668"/>
      <c r="T15" s="667"/>
      <c r="U15" s="668"/>
      <c r="V15" s="667"/>
      <c r="W15" s="668"/>
      <c r="X15" s="1265"/>
      <c r="Y15" s="3431"/>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31"/>
      <c r="Q17" s="1263"/>
      <c r="R17" s="667"/>
      <c r="S17" s="668"/>
      <c r="T17" s="667"/>
      <c r="U17" s="668"/>
      <c r="V17" s="667"/>
      <c r="W17" s="668"/>
      <c r="X17" s="1265"/>
      <c r="Y17" s="3431"/>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31"/>
      <c r="Q19" s="1263"/>
      <c r="R19" s="667"/>
      <c r="S19" s="668"/>
      <c r="T19" s="667"/>
      <c r="U19" s="668"/>
      <c r="V19" s="667"/>
      <c r="W19" s="668"/>
      <c r="X19" s="1265"/>
      <c r="Y19" s="3431"/>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1"/>
      <c r="Q21" s="1263"/>
      <c r="R21" s="667"/>
      <c r="S21" s="668"/>
      <c r="T21" s="667"/>
      <c r="U21" s="668"/>
      <c r="V21" s="667"/>
      <c r="W21" s="668"/>
      <c r="X21" s="1265"/>
      <c r="Y21" s="34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1"/>
      <c r="Q24" s="1263">
        <f t="shared" ref="Q24:Q36"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5"/>
      <c r="Q27" s="531" t="str">
        <f t="shared" si="11"/>
        <v>项目停车位配比</v>
      </c>
      <c r="R27" s="669" t="s">
        <v>14</v>
      </c>
      <c r="S27" s="670">
        <f t="shared" si="12"/>
        <v>100</v>
      </c>
      <c r="T27" s="669" t="s">
        <v>14</v>
      </c>
      <c r="U27" s="670">
        <f t="shared" si="13"/>
        <v>100</v>
      </c>
      <c r="V27" s="669" t="s">
        <v>14</v>
      </c>
      <c r="W27" s="670">
        <f t="shared" si="14"/>
        <v>100</v>
      </c>
      <c r="X27" s="671"/>
      <c r="Y27" s="34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5"/>
      <c r="Q28" s="1263" t="str">
        <f t="shared" si="11"/>
        <v>公共部分装修</v>
      </c>
      <c r="R28" s="667" t="s">
        <v>14</v>
      </c>
      <c r="S28" s="668">
        <f t="shared" si="12"/>
        <v>100</v>
      </c>
      <c r="T28" s="667" t="s">
        <v>14</v>
      </c>
      <c r="U28" s="668">
        <f t="shared" si="13"/>
        <v>100</v>
      </c>
      <c r="V28" s="667" t="s">
        <v>14</v>
      </c>
      <c r="W28" s="668">
        <f t="shared" si="14"/>
        <v>100</v>
      </c>
      <c r="X28" s="1265"/>
      <c r="Y28" s="34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5"/>
      <c r="Q29" s="1263" t="str">
        <f t="shared" si="11"/>
        <v>成新率</v>
      </c>
      <c r="R29" s="667" t="s">
        <v>14</v>
      </c>
      <c r="S29" s="668" t="e">
        <f t="shared" si="12"/>
        <v>#N/A</v>
      </c>
      <c r="T29" s="667" t="s">
        <v>14</v>
      </c>
      <c r="U29" s="668" t="e">
        <f t="shared" si="13"/>
        <v>#N/A</v>
      </c>
      <c r="V29" s="667" t="s">
        <v>14</v>
      </c>
      <c r="W29" s="668" t="e">
        <f t="shared" si="14"/>
        <v>#N/A</v>
      </c>
      <c r="X29" s="1265"/>
      <c r="Y29" s="34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5"/>
      <c r="Q30" s="1263" t="str">
        <f t="shared" si="11"/>
        <v>物业等级</v>
      </c>
      <c r="R30" s="667" t="s">
        <v>14</v>
      </c>
      <c r="S30" s="668">
        <f t="shared" si="12"/>
        <v>100</v>
      </c>
      <c r="T30" s="667" t="s">
        <v>14</v>
      </c>
      <c r="U30" s="668">
        <f t="shared" si="13"/>
        <v>100</v>
      </c>
      <c r="V30" s="667" t="s">
        <v>14</v>
      </c>
      <c r="W30" s="668">
        <f t="shared" si="14"/>
        <v>100</v>
      </c>
      <c r="X30" s="1265"/>
      <c r="Y30" s="34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5"/>
      <c r="Q31" s="530" t="str">
        <f t="shared" si="11"/>
        <v>停车位面积</v>
      </c>
      <c r="R31" s="664" t="s">
        <v>14</v>
      </c>
      <c r="S31" s="665" t="e">
        <f t="shared" si="12"/>
        <v>#N/A</v>
      </c>
      <c r="T31" s="664" t="s">
        <v>14</v>
      </c>
      <c r="U31" s="665" t="e">
        <f t="shared" si="13"/>
        <v>#N/A</v>
      </c>
      <c r="V31" s="664" t="s">
        <v>14</v>
      </c>
      <c r="W31" s="665" t="e">
        <f t="shared" si="14"/>
        <v>#N/A</v>
      </c>
      <c r="X31" s="666"/>
      <c r="Y31" s="34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5" t="s">
        <v>1696</v>
      </c>
      <c r="Q32" s="1263" t="str">
        <f t="shared" si="11"/>
        <v>车位类型</v>
      </c>
      <c r="R32" s="667" t="s">
        <v>14</v>
      </c>
      <c r="S32" s="668">
        <f t="shared" si="12"/>
        <v>100</v>
      </c>
      <c r="T32" s="667" t="s">
        <v>14</v>
      </c>
      <c r="U32" s="668">
        <f t="shared" si="13"/>
        <v>100</v>
      </c>
      <c r="V32" s="667" t="s">
        <v>14</v>
      </c>
      <c r="W32" s="668">
        <f t="shared" si="14"/>
        <v>100</v>
      </c>
      <c r="X32" s="1265"/>
      <c r="Y32" s="34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5"/>
      <c r="Q33" s="1263" t="str">
        <f t="shared" si="11"/>
        <v>是否直接入户</v>
      </c>
      <c r="R33" s="667" t="s">
        <v>14</v>
      </c>
      <c r="S33" s="668">
        <f t="shared" si="12"/>
        <v>100</v>
      </c>
      <c r="T33" s="667" t="s">
        <v>14</v>
      </c>
      <c r="U33" s="668">
        <f t="shared" si="13"/>
        <v>100</v>
      </c>
      <c r="V33" s="667" t="s">
        <v>14</v>
      </c>
      <c r="W33" s="668">
        <f t="shared" si="14"/>
        <v>100</v>
      </c>
      <c r="X33" s="1265"/>
      <c r="Y33" s="34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5"/>
      <c r="Q35" s="531">
        <f t="shared" si="11"/>
        <v>111</v>
      </c>
      <c r="R35" s="669" t="s">
        <v>14</v>
      </c>
      <c r="S35" s="670">
        <f t="shared" si="12"/>
        <v>100</v>
      </c>
      <c r="T35" s="669" t="s">
        <v>14</v>
      </c>
      <c r="U35" s="670">
        <f t="shared" si="13"/>
        <v>100</v>
      </c>
      <c r="V35" s="669" t="s">
        <v>14</v>
      </c>
      <c r="W35" s="670">
        <f t="shared" si="14"/>
        <v>100</v>
      </c>
      <c r="X35" s="671"/>
      <c r="Y35" s="343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5"/>
      <c r="Q36" s="1263">
        <f t="shared" si="11"/>
        <v>111</v>
      </c>
      <c r="R36" s="667" t="s">
        <v>14</v>
      </c>
      <c r="S36" s="668">
        <f t="shared" si="12"/>
        <v>100</v>
      </c>
      <c r="T36" s="667" t="s">
        <v>14</v>
      </c>
      <c r="U36" s="668">
        <f t="shared" si="13"/>
        <v>100</v>
      </c>
      <c r="V36" s="667" t="s">
        <v>14</v>
      </c>
      <c r="W36" s="668">
        <f t="shared" si="14"/>
        <v>100</v>
      </c>
      <c r="X36" s="1265"/>
      <c r="Y36" s="3435"/>
      <c r="Z36" s="1264">
        <f t="shared" si="15"/>
        <v>111</v>
      </c>
      <c r="AA36" s="1264">
        <f t="shared" si="3"/>
        <v>1</v>
      </c>
      <c r="AB36" s="1264">
        <f t="shared" si="4"/>
        <v>1</v>
      </c>
      <c r="AC36" s="1264">
        <f t="shared" si="5"/>
        <v>1</v>
      </c>
    </row>
    <row r="37" spans="1:29" ht="15">
      <c r="A37" s="416" t="s">
        <v>1844</v>
      </c>
      <c r="B37" s="1818" t="s">
        <v>3353</v>
      </c>
      <c r="C37" s="1081" t="s">
        <v>0</v>
      </c>
      <c r="D37" s="418"/>
      <c r="E37" s="419"/>
      <c r="F37" s="420"/>
      <c r="G37" s="421"/>
      <c r="H37" s="422"/>
      <c r="I37" s="419"/>
      <c r="J37" s="422"/>
      <c r="K37" s="545"/>
      <c r="L37" s="2492"/>
      <c r="M37" s="2485"/>
      <c r="N37" s="2485"/>
      <c r="O37" s="2485"/>
      <c r="P37" s="3429" t="str">
        <f>A37</f>
        <v>成交单价</v>
      </c>
      <c r="Q37" s="3429"/>
      <c r="R37" s="3424">
        <f>E37</f>
        <v>0</v>
      </c>
      <c r="S37" s="3424"/>
      <c r="T37" s="3424">
        <f>G37</f>
        <v>0</v>
      </c>
      <c r="U37" s="3424"/>
      <c r="V37" s="3424">
        <f>I37</f>
        <v>0</v>
      </c>
      <c r="W37" s="3424"/>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29" t="str">
        <f>A38</f>
        <v>比较价值（元/平方米）</v>
      </c>
      <c r="Q38" s="3429"/>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26" t="str">
        <f>A39</f>
        <v>估价对象XX用房的比较价值（楼面单价，元/平方米）</v>
      </c>
      <c r="Q39" s="3427"/>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ht="15">
      <c r="A5" s="348"/>
      <c r="B5" s="349"/>
      <c r="C5" s="3405" t="s">
        <v>1673</v>
      </c>
      <c r="D5" s="3406"/>
      <c r="E5" s="3403" t="s">
        <v>1674</v>
      </c>
      <c r="F5" s="3404"/>
      <c r="G5" s="3405" t="s">
        <v>1675</v>
      </c>
      <c r="H5" s="3406"/>
      <c r="I5" s="3405" t="s">
        <v>1676</v>
      </c>
      <c r="J5" s="3406"/>
      <c r="K5" s="537"/>
      <c r="L5" s="2484"/>
      <c r="M5" s="2485"/>
      <c r="N5" s="2485"/>
      <c r="O5" s="2485"/>
      <c r="P5" s="3418"/>
      <c r="Q5" s="3419"/>
      <c r="R5" s="3401"/>
      <c r="S5" s="3402"/>
      <c r="T5" s="3401"/>
      <c r="U5" s="3402"/>
      <c r="V5" s="3424"/>
      <c r="W5" s="3424"/>
      <c r="X5" s="1265"/>
      <c r="Y5" s="3401"/>
      <c r="Z5" s="3402"/>
      <c r="AA5" s="3395"/>
      <c r="AB5" s="3395"/>
      <c r="AC5" s="3395"/>
    </row>
    <row r="6" spans="1:29" ht="15.75" thickBot="1">
      <c r="A6" s="350"/>
      <c r="B6" s="351"/>
      <c r="C6" s="3407" t="s">
        <v>1677</v>
      </c>
      <c r="D6" s="3408"/>
      <c r="E6" s="3409" t="s">
        <v>1677</v>
      </c>
      <c r="F6" s="3410"/>
      <c r="G6" s="3407" t="s">
        <v>1677</v>
      </c>
      <c r="H6" s="3408"/>
      <c r="I6" s="3407" t="s">
        <v>1677</v>
      </c>
      <c r="J6" s="3408"/>
      <c r="K6" s="537" t="s">
        <v>1678</v>
      </c>
      <c r="L6" s="2484"/>
      <c r="M6" s="2485"/>
      <c r="N6" s="2485"/>
      <c r="O6" s="2485"/>
      <c r="P6" s="3420"/>
      <c r="Q6" s="3421"/>
      <c r="R6" s="3401"/>
      <c r="S6" s="3402"/>
      <c r="T6" s="3422"/>
      <c r="U6" s="3423"/>
      <c r="V6" s="3424"/>
      <c r="W6" s="3424"/>
      <c r="X6" s="1265"/>
      <c r="Y6" s="3422"/>
      <c r="Z6" s="3423"/>
      <c r="AA6" s="3396"/>
      <c r="AB6" s="3396"/>
      <c r="AC6" s="3396"/>
    </row>
    <row r="7" spans="1:29" s="102" customFormat="1" ht="15.75" thickBot="1">
      <c r="A7" s="352" t="s">
        <v>1679</v>
      </c>
      <c r="B7" s="353"/>
      <c r="C7" s="354">
        <f>'数据-取费表'!B2</f>
        <v>45749</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97" t="s">
        <v>1680</v>
      </c>
      <c r="Q7" s="3425"/>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29"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9"/>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1"/>
      <c r="Q15" s="1263"/>
      <c r="R15" s="667"/>
      <c r="S15" s="668"/>
      <c r="T15" s="667"/>
      <c r="U15" s="668"/>
      <c r="V15" s="667"/>
      <c r="W15" s="668"/>
      <c r="X15" s="1265"/>
      <c r="Y15" s="3431"/>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31"/>
      <c r="Q17" s="1263"/>
      <c r="R17" s="667"/>
      <c r="S17" s="668"/>
      <c r="T17" s="667"/>
      <c r="U17" s="668"/>
      <c r="V17" s="667"/>
      <c r="W17" s="668"/>
      <c r="X17" s="1265"/>
      <c r="Y17" s="3431"/>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31"/>
      <c r="Q19" s="1263"/>
      <c r="R19" s="667"/>
      <c r="S19" s="668"/>
      <c r="T19" s="667"/>
      <c r="U19" s="668"/>
      <c r="V19" s="667"/>
      <c r="W19" s="668"/>
      <c r="X19" s="1265"/>
      <c r="Y19" s="3431"/>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1"/>
      <c r="Q21" s="1263"/>
      <c r="R21" s="667"/>
      <c r="S21" s="668"/>
      <c r="T21" s="667"/>
      <c r="U21" s="668"/>
      <c r="V21" s="667"/>
      <c r="W21" s="668"/>
      <c r="X21" s="1265"/>
      <c r="Y21" s="34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1"/>
      <c r="Q24" s="1263">
        <f t="shared" ref="Q24:Q34"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5"/>
      <c r="Q27" s="531" t="str">
        <f t="shared" si="11"/>
        <v>成新率</v>
      </c>
      <c r="R27" s="669" t="s">
        <v>14</v>
      </c>
      <c r="S27" s="670" t="e">
        <f t="shared" si="12"/>
        <v>#N/A</v>
      </c>
      <c r="T27" s="669" t="s">
        <v>14</v>
      </c>
      <c r="U27" s="670" t="e">
        <f t="shared" si="13"/>
        <v>#N/A</v>
      </c>
      <c r="V27" s="669" t="s">
        <v>14</v>
      </c>
      <c r="W27" s="670" t="e">
        <f t="shared" si="14"/>
        <v>#N/A</v>
      </c>
      <c r="X27" s="671"/>
      <c r="Y27" s="34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5"/>
      <c r="Q28" s="1263" t="str">
        <f t="shared" si="11"/>
        <v>物业等级</v>
      </c>
      <c r="R28" s="667" t="s">
        <v>14</v>
      </c>
      <c r="S28" s="668">
        <f t="shared" si="12"/>
        <v>100</v>
      </c>
      <c r="T28" s="667" t="s">
        <v>14</v>
      </c>
      <c r="U28" s="668">
        <f t="shared" si="13"/>
        <v>100</v>
      </c>
      <c r="V28" s="667" t="s">
        <v>14</v>
      </c>
      <c r="W28" s="668">
        <f t="shared" si="14"/>
        <v>100</v>
      </c>
      <c r="X28" s="1265"/>
      <c r="Y28" s="34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5"/>
      <c r="Q29" s="1263" t="str">
        <f t="shared" si="11"/>
        <v>有无电梯</v>
      </c>
      <c r="R29" s="667" t="s">
        <v>14</v>
      </c>
      <c r="S29" s="668">
        <f t="shared" si="12"/>
        <v>100</v>
      </c>
      <c r="T29" s="667" t="s">
        <v>14</v>
      </c>
      <c r="U29" s="668">
        <f t="shared" si="13"/>
        <v>100</v>
      </c>
      <c r="V29" s="667" t="s">
        <v>14</v>
      </c>
      <c r="W29" s="668">
        <f t="shared" si="14"/>
        <v>100</v>
      </c>
      <c r="X29" s="1265"/>
      <c r="Y29" s="34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5"/>
      <c r="Q30" s="1263" t="str">
        <f t="shared" si="11"/>
        <v>建筑面积</v>
      </c>
      <c r="R30" s="667" t="s">
        <v>14</v>
      </c>
      <c r="S30" s="668" t="e">
        <f t="shared" si="12"/>
        <v>#N/A</v>
      </c>
      <c r="T30" s="667" t="s">
        <v>14</v>
      </c>
      <c r="U30" s="668" t="e">
        <f t="shared" si="13"/>
        <v>#N/A</v>
      </c>
      <c r="V30" s="667" t="s">
        <v>14</v>
      </c>
      <c r="W30" s="668" t="e">
        <f t="shared" si="14"/>
        <v>#N/A</v>
      </c>
      <c r="X30" s="1265"/>
      <c r="Y30" s="34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5"/>
      <c r="Q31" s="530" t="str">
        <f t="shared" si="11"/>
        <v>是否封闭</v>
      </c>
      <c r="R31" s="664" t="s">
        <v>14</v>
      </c>
      <c r="S31" s="665">
        <f t="shared" si="12"/>
        <v>100</v>
      </c>
      <c r="T31" s="664" t="s">
        <v>14</v>
      </c>
      <c r="U31" s="665">
        <f t="shared" si="13"/>
        <v>100</v>
      </c>
      <c r="V31" s="664" t="s">
        <v>14</v>
      </c>
      <c r="W31" s="665">
        <f t="shared" si="14"/>
        <v>100</v>
      </c>
      <c r="X31" s="666"/>
      <c r="Y31" s="34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5" t="s">
        <v>1696</v>
      </c>
      <c r="Q32" s="1263">
        <f t="shared" si="11"/>
        <v>111</v>
      </c>
      <c r="R32" s="667" t="s">
        <v>14</v>
      </c>
      <c r="S32" s="668">
        <f t="shared" si="12"/>
        <v>100</v>
      </c>
      <c r="T32" s="667" t="s">
        <v>14</v>
      </c>
      <c r="U32" s="668">
        <f t="shared" si="13"/>
        <v>100</v>
      </c>
      <c r="V32" s="667" t="s">
        <v>14</v>
      </c>
      <c r="W32" s="668">
        <f t="shared" si="14"/>
        <v>100</v>
      </c>
      <c r="X32" s="1265"/>
      <c r="Y32" s="34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5"/>
      <c r="Q33" s="1263">
        <f t="shared" si="11"/>
        <v>111</v>
      </c>
      <c r="R33" s="667" t="s">
        <v>14</v>
      </c>
      <c r="S33" s="668">
        <f t="shared" si="12"/>
        <v>100</v>
      </c>
      <c r="T33" s="667" t="s">
        <v>14</v>
      </c>
      <c r="U33" s="668">
        <f t="shared" si="13"/>
        <v>100</v>
      </c>
      <c r="V33" s="667" t="s">
        <v>14</v>
      </c>
      <c r="W33" s="668">
        <f t="shared" si="14"/>
        <v>100</v>
      </c>
      <c r="X33" s="1265"/>
      <c r="Y33" s="3435"/>
      <c r="Z33" s="1264">
        <f t="shared" si="15"/>
        <v>111</v>
      </c>
      <c r="AA33" s="1264">
        <f t="shared" si="3"/>
        <v>1</v>
      </c>
      <c r="AB33" s="1264">
        <f t="shared" si="4"/>
        <v>1</v>
      </c>
      <c r="AC33" s="1264">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29" t="str">
        <f>A35</f>
        <v>成交单价（元/平方米）</v>
      </c>
      <c r="Q35" s="3429"/>
      <c r="R35" s="3424">
        <f>E35</f>
        <v>0</v>
      </c>
      <c r="S35" s="3424"/>
      <c r="T35" s="3424">
        <f>G35</f>
        <v>0</v>
      </c>
      <c r="U35" s="3424"/>
      <c r="V35" s="3424">
        <f>I35</f>
        <v>0</v>
      </c>
      <c r="W35" s="3424"/>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26" t="str">
        <f>A37</f>
        <v>估价对象XX用房的比较价值（楼面单价，元/平方米）</v>
      </c>
      <c r="Q37" s="3427"/>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ht="15">
      <c r="A5" s="348"/>
      <c r="B5" s="349"/>
      <c r="C5" s="3405" t="s">
        <v>1673</v>
      </c>
      <c r="D5" s="3406"/>
      <c r="E5" s="3403" t="s">
        <v>1674</v>
      </c>
      <c r="F5" s="3404"/>
      <c r="G5" s="3405" t="s">
        <v>1675</v>
      </c>
      <c r="H5" s="3406"/>
      <c r="I5" s="3405" t="s">
        <v>1676</v>
      </c>
      <c r="J5" s="3406"/>
      <c r="K5" s="537"/>
      <c r="L5" s="2484"/>
      <c r="M5" s="2485"/>
      <c r="N5" s="2485"/>
      <c r="O5" s="2485"/>
      <c r="P5" s="3418"/>
      <c r="Q5" s="3419"/>
      <c r="R5" s="3401"/>
      <c r="S5" s="3402"/>
      <c r="T5" s="3401"/>
      <c r="U5" s="3402"/>
      <c r="V5" s="3424"/>
      <c r="W5" s="3424"/>
      <c r="X5" s="1265"/>
      <c r="Y5" s="3401"/>
      <c r="Z5" s="3402"/>
      <c r="AA5" s="3395"/>
      <c r="AB5" s="3395"/>
      <c r="AC5" s="3395"/>
    </row>
    <row r="6" spans="1:29" ht="15.75" thickBot="1">
      <c r="A6" s="350"/>
      <c r="B6" s="351"/>
      <c r="C6" s="3407" t="s">
        <v>1677</v>
      </c>
      <c r="D6" s="3408"/>
      <c r="E6" s="3409" t="s">
        <v>1677</v>
      </c>
      <c r="F6" s="3410"/>
      <c r="G6" s="3407" t="s">
        <v>1677</v>
      </c>
      <c r="H6" s="3408"/>
      <c r="I6" s="3407" t="s">
        <v>1677</v>
      </c>
      <c r="J6" s="3408"/>
      <c r="K6" s="537" t="s">
        <v>1678</v>
      </c>
      <c r="L6" s="2484"/>
      <c r="M6" s="2485"/>
      <c r="N6" s="2485"/>
      <c r="O6" s="2485"/>
      <c r="P6" s="3420"/>
      <c r="Q6" s="3421"/>
      <c r="R6" s="3401"/>
      <c r="S6" s="3402"/>
      <c r="T6" s="3422"/>
      <c r="U6" s="3423"/>
      <c r="V6" s="3424"/>
      <c r="W6" s="3424"/>
      <c r="X6" s="1265"/>
      <c r="Y6" s="3422"/>
      <c r="Z6" s="3423"/>
      <c r="AA6" s="3396"/>
      <c r="AB6" s="3396"/>
      <c r="AC6" s="3396"/>
    </row>
    <row r="7" spans="1:29" s="102" customFormat="1" ht="15.75" thickBot="1">
      <c r="A7" s="352" t="s">
        <v>1679</v>
      </c>
      <c r="B7" s="353"/>
      <c r="C7" s="354">
        <f>'数据-取费表'!B2</f>
        <v>45749</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97"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7" t="s">
        <v>1683</v>
      </c>
      <c r="Q8" s="3398"/>
      <c r="R8" s="664" t="s">
        <v>14</v>
      </c>
      <c r="S8" s="665">
        <f t="shared" si="0"/>
        <v>0</v>
      </c>
      <c r="T8" s="664" t="s">
        <v>14</v>
      </c>
      <c r="U8" s="665">
        <f t="shared" si="1"/>
        <v>0</v>
      </c>
      <c r="V8" s="664" t="s">
        <v>14</v>
      </c>
      <c r="W8" s="665">
        <f t="shared" si="2"/>
        <v>0</v>
      </c>
      <c r="X8" s="666"/>
      <c r="Y8" s="3397" t="s">
        <v>1683</v>
      </c>
      <c r="Z8" s="3398"/>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2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105</v>
      </c>
      <c r="G10" s="402"/>
      <c r="H10" s="119">
        <f>ROUND(100/'数据-取费表'!G16,0)</f>
        <v>105</v>
      </c>
      <c r="I10" s="402"/>
      <c r="J10" s="119">
        <f>ROUND(100/'数据-取费表'!G16,0)</f>
        <v>105</v>
      </c>
      <c r="K10" s="592"/>
      <c r="L10" s="2487"/>
      <c r="M10" s="2488"/>
      <c r="N10" s="2488"/>
      <c r="O10" s="2539"/>
      <c r="P10" s="3429"/>
      <c r="Q10" s="530" t="str">
        <f t="shared" si="6"/>
        <v>土地使用年限（年）</v>
      </c>
      <c r="R10" s="664" t="s">
        <v>14</v>
      </c>
      <c r="S10" s="665">
        <f t="shared" si="0"/>
        <v>105</v>
      </c>
      <c r="T10" s="664" t="s">
        <v>14</v>
      </c>
      <c r="U10" s="665">
        <f t="shared" si="1"/>
        <v>105</v>
      </c>
      <c r="V10" s="664" t="s">
        <v>14</v>
      </c>
      <c r="W10" s="665">
        <f t="shared" si="2"/>
        <v>105</v>
      </c>
      <c r="X10" s="666"/>
      <c r="Y10" s="3341"/>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9"/>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29"/>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0" t="s">
        <v>1691</v>
      </c>
      <c r="Q15" s="1263" t="str">
        <f t="shared" si="6"/>
        <v>居住社区成熟度</v>
      </c>
      <c r="R15" s="667" t="s">
        <v>14</v>
      </c>
      <c r="S15" s="668">
        <f t="shared" si="0"/>
        <v>100</v>
      </c>
      <c r="T15" s="667" t="s">
        <v>14</v>
      </c>
      <c r="U15" s="668">
        <f t="shared" si="1"/>
        <v>100</v>
      </c>
      <c r="V15" s="667" t="s">
        <v>14</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31"/>
      <c r="Q16" s="1263"/>
      <c r="R16" s="667"/>
      <c r="S16" s="668"/>
      <c r="T16" s="667"/>
      <c r="U16" s="668"/>
      <c r="V16" s="667"/>
      <c r="W16" s="668"/>
      <c r="X16" s="1265"/>
      <c r="Y16" s="3431"/>
      <c r="Z16" s="1264"/>
      <c r="AA16" s="1264">
        <v>1</v>
      </c>
      <c r="AB16" s="1264">
        <v>1</v>
      </c>
      <c r="AC16" s="1264">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1"/>
      <c r="Q17" s="1263" t="str">
        <f>B17</f>
        <v>商业繁华度</v>
      </c>
      <c r="R17" s="667" t="s">
        <v>14</v>
      </c>
      <c r="S17" s="668">
        <f>F17</f>
        <v>100</v>
      </c>
      <c r="T17" s="667" t="s">
        <v>14</v>
      </c>
      <c r="U17" s="668">
        <f>H17</f>
        <v>100</v>
      </c>
      <c r="V17" s="667" t="s">
        <v>14</v>
      </c>
      <c r="W17" s="668">
        <f>J17</f>
        <v>100</v>
      </c>
      <c r="X17" s="1265"/>
      <c r="Y17" s="3431"/>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31"/>
      <c r="Q18" s="1263"/>
      <c r="R18" s="667"/>
      <c r="S18" s="668"/>
      <c r="T18" s="667"/>
      <c r="U18" s="668"/>
      <c r="V18" s="667"/>
      <c r="W18" s="668"/>
      <c r="X18" s="1265"/>
      <c r="Y18" s="3431"/>
      <c r="Z18" s="1264"/>
      <c r="AA18" s="1264">
        <v>1</v>
      </c>
      <c r="AB18" s="1264">
        <v>1</v>
      </c>
      <c r="AC18" s="1264">
        <v>1</v>
      </c>
    </row>
    <row r="19" spans="1:29" ht="71.2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1"/>
      <c r="Q19" s="1263" t="str">
        <f>B19</f>
        <v>办公集聚程度</v>
      </c>
      <c r="R19" s="667" t="s">
        <v>14</v>
      </c>
      <c r="S19" s="668">
        <f>F19</f>
        <v>100</v>
      </c>
      <c r="T19" s="667" t="s">
        <v>14</v>
      </c>
      <c r="U19" s="668">
        <f>H19</f>
        <v>100</v>
      </c>
      <c r="V19" s="667" t="s">
        <v>14</v>
      </c>
      <c r="W19" s="668">
        <f>J19</f>
        <v>100</v>
      </c>
      <c r="X19" s="1265"/>
      <c r="Y19" s="3431"/>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31"/>
      <c r="Q20" s="1263"/>
      <c r="R20" s="667"/>
      <c r="S20" s="668"/>
      <c r="T20" s="667"/>
      <c r="U20" s="668"/>
      <c r="V20" s="667"/>
      <c r="W20" s="668"/>
      <c r="X20" s="1265"/>
      <c r="Y20" s="3431"/>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1"/>
      <c r="Q21" s="1263" t="str">
        <f>B21</f>
        <v>交通便捷度</v>
      </c>
      <c r="R21" s="667" t="s">
        <v>14</v>
      </c>
      <c r="S21" s="668">
        <f>F21</f>
        <v>100</v>
      </c>
      <c r="T21" s="667" t="s">
        <v>14</v>
      </c>
      <c r="U21" s="668">
        <f>H21</f>
        <v>100</v>
      </c>
      <c r="V21" s="667" t="s">
        <v>14</v>
      </c>
      <c r="W21" s="668">
        <f>J21</f>
        <v>100</v>
      </c>
      <c r="X21" s="1265"/>
      <c r="Y21" s="3431"/>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31"/>
      <c r="Q22" s="1263"/>
      <c r="R22" s="667"/>
      <c r="S22" s="668"/>
      <c r="T22" s="667"/>
      <c r="U22" s="668"/>
      <c r="V22" s="667"/>
      <c r="W22" s="668"/>
      <c r="X22" s="1265"/>
      <c r="Y22" s="343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1"/>
      <c r="Q23" s="1263" t="str">
        <f t="shared" ref="Q23:Q37" si="8">B23</f>
        <v>区域土地利用方向</v>
      </c>
      <c r="R23" s="667" t="s">
        <v>14</v>
      </c>
      <c r="S23" s="668">
        <f>F23</f>
        <v>100</v>
      </c>
      <c r="T23" s="667" t="s">
        <v>14</v>
      </c>
      <c r="U23" s="668">
        <f>H23</f>
        <v>100</v>
      </c>
      <c r="V23" s="667" t="s">
        <v>14</v>
      </c>
      <c r="W23" s="668">
        <f>J23</f>
        <v>100</v>
      </c>
      <c r="X23" s="1265"/>
      <c r="Y23" s="3431"/>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31"/>
      <c r="Q24" s="1263"/>
      <c r="R24" s="667"/>
      <c r="S24" s="668"/>
      <c r="T24" s="667"/>
      <c r="U24" s="668"/>
      <c r="V24" s="667"/>
      <c r="W24" s="668"/>
      <c r="X24" s="1265"/>
      <c r="Y24" s="3431"/>
      <c r="Z24" s="1264"/>
      <c r="AA24" s="1264"/>
      <c r="AB24" s="1264"/>
      <c r="AC24" s="1264"/>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1"/>
      <c r="Q25" s="1263" t="str">
        <f t="shared" si="8"/>
        <v>自然及人文环境状况</v>
      </c>
      <c r="R25" s="667" t="s">
        <v>14</v>
      </c>
      <c r="S25" s="668">
        <f>F25</f>
        <v>100</v>
      </c>
      <c r="T25" s="667" t="s">
        <v>14</v>
      </c>
      <c r="U25" s="668">
        <f>H25</f>
        <v>100</v>
      </c>
      <c r="V25" s="667" t="s">
        <v>14</v>
      </c>
      <c r="W25" s="668">
        <f>J25</f>
        <v>100</v>
      </c>
      <c r="X25" s="1265"/>
      <c r="Y25" s="3431"/>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31"/>
      <c r="Q26" s="1263"/>
      <c r="R26" s="667"/>
      <c r="S26" s="668"/>
      <c r="T26" s="667"/>
      <c r="U26" s="668"/>
      <c r="V26" s="667"/>
      <c r="W26" s="668"/>
      <c r="X26" s="1265"/>
      <c r="Y26" s="3431"/>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1"/>
      <c r="Q27" s="530" t="str">
        <f t="shared" si="8"/>
        <v>公共配套设施</v>
      </c>
      <c r="R27" s="664" t="s">
        <v>14</v>
      </c>
      <c r="S27" s="665">
        <f>F27</f>
        <v>100</v>
      </c>
      <c r="T27" s="664" t="s">
        <v>14</v>
      </c>
      <c r="U27" s="665">
        <f>H27</f>
        <v>100</v>
      </c>
      <c r="V27" s="664" t="s">
        <v>14</v>
      </c>
      <c r="W27" s="665">
        <f>J27</f>
        <v>100</v>
      </c>
      <c r="X27" s="666"/>
      <c r="Y27" s="3431"/>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31"/>
      <c r="Q28" s="530"/>
      <c r="R28" s="664"/>
      <c r="S28" s="665"/>
      <c r="T28" s="664"/>
      <c r="U28" s="665"/>
      <c r="V28" s="664"/>
      <c r="W28" s="665"/>
      <c r="X28" s="666"/>
      <c r="Y28" s="3431"/>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1"/>
      <c r="Q29" s="530" t="str">
        <f t="shared" ref="Q29" si="9">B29</f>
        <v>基础设施水平</v>
      </c>
      <c r="R29" s="664" t="s">
        <v>14</v>
      </c>
      <c r="S29" s="665">
        <f>F29</f>
        <v>100</v>
      </c>
      <c r="T29" s="664" t="s">
        <v>14</v>
      </c>
      <c r="U29" s="665">
        <f>H29</f>
        <v>100</v>
      </c>
      <c r="V29" s="664" t="s">
        <v>14</v>
      </c>
      <c r="W29" s="665">
        <f>J29</f>
        <v>100</v>
      </c>
      <c r="X29" s="666"/>
      <c r="Y29" s="3431"/>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31"/>
      <c r="Q30" s="530"/>
      <c r="R30" s="664"/>
      <c r="S30" s="665"/>
      <c r="T30" s="664"/>
      <c r="U30" s="665"/>
      <c r="V30" s="664"/>
      <c r="W30" s="665"/>
      <c r="X30" s="666"/>
      <c r="Y30" s="34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1"/>
      <c r="Q32" s="1263" t="str">
        <f t="shared" si="8"/>
        <v>毗邻道路的类型与等级</v>
      </c>
      <c r="R32" s="667" t="s">
        <v>14</v>
      </c>
      <c r="S32" s="668">
        <f t="shared" si="10"/>
        <v>100</v>
      </c>
      <c r="T32" s="667" t="s">
        <v>14</v>
      </c>
      <c r="U32" s="668">
        <f t="shared" si="11"/>
        <v>100</v>
      </c>
      <c r="V32" s="667" t="s">
        <v>14</v>
      </c>
      <c r="W32" s="668">
        <f t="shared" si="12"/>
        <v>100</v>
      </c>
      <c r="X32" s="1265"/>
      <c r="Y32" s="3431"/>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31"/>
      <c r="Q33" s="1263"/>
      <c r="R33" s="667"/>
      <c r="S33" s="668"/>
      <c r="T33" s="667"/>
      <c r="U33" s="668"/>
      <c r="V33" s="667"/>
      <c r="W33" s="668"/>
      <c r="X33" s="1265"/>
      <c r="Y33" s="34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1"/>
      <c r="Q34" s="1263" t="str">
        <f t="shared" si="8"/>
        <v>土地级别</v>
      </c>
      <c r="R34" s="667" t="s">
        <v>14</v>
      </c>
      <c r="S34" s="668">
        <f t="shared" si="10"/>
        <v>100</v>
      </c>
      <c r="T34" s="667" t="s">
        <v>14</v>
      </c>
      <c r="U34" s="668">
        <f t="shared" si="11"/>
        <v>100</v>
      </c>
      <c r="V34" s="667" t="s">
        <v>14</v>
      </c>
      <c r="W34" s="668">
        <f t="shared" si="12"/>
        <v>100</v>
      </c>
      <c r="X34" s="1265"/>
      <c r="Y34" s="34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1"/>
      <c r="Q35" s="1263">
        <f t="shared" si="8"/>
        <v>111</v>
      </c>
      <c r="R35" s="667" t="s">
        <v>14</v>
      </c>
      <c r="S35" s="668">
        <f t="shared" si="10"/>
        <v>100</v>
      </c>
      <c r="T35" s="667" t="s">
        <v>14</v>
      </c>
      <c r="U35" s="668">
        <f t="shared" si="11"/>
        <v>100</v>
      </c>
      <c r="V35" s="667" t="s">
        <v>14</v>
      </c>
      <c r="W35" s="668">
        <f t="shared" si="12"/>
        <v>100</v>
      </c>
      <c r="X35" s="1265"/>
      <c r="Y35" s="34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4" t="s">
        <v>1696</v>
      </c>
      <c r="Q36" s="1263">
        <f t="shared" si="8"/>
        <v>111</v>
      </c>
      <c r="R36" s="667" t="s">
        <v>14</v>
      </c>
      <c r="S36" s="668">
        <f t="shared" si="10"/>
        <v>100</v>
      </c>
      <c r="T36" s="667" t="s">
        <v>14</v>
      </c>
      <c r="U36" s="668">
        <f t="shared" si="11"/>
        <v>100</v>
      </c>
      <c r="V36" s="667" t="s">
        <v>14</v>
      </c>
      <c r="W36" s="668">
        <f t="shared" si="12"/>
        <v>100</v>
      </c>
      <c r="X36" s="1265"/>
      <c r="Y36" s="343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5"/>
      <c r="Q37" s="1263">
        <f t="shared" si="8"/>
        <v>111</v>
      </c>
      <c r="R37" s="669" t="s">
        <v>14</v>
      </c>
      <c r="S37" s="670">
        <f t="shared" si="10"/>
        <v>100</v>
      </c>
      <c r="T37" s="669" t="s">
        <v>14</v>
      </c>
      <c r="U37" s="670">
        <f t="shared" si="11"/>
        <v>100</v>
      </c>
      <c r="V37" s="669" t="s">
        <v>14</v>
      </c>
      <c r="W37" s="670">
        <f t="shared" si="12"/>
        <v>100</v>
      </c>
      <c r="X37" s="671"/>
      <c r="Y37" s="343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5"/>
      <c r="Q38" s="1263" t="str">
        <f>B38</f>
        <v>宗地面积</v>
      </c>
      <c r="R38" s="667" t="s">
        <v>14</v>
      </c>
      <c r="S38" s="668" t="e">
        <f t="shared" si="10"/>
        <v>#N/A</v>
      </c>
      <c r="T38" s="667" t="s">
        <v>14</v>
      </c>
      <c r="U38" s="668" t="e">
        <f t="shared" si="11"/>
        <v>#N/A</v>
      </c>
      <c r="V38" s="667" t="s">
        <v>14</v>
      </c>
      <c r="W38" s="668" t="e">
        <f t="shared" si="12"/>
        <v>#N/A</v>
      </c>
      <c r="X38" s="1265"/>
      <c r="Y38" s="3435"/>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35"/>
      <c r="Q39" s="1263" t="str">
        <f t="shared" ref="Q39:Q45" si="14">B39</f>
        <v>宗地形状</v>
      </c>
      <c r="R39" s="667" t="s">
        <v>14</v>
      </c>
      <c r="S39" s="668">
        <f t="shared" si="10"/>
        <v>100</v>
      </c>
      <c r="T39" s="667" t="s">
        <v>14</v>
      </c>
      <c r="U39" s="668">
        <f t="shared" si="11"/>
        <v>100</v>
      </c>
      <c r="V39" s="667" t="s">
        <v>14</v>
      </c>
      <c r="W39" s="668">
        <f t="shared" si="12"/>
        <v>100</v>
      </c>
      <c r="X39" s="1265"/>
      <c r="Y39" s="3435"/>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35"/>
      <c r="Q40" s="1263" t="str">
        <f t="shared" si="14"/>
        <v>临街宽度及深度</v>
      </c>
      <c r="R40" s="667" t="s">
        <v>14</v>
      </c>
      <c r="S40" s="668">
        <f t="shared" si="10"/>
        <v>100</v>
      </c>
      <c r="T40" s="667" t="s">
        <v>14</v>
      </c>
      <c r="U40" s="668">
        <f t="shared" si="11"/>
        <v>100</v>
      </c>
      <c r="V40" s="667" t="s">
        <v>14</v>
      </c>
      <c r="W40" s="668">
        <f t="shared" si="12"/>
        <v>100</v>
      </c>
      <c r="X40" s="1265"/>
      <c r="Y40" s="3435"/>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35"/>
      <c r="Q41" s="1263" t="str">
        <f t="shared" si="14"/>
        <v>宗地开发程度</v>
      </c>
      <c r="R41" s="664" t="s">
        <v>14</v>
      </c>
      <c r="S41" s="665">
        <f t="shared" si="10"/>
        <v>100</v>
      </c>
      <c r="T41" s="664" t="s">
        <v>14</v>
      </c>
      <c r="U41" s="665">
        <f t="shared" si="11"/>
        <v>100</v>
      </c>
      <c r="V41" s="664" t="s">
        <v>14</v>
      </c>
      <c r="W41" s="665">
        <f t="shared" si="12"/>
        <v>100</v>
      </c>
      <c r="X41" s="666"/>
      <c r="Y41" s="343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35" t="s">
        <v>1696</v>
      </c>
      <c r="Q42" s="1263" t="str">
        <f t="shared" si="14"/>
        <v>工程地质条件</v>
      </c>
      <c r="R42" s="667" t="s">
        <v>14</v>
      </c>
      <c r="S42" s="668">
        <f t="shared" si="10"/>
        <v>100</v>
      </c>
      <c r="T42" s="667" t="s">
        <v>14</v>
      </c>
      <c r="U42" s="668">
        <f t="shared" si="11"/>
        <v>100</v>
      </c>
      <c r="V42" s="667" t="s">
        <v>14</v>
      </c>
      <c r="W42" s="668">
        <f t="shared" si="12"/>
        <v>100</v>
      </c>
      <c r="X42" s="1265"/>
      <c r="Y42" s="34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5"/>
      <c r="Q43" s="1263">
        <f t="shared" si="14"/>
        <v>111</v>
      </c>
      <c r="R43" s="667" t="s">
        <v>14</v>
      </c>
      <c r="S43" s="668">
        <f t="shared" si="10"/>
        <v>100</v>
      </c>
      <c r="T43" s="667" t="s">
        <v>14</v>
      </c>
      <c r="U43" s="668">
        <f t="shared" si="11"/>
        <v>100</v>
      </c>
      <c r="V43" s="667" t="s">
        <v>14</v>
      </c>
      <c r="W43" s="668">
        <f t="shared" si="12"/>
        <v>100</v>
      </c>
      <c r="X43" s="1265"/>
      <c r="Y43" s="34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5"/>
      <c r="Q44" s="1263">
        <f t="shared" si="14"/>
        <v>111</v>
      </c>
      <c r="R44" s="667" t="s">
        <v>14</v>
      </c>
      <c r="S44" s="668">
        <f t="shared" si="10"/>
        <v>100</v>
      </c>
      <c r="T44" s="667" t="s">
        <v>14</v>
      </c>
      <c r="U44" s="668">
        <f t="shared" si="11"/>
        <v>100</v>
      </c>
      <c r="V44" s="667" t="s">
        <v>14</v>
      </c>
      <c r="W44" s="668">
        <f t="shared" si="12"/>
        <v>100</v>
      </c>
      <c r="X44" s="1265"/>
      <c r="Y44" s="3435"/>
      <c r="Z44" s="1264">
        <f t="shared" si="13"/>
        <v>111</v>
      </c>
      <c r="AA44" s="1264">
        <f t="shared" si="3"/>
        <v>1</v>
      </c>
      <c r="AB44" s="1264">
        <f t="shared" si="4"/>
        <v>1</v>
      </c>
      <c r="AC44" s="1264">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5"/>
      <c r="Q45" s="1263">
        <f t="shared" si="14"/>
        <v>111</v>
      </c>
      <c r="R45" s="669" t="s">
        <v>14</v>
      </c>
      <c r="S45" s="670">
        <f t="shared" si="10"/>
        <v>100</v>
      </c>
      <c r="T45" s="669" t="s">
        <v>14</v>
      </c>
      <c r="U45" s="670">
        <f t="shared" si="11"/>
        <v>100</v>
      </c>
      <c r="V45" s="669" t="s">
        <v>14</v>
      </c>
      <c r="W45" s="670">
        <f t="shared" si="12"/>
        <v>100</v>
      </c>
      <c r="X45" s="671"/>
      <c r="Y45" s="3435"/>
      <c r="Z45" s="672">
        <f t="shared" si="13"/>
        <v>111</v>
      </c>
      <c r="AA45" s="1264">
        <f t="shared" si="3"/>
        <v>1</v>
      </c>
      <c r="AB45" s="1264">
        <f t="shared" si="4"/>
        <v>1</v>
      </c>
      <c r="AC45" s="1264">
        <f t="shared" si="5"/>
        <v>1</v>
      </c>
    </row>
    <row r="46" spans="1:29" ht="15">
      <c r="A46" s="416" t="s">
        <v>1844</v>
      </c>
      <c r="B46" s="1827" t="s">
        <v>1879</v>
      </c>
      <c r="C46" s="602" t="s">
        <v>0</v>
      </c>
      <c r="D46" s="418"/>
      <c r="E46" s="419"/>
      <c r="F46" s="420"/>
      <c r="G46" s="421"/>
      <c r="H46" s="422"/>
      <c r="I46" s="419"/>
      <c r="J46" s="422"/>
      <c r="K46" s="674"/>
      <c r="L46" s="2492"/>
      <c r="M46" s="2485"/>
      <c r="N46" s="2485"/>
      <c r="O46" s="2485"/>
      <c r="P46" s="3429" t="str">
        <f>A46</f>
        <v>成交单价</v>
      </c>
      <c r="Q46" s="3429"/>
      <c r="R46" s="3424">
        <f>E46</f>
        <v>0</v>
      </c>
      <c r="S46" s="3424"/>
      <c r="T46" s="3424">
        <f>G46</f>
        <v>0</v>
      </c>
      <c r="U46" s="3424"/>
      <c r="V46" s="3424">
        <f>I46</f>
        <v>0</v>
      </c>
      <c r="W46" s="3424"/>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29" t="str">
        <f>A47</f>
        <v>比较价值（元/平方米）</v>
      </c>
      <c r="Q47" s="3429"/>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26" t="str">
        <f>A48</f>
        <v>估价对象XX用房的比较价值（楼面单价，元/平方米）</v>
      </c>
      <c r="Q48" s="3427"/>
      <c r="R48" s="3457" t="e">
        <f>ROUND(IF(D47="简单平均",AVERAGE(R47:W47),R47*F47+T47*H47+V47*J47),0)</f>
        <v>#DIV/0!</v>
      </c>
      <c r="S48" s="3457"/>
      <c r="T48" s="3457"/>
      <c r="U48" s="3457"/>
      <c r="V48" s="3457"/>
      <c r="W48" s="345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2" t="s">
        <v>1887</v>
      </c>
      <c r="H55" s="3458"/>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89.91</v>
      </c>
      <c r="F56" s="833" t="e">
        <f t="shared" ref="F56:F64" si="15">ROUND(B56*E56/10000,0)</f>
        <v>#DIV/0!</v>
      </c>
      <c r="G56" s="3411"/>
      <c r="H56" s="342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89.91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4"/>
      <c r="M4" s="2485"/>
      <c r="N4" s="2485"/>
      <c r="O4" s="2485"/>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ht="15">
      <c r="A5" s="348"/>
      <c r="B5" s="349"/>
      <c r="C5" s="3405" t="s">
        <v>1673</v>
      </c>
      <c r="D5" s="3406"/>
      <c r="E5" s="3403" t="s">
        <v>1674</v>
      </c>
      <c r="F5" s="3404"/>
      <c r="G5" s="3405" t="s">
        <v>1675</v>
      </c>
      <c r="H5" s="3406"/>
      <c r="I5" s="3405" t="s">
        <v>1676</v>
      </c>
      <c r="J5" s="3406"/>
      <c r="K5" s="537"/>
      <c r="L5" s="2484"/>
      <c r="M5" s="2485"/>
      <c r="N5" s="2485"/>
      <c r="O5" s="2485"/>
      <c r="P5" s="3418"/>
      <c r="Q5" s="3419"/>
      <c r="R5" s="3401"/>
      <c r="S5" s="3402"/>
      <c r="T5" s="3401"/>
      <c r="U5" s="3402"/>
      <c r="V5" s="3424"/>
      <c r="W5" s="3424"/>
      <c r="X5" s="1265"/>
      <c r="Y5" s="3401"/>
      <c r="Z5" s="3402"/>
      <c r="AA5" s="3395"/>
      <c r="AB5" s="3395"/>
      <c r="AC5" s="3395"/>
    </row>
    <row r="6" spans="1:29" ht="15.75" thickBot="1">
      <c r="A6" s="350"/>
      <c r="B6" s="351"/>
      <c r="C6" s="3459" t="s">
        <v>1919</v>
      </c>
      <c r="D6" s="3460"/>
      <c r="E6" s="3461" t="s">
        <v>1919</v>
      </c>
      <c r="F6" s="3462"/>
      <c r="G6" s="3459" t="s">
        <v>1919</v>
      </c>
      <c r="H6" s="3460"/>
      <c r="I6" s="3459" t="s">
        <v>1919</v>
      </c>
      <c r="J6" s="3460"/>
      <c r="K6" s="537" t="s">
        <v>1678</v>
      </c>
      <c r="L6" s="2484"/>
      <c r="M6" s="2485"/>
      <c r="N6" s="2485"/>
      <c r="O6" s="2485"/>
      <c r="P6" s="3420"/>
      <c r="Q6" s="3421"/>
      <c r="R6" s="3401"/>
      <c r="S6" s="3402"/>
      <c r="T6" s="3422"/>
      <c r="U6" s="3423"/>
      <c r="V6" s="3424"/>
      <c r="W6" s="3424"/>
      <c r="X6" s="1265"/>
      <c r="Y6" s="3422"/>
      <c r="Z6" s="3423"/>
      <c r="AA6" s="3396"/>
      <c r="AB6" s="3396"/>
      <c r="AC6" s="3396"/>
    </row>
    <row r="7" spans="1:29" s="102" customFormat="1" ht="15.75" thickBot="1">
      <c r="A7" s="352" t="s">
        <v>1679</v>
      </c>
      <c r="B7" s="353"/>
      <c r="C7" s="354">
        <f>'数据-取费表'!B2</f>
        <v>45749</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97"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7" t="s">
        <v>1683</v>
      </c>
      <c r="Q8" s="3398"/>
      <c r="R8" s="664" t="s">
        <v>14</v>
      </c>
      <c r="S8" s="665">
        <f t="shared" si="0"/>
        <v>0</v>
      </c>
      <c r="T8" s="664" t="s">
        <v>14</v>
      </c>
      <c r="U8" s="665">
        <f t="shared" si="1"/>
        <v>0</v>
      </c>
      <c r="V8" s="664" t="s">
        <v>14</v>
      </c>
      <c r="W8" s="665">
        <f t="shared" si="2"/>
        <v>0</v>
      </c>
      <c r="X8" s="666"/>
      <c r="Y8" s="3397" t="s">
        <v>1683</v>
      </c>
      <c r="Z8" s="3398"/>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2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105</v>
      </c>
      <c r="G10" s="371"/>
      <c r="H10" s="119">
        <f>ROUND(100/'数据-取费表'!G16,0)</f>
        <v>105</v>
      </c>
      <c r="I10" s="371"/>
      <c r="J10" s="119">
        <f>ROUND(100/'数据-取费表'!G16,0)</f>
        <v>105</v>
      </c>
      <c r="K10" s="592"/>
      <c r="L10" s="2487"/>
      <c r="M10" s="2488"/>
      <c r="N10" s="2488"/>
      <c r="O10" s="2539"/>
      <c r="P10" s="3429"/>
      <c r="Q10" s="530" t="str">
        <f t="shared" si="6"/>
        <v>土地使用年限（年）</v>
      </c>
      <c r="R10" s="664" t="s">
        <v>14</v>
      </c>
      <c r="S10" s="665">
        <f t="shared" si="0"/>
        <v>105</v>
      </c>
      <c r="T10" s="664" t="s">
        <v>14</v>
      </c>
      <c r="U10" s="665">
        <f t="shared" si="1"/>
        <v>105</v>
      </c>
      <c r="V10" s="664" t="s">
        <v>14</v>
      </c>
      <c r="W10" s="665">
        <f t="shared" si="2"/>
        <v>105</v>
      </c>
      <c r="X10" s="666"/>
      <c r="Y10" s="3341"/>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9"/>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31"/>
      <c r="Q16" s="1263"/>
      <c r="R16" s="667"/>
      <c r="S16" s="668"/>
      <c r="T16" s="667"/>
      <c r="U16" s="668"/>
      <c r="V16" s="667"/>
      <c r="W16" s="668"/>
      <c r="X16" s="1265"/>
      <c r="Y16" s="3431"/>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31"/>
      <c r="Q18" s="1263"/>
      <c r="R18" s="667"/>
      <c r="S18" s="668"/>
      <c r="T18" s="667"/>
      <c r="U18" s="668"/>
      <c r="V18" s="667"/>
      <c r="W18" s="668"/>
      <c r="X18" s="1265"/>
      <c r="Y18" s="3431"/>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1"/>
      <c r="Q19" s="1263" t="str">
        <f t="shared" ref="Q19:Q33" si="8">B19</f>
        <v>区域土地利用方向</v>
      </c>
      <c r="R19" s="667" t="s">
        <v>14</v>
      </c>
      <c r="S19" s="668">
        <f>F19</f>
        <v>100</v>
      </c>
      <c r="T19" s="667" t="s">
        <v>14</v>
      </c>
      <c r="U19" s="668">
        <f>H19</f>
        <v>100</v>
      </c>
      <c r="V19" s="667" t="s">
        <v>14</v>
      </c>
      <c r="W19" s="668">
        <f>J19</f>
        <v>100</v>
      </c>
      <c r="X19" s="1265"/>
      <c r="Y19" s="3431"/>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31"/>
      <c r="Q20" s="1263"/>
      <c r="R20" s="667"/>
      <c r="S20" s="668"/>
      <c r="T20" s="667"/>
      <c r="U20" s="668"/>
      <c r="V20" s="667"/>
      <c r="W20" s="668"/>
      <c r="X20" s="1265"/>
      <c r="Y20" s="3431"/>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1"/>
      <c r="Q21" s="1263" t="str">
        <f t="shared" si="8"/>
        <v>环境状况</v>
      </c>
      <c r="R21" s="667" t="s">
        <v>14</v>
      </c>
      <c r="S21" s="668">
        <f>F21</f>
        <v>100</v>
      </c>
      <c r="T21" s="667" t="s">
        <v>14</v>
      </c>
      <c r="U21" s="668">
        <f>H21</f>
        <v>100</v>
      </c>
      <c r="V21" s="667" t="s">
        <v>14</v>
      </c>
      <c r="W21" s="668">
        <f>J21</f>
        <v>100</v>
      </c>
      <c r="X21" s="1265"/>
      <c r="Y21" s="3431"/>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31"/>
      <c r="Q22" s="1263"/>
      <c r="R22" s="667"/>
      <c r="S22" s="668"/>
      <c r="T22" s="667"/>
      <c r="U22" s="668"/>
      <c r="V22" s="667"/>
      <c r="W22" s="668"/>
      <c r="X22" s="1265"/>
      <c r="Y22" s="3431"/>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1"/>
      <c r="Q23" s="530" t="str">
        <f t="shared" si="8"/>
        <v>公共配套设施</v>
      </c>
      <c r="R23" s="664" t="s">
        <v>14</v>
      </c>
      <c r="S23" s="665">
        <f>F23</f>
        <v>100</v>
      </c>
      <c r="T23" s="664" t="s">
        <v>14</v>
      </c>
      <c r="U23" s="665">
        <f>H23</f>
        <v>100</v>
      </c>
      <c r="V23" s="664" t="s">
        <v>14</v>
      </c>
      <c r="W23" s="665">
        <f>J23</f>
        <v>100</v>
      </c>
      <c r="X23" s="666"/>
      <c r="Y23" s="3431"/>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31"/>
      <c r="Q24" s="530"/>
      <c r="R24" s="664"/>
      <c r="S24" s="665"/>
      <c r="T24" s="664"/>
      <c r="U24" s="665"/>
      <c r="V24" s="664"/>
      <c r="W24" s="665"/>
      <c r="X24" s="666"/>
      <c r="Y24" s="3431"/>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1"/>
      <c r="Q25" s="530" t="str">
        <f t="shared" ref="Q25" si="9">B25</f>
        <v>基础设施水平</v>
      </c>
      <c r="R25" s="664" t="s">
        <v>14</v>
      </c>
      <c r="S25" s="665">
        <f>F25</f>
        <v>100</v>
      </c>
      <c r="T25" s="664" t="s">
        <v>14</v>
      </c>
      <c r="U25" s="665">
        <f>H25</f>
        <v>100</v>
      </c>
      <c r="V25" s="664" t="s">
        <v>14</v>
      </c>
      <c r="W25" s="665">
        <f>J25</f>
        <v>100</v>
      </c>
      <c r="X25" s="666"/>
      <c r="Y25" s="3431"/>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31"/>
      <c r="Q26" s="530"/>
      <c r="R26" s="664"/>
      <c r="S26" s="665"/>
      <c r="T26" s="664"/>
      <c r="U26" s="665"/>
      <c r="V26" s="664"/>
      <c r="W26" s="665"/>
      <c r="X26" s="666"/>
      <c r="Y26" s="34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1"/>
      <c r="Z27" s="1264" t="str">
        <f t="shared" ref="Z27:Z40" si="13">Q27</f>
        <v>临街状况</v>
      </c>
      <c r="AA27" s="1264">
        <f t="shared" si="3"/>
        <v>1</v>
      </c>
      <c r="AB27" s="1264">
        <f t="shared" si="4"/>
        <v>1</v>
      </c>
      <c r="AC27" s="1264">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1"/>
      <c r="Q28" s="1263" t="str">
        <f t="shared" si="8"/>
        <v>毗邻道路的类型与等级</v>
      </c>
      <c r="R28" s="667" t="s">
        <v>14</v>
      </c>
      <c r="S28" s="668">
        <f t="shared" si="10"/>
        <v>100</v>
      </c>
      <c r="T28" s="667" t="s">
        <v>14</v>
      </c>
      <c r="U28" s="668">
        <f t="shared" si="11"/>
        <v>100</v>
      </c>
      <c r="V28" s="667" t="s">
        <v>14</v>
      </c>
      <c r="W28" s="668">
        <f t="shared" si="12"/>
        <v>100</v>
      </c>
      <c r="X28" s="1265"/>
      <c r="Y28" s="3431"/>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31"/>
      <c r="Q29" s="1263"/>
      <c r="R29" s="667"/>
      <c r="S29" s="668"/>
      <c r="T29" s="667"/>
      <c r="U29" s="668"/>
      <c r="V29" s="667"/>
      <c r="W29" s="668"/>
      <c r="X29" s="1265"/>
      <c r="Y29" s="34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1"/>
      <c r="Q30" s="1263" t="str">
        <f t="shared" si="8"/>
        <v>土地级别</v>
      </c>
      <c r="R30" s="667" t="s">
        <v>14</v>
      </c>
      <c r="S30" s="668">
        <f t="shared" si="10"/>
        <v>100</v>
      </c>
      <c r="T30" s="667" t="s">
        <v>14</v>
      </c>
      <c r="U30" s="668">
        <f t="shared" si="11"/>
        <v>100</v>
      </c>
      <c r="V30" s="667" t="s">
        <v>14</v>
      </c>
      <c r="W30" s="668">
        <f t="shared" si="12"/>
        <v>100</v>
      </c>
      <c r="X30" s="1265"/>
      <c r="Y30" s="34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1"/>
      <c r="Q31" s="1263">
        <f t="shared" si="8"/>
        <v>111</v>
      </c>
      <c r="R31" s="667" t="s">
        <v>14</v>
      </c>
      <c r="S31" s="668">
        <f t="shared" si="10"/>
        <v>100</v>
      </c>
      <c r="T31" s="667" t="s">
        <v>14</v>
      </c>
      <c r="U31" s="668">
        <f t="shared" si="11"/>
        <v>100</v>
      </c>
      <c r="V31" s="667" t="s">
        <v>14</v>
      </c>
      <c r="W31" s="668">
        <f t="shared" si="12"/>
        <v>100</v>
      </c>
      <c r="X31" s="1265"/>
      <c r="Y31" s="3431"/>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4" t="s">
        <v>1696</v>
      </c>
      <c r="Q32" s="1263">
        <f t="shared" si="8"/>
        <v>111</v>
      </c>
      <c r="R32" s="667" t="s">
        <v>14</v>
      </c>
      <c r="S32" s="668">
        <f t="shared" si="10"/>
        <v>100</v>
      </c>
      <c r="T32" s="667" t="s">
        <v>14</v>
      </c>
      <c r="U32" s="668">
        <f t="shared" si="11"/>
        <v>100</v>
      </c>
      <c r="V32" s="667" t="s">
        <v>14</v>
      </c>
      <c r="W32" s="668">
        <f t="shared" si="12"/>
        <v>100</v>
      </c>
      <c r="X32" s="1265"/>
      <c r="Y32" s="3435" t="s">
        <v>1696</v>
      </c>
      <c r="Z32" s="1264">
        <f t="shared" si="13"/>
        <v>111</v>
      </c>
      <c r="AA32" s="1264">
        <f t="shared" si="3"/>
        <v>1</v>
      </c>
      <c r="AB32" s="1264">
        <f t="shared" si="4"/>
        <v>1</v>
      </c>
      <c r="AC32" s="1264">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5"/>
      <c r="Q33" s="1263">
        <f t="shared" si="8"/>
        <v>111</v>
      </c>
      <c r="R33" s="669" t="s">
        <v>14</v>
      </c>
      <c r="S33" s="670">
        <f t="shared" si="10"/>
        <v>100</v>
      </c>
      <c r="T33" s="669" t="s">
        <v>14</v>
      </c>
      <c r="U33" s="670">
        <f t="shared" si="11"/>
        <v>100</v>
      </c>
      <c r="V33" s="669" t="s">
        <v>14</v>
      </c>
      <c r="W33" s="670">
        <f t="shared" si="12"/>
        <v>100</v>
      </c>
      <c r="X33" s="671"/>
      <c r="Y33" s="34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5"/>
      <c r="Q34" s="1263" t="str">
        <f>B34</f>
        <v>宗地面积</v>
      </c>
      <c r="R34" s="667" t="s">
        <v>14</v>
      </c>
      <c r="S34" s="668" t="e">
        <f t="shared" si="10"/>
        <v>#N/A</v>
      </c>
      <c r="T34" s="667" t="s">
        <v>14</v>
      </c>
      <c r="U34" s="668" t="e">
        <f t="shared" si="11"/>
        <v>#N/A</v>
      </c>
      <c r="V34" s="667" t="s">
        <v>14</v>
      </c>
      <c r="W34" s="668" t="e">
        <f t="shared" si="12"/>
        <v>#N/A</v>
      </c>
      <c r="X34" s="1265"/>
      <c r="Y34" s="3435"/>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35"/>
      <c r="Q35" s="1263" t="str">
        <f t="shared" ref="Q35:Q40" si="14">B35</f>
        <v>宗地形状</v>
      </c>
      <c r="R35" s="667" t="s">
        <v>14</v>
      </c>
      <c r="S35" s="668">
        <f t="shared" si="10"/>
        <v>100</v>
      </c>
      <c r="T35" s="667" t="s">
        <v>14</v>
      </c>
      <c r="U35" s="668">
        <f t="shared" si="11"/>
        <v>100</v>
      </c>
      <c r="V35" s="667" t="s">
        <v>14</v>
      </c>
      <c r="W35" s="668">
        <f t="shared" si="12"/>
        <v>100</v>
      </c>
      <c r="X35" s="1265"/>
      <c r="Y35" s="3435"/>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35"/>
      <c r="Q36" s="1263" t="str">
        <f t="shared" si="14"/>
        <v>宗地开发程度</v>
      </c>
      <c r="R36" s="664" t="s">
        <v>14</v>
      </c>
      <c r="S36" s="665">
        <f t="shared" si="10"/>
        <v>100</v>
      </c>
      <c r="T36" s="664" t="s">
        <v>14</v>
      </c>
      <c r="U36" s="665">
        <f t="shared" si="11"/>
        <v>100</v>
      </c>
      <c r="V36" s="664" t="s">
        <v>14</v>
      </c>
      <c r="W36" s="665">
        <f t="shared" si="12"/>
        <v>100</v>
      </c>
      <c r="X36" s="666"/>
      <c r="Y36" s="343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35" t="s">
        <v>1696</v>
      </c>
      <c r="Q37" s="1263" t="str">
        <f t="shared" si="14"/>
        <v>工程地质条件</v>
      </c>
      <c r="R37" s="667" t="s">
        <v>14</v>
      </c>
      <c r="S37" s="668">
        <f t="shared" si="10"/>
        <v>100</v>
      </c>
      <c r="T37" s="667" t="s">
        <v>14</v>
      </c>
      <c r="U37" s="668">
        <f t="shared" si="11"/>
        <v>100</v>
      </c>
      <c r="V37" s="667" t="s">
        <v>14</v>
      </c>
      <c r="W37" s="668">
        <f t="shared" si="12"/>
        <v>100</v>
      </c>
      <c r="X37" s="1265"/>
      <c r="Y37" s="34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5"/>
      <c r="Q38" s="1263">
        <f t="shared" si="14"/>
        <v>111</v>
      </c>
      <c r="R38" s="667" t="s">
        <v>14</v>
      </c>
      <c r="S38" s="668">
        <f t="shared" si="10"/>
        <v>100</v>
      </c>
      <c r="T38" s="667" t="s">
        <v>14</v>
      </c>
      <c r="U38" s="668">
        <f t="shared" si="11"/>
        <v>100</v>
      </c>
      <c r="V38" s="667" t="s">
        <v>14</v>
      </c>
      <c r="W38" s="668">
        <f t="shared" si="12"/>
        <v>100</v>
      </c>
      <c r="X38" s="1265"/>
      <c r="Y38" s="34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5"/>
      <c r="Q39" s="1263">
        <f t="shared" si="14"/>
        <v>111</v>
      </c>
      <c r="R39" s="667" t="s">
        <v>14</v>
      </c>
      <c r="S39" s="668">
        <f t="shared" si="10"/>
        <v>100</v>
      </c>
      <c r="T39" s="667" t="s">
        <v>14</v>
      </c>
      <c r="U39" s="668">
        <f t="shared" si="11"/>
        <v>100</v>
      </c>
      <c r="V39" s="667" t="s">
        <v>14</v>
      </c>
      <c r="W39" s="668">
        <f t="shared" si="12"/>
        <v>100</v>
      </c>
      <c r="X39" s="1265"/>
      <c r="Y39" s="3435"/>
      <c r="Z39" s="1264">
        <f t="shared" si="13"/>
        <v>111</v>
      </c>
      <c r="AA39" s="1264">
        <f t="shared" si="3"/>
        <v>1</v>
      </c>
      <c r="AB39" s="1264">
        <f t="shared" si="4"/>
        <v>1</v>
      </c>
      <c r="AC39" s="1264">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5"/>
      <c r="Q40" s="1263">
        <f t="shared" si="14"/>
        <v>111</v>
      </c>
      <c r="R40" s="669" t="s">
        <v>14</v>
      </c>
      <c r="S40" s="670">
        <f t="shared" si="10"/>
        <v>100</v>
      </c>
      <c r="T40" s="669" t="s">
        <v>14</v>
      </c>
      <c r="U40" s="670">
        <f t="shared" si="11"/>
        <v>100</v>
      </c>
      <c r="V40" s="669" t="s">
        <v>14</v>
      </c>
      <c r="W40" s="670">
        <f t="shared" si="12"/>
        <v>100</v>
      </c>
      <c r="X40" s="671"/>
      <c r="Y40" s="3435"/>
      <c r="Z40" s="672">
        <f t="shared" si="13"/>
        <v>111</v>
      </c>
      <c r="AA40" s="1264">
        <f t="shared" si="3"/>
        <v>1</v>
      </c>
      <c r="AB40" s="1264">
        <f t="shared" si="4"/>
        <v>1</v>
      </c>
      <c r="AC40" s="1264">
        <f t="shared" si="5"/>
        <v>1</v>
      </c>
    </row>
    <row r="41" spans="1:31" ht="15">
      <c r="A41" s="416" t="s">
        <v>1844</v>
      </c>
      <c r="B41" s="1827" t="s">
        <v>1922</v>
      </c>
      <c r="C41" s="602" t="s">
        <v>0</v>
      </c>
      <c r="D41" s="418"/>
      <c r="E41" s="419"/>
      <c r="F41" s="420"/>
      <c r="G41" s="421"/>
      <c r="H41" s="422"/>
      <c r="I41" s="419"/>
      <c r="J41" s="422"/>
      <c r="K41" s="674"/>
      <c r="L41" s="2492"/>
      <c r="M41" s="2485"/>
      <c r="N41" s="2485"/>
      <c r="O41" s="2485"/>
      <c r="P41" s="3429" t="str">
        <f>A41</f>
        <v>成交单价</v>
      </c>
      <c r="Q41" s="3429"/>
      <c r="R41" s="3424">
        <f>E41</f>
        <v>0</v>
      </c>
      <c r="S41" s="3424"/>
      <c r="T41" s="3424">
        <f>G41</f>
        <v>0</v>
      </c>
      <c r="U41" s="3424"/>
      <c r="V41" s="3424">
        <f>I41</f>
        <v>0</v>
      </c>
      <c r="W41" s="3424"/>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29" t="str">
        <f>A42</f>
        <v>比较价值（元/平方米）</v>
      </c>
      <c r="Q42" s="3429"/>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26" t="str">
        <f>A43</f>
        <v>估价对象XX用房的比较价值（楼面单价，元/平方米）</v>
      </c>
      <c r="Q43" s="3427"/>
      <c r="R43" s="3457" t="e">
        <f>ROUND(IF(D42="简单平均",AVERAGE(R42:W42),R42*F42+T42*H42+V42*J42),0)</f>
        <v>#DIV/0!</v>
      </c>
      <c r="S43" s="3457"/>
      <c r="T43" s="3457"/>
      <c r="U43" s="3457"/>
      <c r="V43" s="3457"/>
      <c r="W43" s="345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412" t="s">
        <v>1887</v>
      </c>
      <c r="H50" s="3458"/>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89.91</v>
      </c>
      <c r="F51" s="611" t="e">
        <f t="shared" ref="F51:F60" si="15">ROUND(B51*E51/10000,0)</f>
        <v>#DIV/0!</v>
      </c>
      <c r="G51" s="3411"/>
      <c r="H51" s="342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F54" sqref="F5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估价结果一览表（市场价值不需“结果表-1”）</v>
      </c>
      <c r="B3" s="3189"/>
      <c r="C3" s="3189"/>
      <c r="D3" s="3189"/>
      <c r="E3" s="3189"/>
    </row>
    <row r="4" spans="1:5" ht="19.5" thickBot="1">
      <c r="A4" s="1391"/>
      <c r="B4" s="3187" t="s">
        <v>917</v>
      </c>
      <c r="C4" s="3187"/>
      <c r="D4" s="3187"/>
      <c r="E4" s="1391"/>
    </row>
    <row r="5" spans="1:5" ht="16.5" thickTop="1">
      <c r="B5" s="3185" t="s">
        <v>909</v>
      </c>
      <c r="C5" s="1392" t="s">
        <v>910</v>
      </c>
      <c r="D5" s="797" t="e">
        <f ca="1">结果表!H101</f>
        <v>#REF!</v>
      </c>
    </row>
    <row r="6" spans="1:5" ht="15.75">
      <c r="B6" s="3185"/>
      <c r="C6" s="1392" t="s">
        <v>911</v>
      </c>
      <c r="D6" s="797" t="e">
        <f ca="1">NUMBERSTRING(INT(D5*10000),2)&amp;"元整"</f>
        <v>#REF!</v>
      </c>
    </row>
    <row r="7" spans="1:5" ht="15.75">
      <c r="B7" s="3190"/>
      <c r="C7" s="1393" t="s">
        <v>912</v>
      </c>
      <c r="D7" s="798" t="e">
        <f ca="1">结果表!H102</f>
        <v>#REF!</v>
      </c>
    </row>
    <row r="8" spans="1:5" ht="15.75">
      <c r="B8" s="3191" t="str">
        <f>结果表!E103</f>
        <v>2.估价师知悉的法定优先受偿款</v>
      </c>
      <c r="C8" s="1394" t="s">
        <v>913</v>
      </c>
      <c r="D8" s="798">
        <f>结果表!H103</f>
        <v>0</v>
      </c>
    </row>
    <row r="9" spans="1:5" ht="15.75">
      <c r="B9" s="319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4" t="str">
        <f>结果表!E107</f>
        <v>3.房地产抵押价值</v>
      </c>
      <c r="C13" s="1397" t="s">
        <v>910</v>
      </c>
      <c r="D13" s="800" t="e">
        <f ca="1">结果表!H107</f>
        <v>#REF!</v>
      </c>
    </row>
    <row r="14" spans="1:5" ht="15.75">
      <c r="B14" s="3185"/>
      <c r="C14" s="1392" t="s">
        <v>911</v>
      </c>
      <c r="D14" s="797" t="e">
        <f ca="1">NUMBERSTRING(INT(D13*10000),2)&amp;"元整"</f>
        <v>#REF!</v>
      </c>
    </row>
    <row r="15" spans="1:5" ht="15">
      <c r="B15" s="3190"/>
      <c r="C15" s="1393" t="s">
        <v>921</v>
      </c>
      <c r="D15" s="806" t="e">
        <f ca="1">结果表!H108</f>
        <v>#REF!</v>
      </c>
    </row>
    <row r="16" spans="1:5" ht="15">
      <c r="B16" s="3191" t="str">
        <f>结果表!E109</f>
        <v>——</v>
      </c>
      <c r="C16" s="1397" t="s">
        <v>922</v>
      </c>
      <c r="D16" s="1398" t="str">
        <f>结果表!H109</f>
        <v>——</v>
      </c>
    </row>
    <row r="17" spans="1:5" ht="15.75">
      <c r="B17" s="3192"/>
      <c r="C17" s="1392" t="s">
        <v>923</v>
      </c>
      <c r="D17" s="797" t="e">
        <f>NUMBERSTRING(INT(D16*10000),2)&amp;"元整"</f>
        <v>#VALUE!</v>
      </c>
    </row>
    <row r="18" spans="1:5" ht="15">
      <c r="B18" s="3193"/>
      <c r="C18" s="1393" t="s">
        <v>912</v>
      </c>
      <c r="D18" s="806" t="str">
        <f>结果表!H110</f>
        <v>——</v>
      </c>
    </row>
    <row r="19" spans="1:5" ht="15.75">
      <c r="B19" s="3184" t="str">
        <f>结果表!E111</f>
        <v>——</v>
      </c>
      <c r="C19" s="1397" t="s">
        <v>910</v>
      </c>
      <c r="D19" s="798" t="str">
        <f>结果表!H111</f>
        <v>——</v>
      </c>
    </row>
    <row r="20" spans="1:5" ht="15.75">
      <c r="B20" s="3185"/>
      <c r="C20" s="1392" t="s">
        <v>923</v>
      </c>
      <c r="D20" s="797" t="e">
        <f>NUMBERSTRING(INT(D19*10000),2)&amp;"元整"</f>
        <v>#VALUE!</v>
      </c>
    </row>
    <row r="21" spans="1:5" ht="15.75" thickBot="1">
      <c r="B21" s="318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F54" sqref="F54"/>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3" t="s">
        <v>1941</v>
      </c>
      <c r="D3" s="162" t="s">
        <v>1942</v>
      </c>
      <c r="E3" s="3116"/>
      <c r="F3" s="1845"/>
      <c r="G3" s="708">
        <f>IF(F3="宗地容积率",'数据-汇总表'!I4,IF(F3="估价对象容积率",'数据-汇总表'!I6,'数据-汇总表'!I7))</f>
        <v>2.5</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76"/>
      <c r="B4" s="3477"/>
      <c r="C4" s="3477"/>
      <c r="D4" s="3478"/>
      <c r="E4" s="3478"/>
      <c r="F4" s="3478"/>
      <c r="G4" s="3478"/>
      <c r="H4" s="3478"/>
      <c r="I4" s="3478"/>
      <c r="J4" s="3479"/>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75"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75"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75" thickBot="1">
      <c r="A7" s="3010" t="s">
        <v>3236</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2.5</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75"/>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7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3237</v>
      </c>
      <c r="B12" s="3011" t="s">
        <v>3238</v>
      </c>
      <c r="C12" s="3012"/>
      <c r="D12" s="3013" t="s">
        <v>3239</v>
      </c>
      <c r="E12" s="3014" t="s">
        <v>3240</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3241</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0" t="s">
        <v>1985</v>
      </c>
      <c r="C14" s="1881"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3243</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3244</v>
      </c>
      <c r="B17" s="3025" t="s">
        <v>3245</v>
      </c>
      <c r="C17" s="3034">
        <f>ROUND(IF(OR(E2="工业",E2="公共服务"),1,IF(AND(E18=0,E19=0),1,IF(AND(E18=J24,E19=G19),0.8,IF(E19=0,1+E17*(-0.2),1+E17*G17*(-0.2))))),4)</f>
        <v>1</v>
      </c>
      <c r="D17" s="3026" t="s">
        <v>3246</v>
      </c>
      <c r="E17" s="3034" t="e">
        <f>ROUND(G18/I18,2)</f>
        <v>#DIV/0!</v>
      </c>
      <c r="F17" s="3026" t="s">
        <v>3249</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6"/>
      <c r="B18" s="2307"/>
      <c r="C18" s="3032"/>
      <c r="D18" s="3027" t="s">
        <v>3247</v>
      </c>
      <c r="E18" s="2354"/>
      <c r="F18" s="3028" t="s">
        <v>3250</v>
      </c>
      <c r="G18" s="3032">
        <f>ROUND(1-(1/(POWER(1+G24,E18))),4)</f>
        <v>0</v>
      </c>
      <c r="H18" s="3028" t="s">
        <v>3252</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5" thickBot="1">
      <c r="A19" s="3038"/>
      <c r="B19" s="3039"/>
      <c r="C19" s="3040"/>
      <c r="D19" s="3040" t="s">
        <v>3248</v>
      </c>
      <c r="E19" s="3041"/>
      <c r="F19" s="3042" t="s">
        <v>3251</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4.25">
      <c r="A20" s="3480" t="s">
        <v>3253</v>
      </c>
      <c r="B20" s="159" t="s">
        <v>1994</v>
      </c>
      <c r="C20" s="3029" t="e">
        <f>ROUND(IF(F21="与级别开发程度一致",0,(G21-E21)/C21),0)</f>
        <v>#DIV/0!</v>
      </c>
      <c r="D20" s="3044" t="s">
        <v>1998</v>
      </c>
      <c r="E20" s="3045"/>
      <c r="F20" s="3486" t="s">
        <v>1995</v>
      </c>
      <c r="G20" s="3487"/>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5" thickBot="1">
      <c r="A21" s="3481"/>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7">
        <v>44197</v>
      </c>
      <c r="F23" s="1893" t="s">
        <v>2003</v>
      </c>
      <c r="G23" s="718">
        <f>'数据-取费表'!B2</f>
        <v>45749</v>
      </c>
      <c r="H23" s="3046" t="s">
        <v>3255</v>
      </c>
      <c r="I23" s="3047" t="str">
        <f>IF(H23="季度增幅（自定义）",SUMIF(N25:N28,E2,O25:O28),"")</f>
        <v/>
      </c>
      <c r="J23" s="3139" t="s">
        <v>3254</v>
      </c>
      <c r="K23" s="1061"/>
      <c r="L23" s="1894" t="s">
        <v>2004</v>
      </c>
      <c r="M23" s="1241">
        <f>ROUND(SUMIF(地价!B2:G2,E2,地价!B16:G16),0)</f>
        <v>0</v>
      </c>
      <c r="N23" s="1895"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t="e">
        <f>ROUND(POWER(1+G24,J24-I24)*(POWER(1+G24,I24)-1)/(POWER(1+G24,J24)-1),4)</f>
        <v>#DIV/0!</v>
      </c>
      <c r="D24" s="1899" t="s">
        <v>2007</v>
      </c>
      <c r="E24" s="1248">
        <f>存贷款利率!E27/100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3334</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3256</v>
      </c>
      <c r="D26" s="1263">
        <f>IF(E26=G26,F26,IF(G3&lt;10,ROUND(F26+(H26-F26)*(G3-E26)/(G26-E26),4),"——"))</f>
        <v>0</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61"/>
      <c r="L26" s="2550"/>
      <c r="M26" s="2550"/>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t="e">
        <f>ROUND(C5*C22*C23*C24*C25*C28,0)</f>
        <v>#DIV/0!</v>
      </c>
      <c r="D33" s="1937"/>
      <c r="E33" s="727" t="e">
        <f>ROUND(C33*D33/10000,0)</f>
        <v>#DIV/0!</v>
      </c>
      <c r="F33" s="3048" t="s">
        <v>3259</v>
      </c>
      <c r="G33" s="1938"/>
      <c r="H33" s="1938"/>
      <c r="I33" s="1938"/>
      <c r="J33" s="1939"/>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3260</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84"/>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3265</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85"/>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85"/>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3266</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3268</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3268</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36">
      <c r="A74" s="3068" t="s">
        <v>3268</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4.25">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5.5">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5.5">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24">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25.5">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24.75"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8.25">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38.25">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36">
      <c r="A85" s="3068" t="s">
        <v>3269</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2611</v>
      </c>
      <c r="B91" s="3077">
        <f>1+E93</f>
        <v>1</v>
      </c>
      <c r="C91" s="3070"/>
      <c r="D91" s="3071"/>
      <c r="E91" s="1675"/>
      <c r="F91" s="1675"/>
      <c r="G91" s="3072"/>
      <c r="H91" s="3073"/>
      <c r="I91" s="3074"/>
      <c r="J91" s="3075"/>
      <c r="K91" s="3075"/>
      <c r="L91" s="3075"/>
      <c r="M91" s="3075"/>
      <c r="N91" s="3075"/>
    </row>
    <row r="92" spans="1:37" ht="24.75">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3268</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3273</v>
      </c>
      <c r="B96" s="3084" t="s">
        <v>3284</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24">
      <c r="A98" s="3078" t="s">
        <v>3275</v>
      </c>
      <c r="B98" s="3085" t="s">
        <v>3285</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5.5">
      <c r="A99" s="3078" t="s">
        <v>3276</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5.5">
      <c r="A100" s="3078" t="s">
        <v>3277</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3278</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2" t="s">
        <v>3293</v>
      </c>
      <c r="B103" s="3482"/>
      <c r="C103" s="3482"/>
      <c r="D103" s="3482"/>
      <c r="E103" s="3482"/>
      <c r="F103" s="3482"/>
      <c r="G103" s="3482"/>
      <c r="H103" s="3482"/>
      <c r="I103" s="3482"/>
      <c r="J103" s="3482"/>
      <c r="K103" s="1667"/>
      <c r="L103" s="1667"/>
      <c r="M103" s="1667"/>
      <c r="N103" s="1667"/>
    </row>
    <row r="104" spans="1:14">
      <c r="A104" s="3483" t="s">
        <v>3294</v>
      </c>
      <c r="B104" s="3483" t="s">
        <v>3295</v>
      </c>
      <c r="C104" s="3088" t="s">
        <v>3296</v>
      </c>
      <c r="D104" s="3089"/>
      <c r="E104" s="3089"/>
      <c r="F104" s="3089"/>
      <c r="G104" s="3089"/>
      <c r="H104" s="3089"/>
      <c r="I104" s="3089"/>
      <c r="J104" s="3090"/>
      <c r="K104" s="3091"/>
      <c r="L104" s="3091"/>
      <c r="M104" s="3091"/>
      <c r="N104" s="3091"/>
    </row>
    <row r="105" spans="1:14">
      <c r="A105" s="3483"/>
      <c r="B105" s="3483"/>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9"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0"/>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2" t="s">
        <v>3310</v>
      </c>
      <c r="B113" s="3472"/>
      <c r="C113" s="3472"/>
      <c r="D113" s="3472"/>
      <c r="E113" s="3472"/>
      <c r="F113" s="3472"/>
      <c r="G113" s="3472"/>
      <c r="H113" s="3472"/>
      <c r="I113" s="3472"/>
      <c r="J113" s="3472"/>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3311</v>
      </c>
      <c r="B116" s="3112">
        <f>G3</f>
        <v>2.5</v>
      </c>
      <c r="C116" s="3097" t="s">
        <v>3312</v>
      </c>
      <c r="D116" s="3098">
        <f>SUMPRODUCT((A118:A122=F116)*(B117:M117=H116)*B118:M122)</f>
        <v>0</v>
      </c>
      <c r="E116" s="162" t="s">
        <v>3313</v>
      </c>
      <c r="F116" s="3099">
        <f>E2</f>
        <v>0</v>
      </c>
      <c r="G116" s="162" t="s">
        <v>3314</v>
      </c>
      <c r="H116" s="3099">
        <f>G2</f>
        <v>0</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5"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495" t="s">
        <v>2606</v>
      </c>
      <c r="B20" s="3488" t="s">
        <v>2627</v>
      </c>
      <c r="C20" s="2840" t="s">
        <v>2438</v>
      </c>
      <c r="D20" s="2841"/>
      <c r="E20" s="2842">
        <v>1</v>
      </c>
      <c r="F20" s="2843" t="s">
        <v>2439</v>
      </c>
      <c r="G20" s="2843"/>
    </row>
    <row r="21" spans="1:13" ht="19.5" customHeight="1">
      <c r="A21" s="3496"/>
      <c r="B21" s="3489"/>
      <c r="C21" s="2844" t="s">
        <v>2440</v>
      </c>
      <c r="D21" s="2845"/>
      <c r="E21" s="2846">
        <v>1</v>
      </c>
      <c r="F21" s="2843" t="s">
        <v>2441</v>
      </c>
      <c r="G21" s="2843"/>
    </row>
    <row r="22" spans="1:13" ht="19.5" customHeight="1">
      <c r="A22" s="3496"/>
      <c r="B22" s="3489"/>
      <c r="C22" s="2844" t="s">
        <v>2442</v>
      </c>
      <c r="D22" s="2845"/>
      <c r="E22" s="2846">
        <v>0.9</v>
      </c>
      <c r="F22" s="2843" t="s">
        <v>2443</v>
      </c>
      <c r="G22" s="2843"/>
    </row>
    <row r="23" spans="1:13" ht="19.5" customHeight="1">
      <c r="A23" s="3496"/>
      <c r="B23" s="3489"/>
      <c r="C23" s="2844" t="s">
        <v>2444</v>
      </c>
      <c r="D23" s="2845"/>
      <c r="E23" s="2846">
        <v>0.9</v>
      </c>
      <c r="F23" s="2843" t="s">
        <v>2445</v>
      </c>
      <c r="G23" s="2843"/>
    </row>
    <row r="24" spans="1:13" ht="19.5" customHeight="1">
      <c r="A24" s="3496"/>
      <c r="B24" s="3489"/>
      <c r="C24" s="2844" t="s">
        <v>2446</v>
      </c>
      <c r="D24" s="2845"/>
      <c r="E24" s="2846">
        <v>0.8</v>
      </c>
      <c r="F24" s="2843" t="s">
        <v>2447</v>
      </c>
      <c r="G24" s="2843"/>
    </row>
    <row r="25" spans="1:13" ht="19.5" customHeight="1" thickBot="1">
      <c r="A25" s="3497"/>
      <c r="B25" s="3490"/>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91" t="s">
        <v>2630</v>
      </c>
      <c r="B27" s="3488" t="s">
        <v>2611</v>
      </c>
      <c r="C27" s="2840" t="s">
        <v>2451</v>
      </c>
      <c r="D27" s="2841"/>
      <c r="E27" s="2842">
        <v>1</v>
      </c>
      <c r="F27" s="2843" t="s">
        <v>2452</v>
      </c>
      <c r="G27" s="2843"/>
    </row>
    <row r="28" spans="1:13" ht="19.5" customHeight="1">
      <c r="A28" s="3492"/>
      <c r="B28" s="3489"/>
      <c r="C28" s="2844" t="s">
        <v>2453</v>
      </c>
      <c r="D28" s="2845"/>
      <c r="E28" s="2846">
        <v>1</v>
      </c>
      <c r="F28" s="2843" t="s">
        <v>2454</v>
      </c>
      <c r="G28" s="2843"/>
    </row>
    <row r="29" spans="1:13" ht="19.5" customHeight="1">
      <c r="A29" s="3492"/>
      <c r="B29" s="3489"/>
      <c r="C29" s="2844" t="s">
        <v>2455</v>
      </c>
      <c r="D29" s="2845"/>
      <c r="E29" s="2846">
        <v>0.8</v>
      </c>
      <c r="F29" s="2843" t="s">
        <v>2456</v>
      </c>
      <c r="G29" s="2843"/>
    </row>
    <row r="30" spans="1:13" ht="19.5" customHeight="1">
      <c r="A30" s="3492"/>
      <c r="B30" s="3489"/>
      <c r="C30" s="2844" t="s">
        <v>2457</v>
      </c>
      <c r="D30" s="2845"/>
      <c r="E30" s="2846">
        <v>0.8</v>
      </c>
      <c r="F30" s="2843" t="s">
        <v>2458</v>
      </c>
      <c r="G30" s="2843"/>
    </row>
    <row r="31" spans="1:13" ht="19.5" customHeight="1">
      <c r="A31" s="3492"/>
      <c r="B31" s="3489"/>
      <c r="C31" s="2844" t="s">
        <v>2459</v>
      </c>
      <c r="D31" s="2845"/>
      <c r="E31" s="2846">
        <v>0.8</v>
      </c>
      <c r="F31" s="2843" t="s">
        <v>2460</v>
      </c>
      <c r="G31" s="2843"/>
    </row>
    <row r="32" spans="1:13" ht="19.5" customHeight="1">
      <c r="A32" s="3492"/>
      <c r="B32" s="3489"/>
      <c r="C32" s="2844" t="s">
        <v>2461</v>
      </c>
      <c r="D32" s="2845"/>
      <c r="E32" s="2846">
        <v>0.7</v>
      </c>
      <c r="F32" s="2843" t="s">
        <v>2462</v>
      </c>
      <c r="G32" s="2843"/>
    </row>
    <row r="33" spans="1:7" ht="19.5" customHeight="1">
      <c r="A33" s="3492"/>
      <c r="B33" s="3489"/>
      <c r="C33" s="2844" t="s">
        <v>2463</v>
      </c>
      <c r="D33" s="2845"/>
      <c r="E33" s="2846">
        <v>0.8</v>
      </c>
      <c r="F33" s="2843" t="s">
        <v>2464</v>
      </c>
      <c r="G33" s="2843"/>
    </row>
    <row r="34" spans="1:7" ht="19.5" customHeight="1">
      <c r="A34" s="3492"/>
      <c r="B34" s="3489"/>
      <c r="C34" s="2844" t="s">
        <v>2465</v>
      </c>
      <c r="D34" s="2845"/>
      <c r="E34" s="2846">
        <v>0.6</v>
      </c>
      <c r="F34" s="2843" t="s">
        <v>2466</v>
      </c>
      <c r="G34" s="2843"/>
    </row>
    <row r="35" spans="1:7" ht="19.5" customHeight="1">
      <c r="A35" s="3492"/>
      <c r="B35" s="3489"/>
      <c r="C35" s="2844" t="s">
        <v>2467</v>
      </c>
      <c r="D35" s="2845"/>
      <c r="E35" s="2846">
        <v>0.2</v>
      </c>
      <c r="F35" s="2843" t="s">
        <v>2468</v>
      </c>
      <c r="G35" s="2843"/>
    </row>
    <row r="36" spans="1:7" ht="19.5" customHeight="1">
      <c r="A36" s="3492"/>
      <c r="B36" s="3489"/>
      <c r="C36" s="2844" t="s">
        <v>2469</v>
      </c>
      <c r="D36" s="2845"/>
      <c r="E36" s="2846">
        <v>0.2</v>
      </c>
      <c r="F36" s="2843" t="s">
        <v>2470</v>
      </c>
      <c r="G36" s="2843"/>
    </row>
    <row r="37" spans="1:7" ht="19.5" customHeight="1">
      <c r="A37" s="3492"/>
      <c r="B37" s="3494" t="s">
        <v>2631</v>
      </c>
      <c r="C37" s="2844" t="s">
        <v>2471</v>
      </c>
      <c r="D37" s="2845"/>
      <c r="E37" s="2846">
        <v>0.6</v>
      </c>
      <c r="F37" s="2843" t="s">
        <v>2472</v>
      </c>
      <c r="G37" s="2843"/>
    </row>
    <row r="38" spans="1:7" ht="19.5" customHeight="1">
      <c r="A38" s="3492"/>
      <c r="B38" s="3489"/>
      <c r="C38" s="2844" t="s">
        <v>2473</v>
      </c>
      <c r="D38" s="2845"/>
      <c r="E38" s="2846">
        <v>0.6</v>
      </c>
      <c r="F38" s="2843" t="s">
        <v>2474</v>
      </c>
      <c r="G38" s="2843"/>
    </row>
    <row r="39" spans="1:7" ht="19.5" customHeight="1" thickBot="1">
      <c r="A39" s="3493"/>
      <c r="B39" s="3490"/>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495" t="s">
        <v>2609</v>
      </c>
      <c r="B41" s="3488" t="s">
        <v>2633</v>
      </c>
      <c r="C41" s="2840" t="s">
        <v>2478</v>
      </c>
      <c r="D41" s="2841"/>
      <c r="E41" s="2842">
        <v>1</v>
      </c>
      <c r="F41" s="2843" t="s">
        <v>2479</v>
      </c>
      <c r="G41" s="2843"/>
    </row>
    <row r="42" spans="1:7" ht="19.5" customHeight="1">
      <c r="A42" s="3496"/>
      <c r="B42" s="3489"/>
      <c r="C42" s="2844" t="s">
        <v>2480</v>
      </c>
      <c r="D42" s="2845"/>
      <c r="E42" s="2846">
        <v>1</v>
      </c>
      <c r="F42" s="2843" t="s">
        <v>2481</v>
      </c>
      <c r="G42" s="2843"/>
    </row>
    <row r="43" spans="1:7" ht="19.5" customHeight="1">
      <c r="A43" s="3496"/>
      <c r="B43" s="3498"/>
      <c r="C43" s="2844" t="s">
        <v>2482</v>
      </c>
      <c r="D43" s="2845"/>
      <c r="E43" s="2846">
        <v>1.5</v>
      </c>
      <c r="F43" s="2843" t="s">
        <v>2483</v>
      </c>
      <c r="G43" s="2843"/>
    </row>
    <row r="44" spans="1:7" ht="19.5" customHeight="1">
      <c r="A44" s="3496"/>
      <c r="B44" s="2855" t="s">
        <v>2634</v>
      </c>
      <c r="C44" s="2844" t="s">
        <v>2635</v>
      </c>
      <c r="D44" s="2845"/>
      <c r="E44" s="2846">
        <v>2</v>
      </c>
      <c r="F44" s="2843" t="s">
        <v>2484</v>
      </c>
      <c r="G44" s="2843"/>
    </row>
    <row r="45" spans="1:7" ht="19.5" customHeight="1">
      <c r="A45" s="3496"/>
      <c r="B45" s="3494" t="s">
        <v>2636</v>
      </c>
      <c r="C45" s="2844" t="s">
        <v>2485</v>
      </c>
      <c r="D45" s="2845"/>
      <c r="E45" s="2846">
        <v>1</v>
      </c>
      <c r="F45" s="2843" t="s">
        <v>2486</v>
      </c>
      <c r="G45" s="2843"/>
    </row>
    <row r="46" spans="1:7" ht="19.5" customHeight="1">
      <c r="A46" s="3496"/>
      <c r="B46" s="3489"/>
      <c r="C46" s="2844" t="s">
        <v>2487</v>
      </c>
      <c r="D46" s="2845"/>
      <c r="E46" s="2846">
        <v>1</v>
      </c>
      <c r="F46" s="2843" t="s">
        <v>2488</v>
      </c>
      <c r="G46" s="2843"/>
    </row>
    <row r="47" spans="1:7" ht="19.5" customHeight="1">
      <c r="A47" s="3496"/>
      <c r="B47" s="3489"/>
      <c r="C47" s="2844" t="s">
        <v>2489</v>
      </c>
      <c r="D47" s="2845"/>
      <c r="E47" s="2846">
        <v>1</v>
      </c>
      <c r="F47" s="2843" t="s">
        <v>2490</v>
      </c>
      <c r="G47" s="2843"/>
    </row>
    <row r="48" spans="1:7" ht="19.5" customHeight="1">
      <c r="A48" s="3496"/>
      <c r="B48" s="3489"/>
      <c r="C48" s="2844" t="s">
        <v>2491</v>
      </c>
      <c r="D48" s="2845"/>
      <c r="E48" s="2846">
        <v>1</v>
      </c>
      <c r="F48" s="2843" t="s">
        <v>2492</v>
      </c>
      <c r="G48" s="2843"/>
    </row>
    <row r="49" spans="1:7" ht="19.5" customHeight="1">
      <c r="A49" s="3496"/>
      <c r="B49" s="3489"/>
      <c r="C49" s="2844" t="s">
        <v>2493</v>
      </c>
      <c r="D49" s="2845"/>
      <c r="E49" s="2846">
        <v>1</v>
      </c>
      <c r="F49" s="2843" t="s">
        <v>2494</v>
      </c>
      <c r="G49" s="2843"/>
    </row>
    <row r="50" spans="1:7" ht="19.5" customHeight="1">
      <c r="A50" s="3496"/>
      <c r="B50" s="3489"/>
      <c r="C50" s="2844" t="s">
        <v>2495</v>
      </c>
      <c r="D50" s="2845"/>
      <c r="E50" s="2846">
        <v>1</v>
      </c>
      <c r="F50" s="2843" t="s">
        <v>2496</v>
      </c>
      <c r="G50" s="2843"/>
    </row>
    <row r="51" spans="1:7" ht="19.5" customHeight="1" thickBot="1">
      <c r="A51" s="3497"/>
      <c r="B51" s="3490"/>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3.5">
      <c r="A72" s="2855"/>
      <c r="B72" s="2855"/>
      <c r="C72" s="2855" t="s">
        <v>2649</v>
      </c>
      <c r="D72" s="2855"/>
      <c r="E72" s="2855" t="s">
        <v>2620</v>
      </c>
      <c r="F72" s="2855" t="s">
        <v>2620</v>
      </c>
    </row>
    <row r="73" spans="1:7" ht="13.5">
      <c r="A73" s="2855">
        <v>1</v>
      </c>
      <c r="B73" s="3494" t="s">
        <v>2650</v>
      </c>
      <c r="C73" s="2829" t="s">
        <v>2651</v>
      </c>
      <c r="D73" s="2829" t="s">
        <v>2652</v>
      </c>
      <c r="E73" s="2855">
        <v>0.2</v>
      </c>
      <c r="F73" s="2855">
        <v>25</v>
      </c>
    </row>
    <row r="74" spans="1:7" ht="24">
      <c r="A74" s="2855">
        <v>2</v>
      </c>
      <c r="B74" s="3489"/>
      <c r="C74" s="2829" t="s">
        <v>2653</v>
      </c>
      <c r="D74" s="2829" t="s">
        <v>2654</v>
      </c>
      <c r="E74" s="2855">
        <v>0.2</v>
      </c>
      <c r="F74" s="2855">
        <v>25</v>
      </c>
    </row>
    <row r="75" spans="1:7" ht="24">
      <c r="A75" s="2855">
        <v>3</v>
      </c>
      <c r="B75" s="3489"/>
      <c r="C75" s="2829" t="s">
        <v>2655</v>
      </c>
      <c r="D75" s="2829" t="s">
        <v>2656</v>
      </c>
      <c r="E75" s="2855">
        <v>0.2</v>
      </c>
      <c r="F75" s="2855">
        <v>25</v>
      </c>
    </row>
    <row r="76" spans="1:7" ht="13.5">
      <c r="A76" s="2855">
        <v>4</v>
      </c>
      <c r="B76" s="3489"/>
      <c r="C76" s="2829" t="s">
        <v>2657</v>
      </c>
      <c r="D76" s="2829" t="s">
        <v>2658</v>
      </c>
      <c r="E76" s="2855">
        <v>0.15</v>
      </c>
      <c r="F76" s="2855">
        <v>20</v>
      </c>
    </row>
    <row r="77" spans="1:7" ht="24">
      <c r="A77" s="2855">
        <v>5</v>
      </c>
      <c r="B77" s="3489"/>
      <c r="C77" s="2829" t="s">
        <v>2659</v>
      </c>
      <c r="D77" s="2829" t="s">
        <v>2660</v>
      </c>
      <c r="E77" s="2855">
        <v>0.15</v>
      </c>
      <c r="F77" s="2855">
        <v>20</v>
      </c>
    </row>
    <row r="78" spans="1:7" ht="24">
      <c r="A78" s="2855">
        <v>6</v>
      </c>
      <c r="B78" s="3489"/>
      <c r="C78" s="2829" t="s">
        <v>2661</v>
      </c>
      <c r="D78" s="2829" t="s">
        <v>2662</v>
      </c>
      <c r="E78" s="2855">
        <v>0.15</v>
      </c>
      <c r="F78" s="2855">
        <v>20</v>
      </c>
    </row>
    <row r="79" spans="1:7" ht="24">
      <c r="A79" s="2855">
        <v>7</v>
      </c>
      <c r="B79" s="3489"/>
      <c r="C79" s="2829" t="s">
        <v>2663</v>
      </c>
      <c r="D79" s="2829" t="s">
        <v>2664</v>
      </c>
      <c r="E79" s="2855">
        <v>0.15</v>
      </c>
      <c r="F79" s="2855">
        <v>20</v>
      </c>
    </row>
    <row r="80" spans="1:7" ht="24">
      <c r="A80" s="2855">
        <v>8</v>
      </c>
      <c r="B80" s="3489"/>
      <c r="C80" s="2829" t="s">
        <v>2665</v>
      </c>
      <c r="D80" s="2829" t="s">
        <v>2666</v>
      </c>
      <c r="E80" s="2855">
        <v>0.1</v>
      </c>
      <c r="F80" s="2855">
        <v>15</v>
      </c>
    </row>
    <row r="81" spans="1:6" ht="24">
      <c r="A81" s="2855">
        <v>9</v>
      </c>
      <c r="B81" s="3489"/>
      <c r="C81" s="2829" t="s">
        <v>2667</v>
      </c>
      <c r="D81" s="2829" t="s">
        <v>2668</v>
      </c>
      <c r="E81" s="2855">
        <v>0.1</v>
      </c>
      <c r="F81" s="2855">
        <v>15</v>
      </c>
    </row>
    <row r="82" spans="1:6" ht="24">
      <c r="A82" s="2855">
        <v>10</v>
      </c>
      <c r="B82" s="3489"/>
      <c r="C82" s="2829" t="s">
        <v>2669</v>
      </c>
      <c r="D82" s="2829" t="s">
        <v>2670</v>
      </c>
      <c r="E82" s="2855">
        <v>0.1</v>
      </c>
      <c r="F82" s="2855">
        <v>15</v>
      </c>
    </row>
    <row r="83" spans="1:6" ht="24">
      <c r="A83" s="2855">
        <v>11</v>
      </c>
      <c r="B83" s="3489"/>
      <c r="C83" s="2829" t="s">
        <v>2671</v>
      </c>
      <c r="D83" s="2829" t="s">
        <v>2672</v>
      </c>
      <c r="E83" s="2855">
        <v>0.1</v>
      </c>
      <c r="F83" s="2855">
        <v>15</v>
      </c>
    </row>
    <row r="84" spans="1:6" ht="24">
      <c r="A84" s="2855">
        <v>12</v>
      </c>
      <c r="B84" s="3489"/>
      <c r="C84" s="2829" t="s">
        <v>2673</v>
      </c>
      <c r="D84" s="2829" t="s">
        <v>2674</v>
      </c>
      <c r="E84" s="2855">
        <v>0.1</v>
      </c>
      <c r="F84" s="2855">
        <v>15</v>
      </c>
    </row>
    <row r="85" spans="1:6" ht="13.5">
      <c r="A85" s="2855">
        <v>13</v>
      </c>
      <c r="B85" s="3489"/>
      <c r="C85" s="2829" t="s">
        <v>2675</v>
      </c>
      <c r="D85" s="2829" t="s">
        <v>2676</v>
      </c>
      <c r="E85" s="2855">
        <v>0.1</v>
      </c>
      <c r="F85" s="2855">
        <v>15</v>
      </c>
    </row>
    <row r="86" spans="1:6" ht="13.5">
      <c r="A86" s="2855">
        <v>14</v>
      </c>
      <c r="B86" s="3489"/>
      <c r="C86" s="2829" t="s">
        <v>2677</v>
      </c>
      <c r="D86" s="2829" t="s">
        <v>2678</v>
      </c>
      <c r="E86" s="2855">
        <v>0.1</v>
      </c>
      <c r="F86" s="2855">
        <v>15</v>
      </c>
    </row>
    <row r="87" spans="1:6" ht="13.5">
      <c r="A87" s="2855">
        <v>15</v>
      </c>
      <c r="B87" s="3489"/>
      <c r="C87" s="2829" t="s">
        <v>2679</v>
      </c>
      <c r="D87" s="2829" t="s">
        <v>2680</v>
      </c>
      <c r="E87" s="2855">
        <v>0.1</v>
      </c>
      <c r="F87" s="2855">
        <v>15</v>
      </c>
    </row>
    <row r="88" spans="1:6" ht="24">
      <c r="A88" s="2855">
        <v>16</v>
      </c>
      <c r="B88" s="3489"/>
      <c r="C88" s="2829" t="s">
        <v>2681</v>
      </c>
      <c r="D88" s="2829" t="s">
        <v>2682</v>
      </c>
      <c r="E88" s="2855">
        <v>0.1</v>
      </c>
      <c r="F88" s="2855">
        <v>15</v>
      </c>
    </row>
    <row r="89" spans="1:6" ht="24">
      <c r="A89" s="2855">
        <v>17</v>
      </c>
      <c r="B89" s="3498"/>
      <c r="C89" s="2829" t="s">
        <v>2683</v>
      </c>
      <c r="D89" s="2829" t="s">
        <v>2684</v>
      </c>
      <c r="E89" s="2855">
        <v>0.1</v>
      </c>
      <c r="F89" s="2855">
        <v>15</v>
      </c>
    </row>
    <row r="90" spans="1:6" ht="13.5">
      <c r="A90" s="2855">
        <v>18</v>
      </c>
      <c r="B90" s="3494" t="s">
        <v>2685</v>
      </c>
      <c r="C90" s="2829" t="s">
        <v>2686</v>
      </c>
      <c r="D90" s="2829" t="s">
        <v>2687</v>
      </c>
      <c r="E90" s="2855">
        <v>0.2</v>
      </c>
      <c r="F90" s="2855">
        <v>25</v>
      </c>
    </row>
    <row r="91" spans="1:6" ht="24">
      <c r="A91" s="2855">
        <v>19</v>
      </c>
      <c r="B91" s="3489"/>
      <c r="C91" s="2829" t="s">
        <v>2688</v>
      </c>
      <c r="D91" s="2829" t="s">
        <v>2689</v>
      </c>
      <c r="E91" s="2855">
        <v>0.2</v>
      </c>
      <c r="F91" s="2855">
        <v>25</v>
      </c>
    </row>
    <row r="92" spans="1:6" ht="13.5">
      <c r="A92" s="2855">
        <v>20</v>
      </c>
      <c r="B92" s="3489"/>
      <c r="C92" s="2829" t="s">
        <v>2690</v>
      </c>
      <c r="D92" s="2829" t="s">
        <v>2691</v>
      </c>
      <c r="E92" s="2855">
        <v>0.15</v>
      </c>
      <c r="F92" s="2855">
        <v>20</v>
      </c>
    </row>
    <row r="93" spans="1:6" ht="13.5">
      <c r="A93" s="2855">
        <v>21</v>
      </c>
      <c r="B93" s="3489"/>
      <c r="C93" s="2829" t="s">
        <v>2692</v>
      </c>
      <c r="D93" s="2829" t="s">
        <v>2693</v>
      </c>
      <c r="E93" s="2855">
        <v>0.15</v>
      </c>
      <c r="F93" s="2855">
        <v>20</v>
      </c>
    </row>
    <row r="94" spans="1:6" ht="13.5">
      <c r="A94" s="2855">
        <v>22</v>
      </c>
      <c r="B94" s="3489"/>
      <c r="C94" s="2829" t="s">
        <v>2694</v>
      </c>
      <c r="D94" s="2829" t="s">
        <v>2695</v>
      </c>
      <c r="E94" s="2855">
        <v>0.15</v>
      </c>
      <c r="F94" s="2855">
        <v>20</v>
      </c>
    </row>
    <row r="95" spans="1:6" ht="36">
      <c r="A95" s="2855">
        <v>23</v>
      </c>
      <c r="B95" s="3489"/>
      <c r="C95" s="2829" t="s">
        <v>2696</v>
      </c>
      <c r="D95" s="2829" t="s">
        <v>2697</v>
      </c>
      <c r="E95" s="2855">
        <v>0.15</v>
      </c>
      <c r="F95" s="2855">
        <v>20</v>
      </c>
    </row>
    <row r="96" spans="1:6" ht="13.5">
      <c r="A96" s="2855">
        <v>24</v>
      </c>
      <c r="B96" s="3489"/>
      <c r="C96" s="2829" t="s">
        <v>2698</v>
      </c>
      <c r="D96" s="2829" t="s">
        <v>2699</v>
      </c>
      <c r="E96" s="2855">
        <v>0.1</v>
      </c>
      <c r="F96" s="2855">
        <v>15</v>
      </c>
    </row>
    <row r="97" spans="1:6" ht="13.5">
      <c r="A97" s="2855">
        <v>25</v>
      </c>
      <c r="B97" s="3489"/>
      <c r="C97" s="2829" t="s">
        <v>2700</v>
      </c>
      <c r="D97" s="2829" t="s">
        <v>2701</v>
      </c>
      <c r="E97" s="2855">
        <v>0.1</v>
      </c>
      <c r="F97" s="2855">
        <v>15</v>
      </c>
    </row>
    <row r="98" spans="1:6" ht="24">
      <c r="A98" s="2855">
        <v>26</v>
      </c>
      <c r="B98" s="3489"/>
      <c r="C98" s="2829" t="s">
        <v>2702</v>
      </c>
      <c r="D98" s="2829" t="s">
        <v>2703</v>
      </c>
      <c r="E98" s="2855">
        <v>0.1</v>
      </c>
      <c r="F98" s="2855">
        <v>15</v>
      </c>
    </row>
    <row r="99" spans="1:6" ht="24">
      <c r="A99" s="2855">
        <v>27</v>
      </c>
      <c r="B99" s="3489"/>
      <c r="C99" s="2829" t="s">
        <v>2704</v>
      </c>
      <c r="D99" s="2829" t="s">
        <v>2705</v>
      </c>
      <c r="E99" s="2855">
        <v>0.1</v>
      </c>
      <c r="F99" s="2855">
        <v>15</v>
      </c>
    </row>
    <row r="100" spans="1:6" ht="13.5">
      <c r="A100" s="2855">
        <v>28</v>
      </c>
      <c r="B100" s="3489"/>
      <c r="C100" s="2829" t="s">
        <v>2706</v>
      </c>
      <c r="D100" s="2829" t="s">
        <v>2707</v>
      </c>
      <c r="E100" s="2855">
        <v>0.1</v>
      </c>
      <c r="F100" s="2855">
        <v>15</v>
      </c>
    </row>
    <row r="101" spans="1:6" ht="13.5">
      <c r="A101" s="2855">
        <v>29</v>
      </c>
      <c r="B101" s="3489"/>
      <c r="C101" s="2829" t="s">
        <v>2708</v>
      </c>
      <c r="D101" s="2829" t="s">
        <v>2709</v>
      </c>
      <c r="E101" s="2855">
        <v>0.1</v>
      </c>
      <c r="F101" s="2855">
        <v>15</v>
      </c>
    </row>
    <row r="102" spans="1:6" ht="13.5">
      <c r="A102" s="2855">
        <v>30</v>
      </c>
      <c r="B102" s="3489"/>
      <c r="C102" s="2829" t="s">
        <v>2710</v>
      </c>
      <c r="D102" s="2829" t="s">
        <v>2711</v>
      </c>
      <c r="E102" s="2855">
        <v>0.1</v>
      </c>
      <c r="F102" s="2855">
        <v>15</v>
      </c>
    </row>
    <row r="103" spans="1:6" ht="24">
      <c r="A103" s="2855">
        <v>31</v>
      </c>
      <c r="B103" s="3489"/>
      <c r="C103" s="2829" t="s">
        <v>2712</v>
      </c>
      <c r="D103" s="2829" t="s">
        <v>2713</v>
      </c>
      <c r="E103" s="2855">
        <v>0.1</v>
      </c>
      <c r="F103" s="2855">
        <v>15</v>
      </c>
    </row>
    <row r="104" spans="1:6" ht="24">
      <c r="A104" s="2855">
        <v>32</v>
      </c>
      <c r="B104" s="3489"/>
      <c r="C104" s="2829" t="s">
        <v>2714</v>
      </c>
      <c r="D104" s="2829" t="s">
        <v>2715</v>
      </c>
      <c r="E104" s="2855">
        <v>0.1</v>
      </c>
      <c r="F104" s="2855">
        <v>15</v>
      </c>
    </row>
    <row r="105" spans="1:6" ht="24">
      <c r="A105" s="2855">
        <v>33</v>
      </c>
      <c r="B105" s="3489"/>
      <c r="C105" s="2829" t="s">
        <v>2716</v>
      </c>
      <c r="D105" s="2829" t="s">
        <v>2717</v>
      </c>
      <c r="E105" s="2855">
        <v>0.1</v>
      </c>
      <c r="F105" s="2855">
        <v>15</v>
      </c>
    </row>
    <row r="106" spans="1:6" ht="24">
      <c r="A106" s="2855">
        <v>34</v>
      </c>
      <c r="B106" s="3498"/>
      <c r="C106" s="2829" t="s">
        <v>2718</v>
      </c>
      <c r="D106" s="2829" t="s">
        <v>2719</v>
      </c>
      <c r="E106" s="2855">
        <v>0.1</v>
      </c>
      <c r="F106" s="2855">
        <v>15</v>
      </c>
    </row>
    <row r="107" spans="1:6" ht="24">
      <c r="A107" s="2855">
        <v>35</v>
      </c>
      <c r="B107" s="3494" t="s">
        <v>2720</v>
      </c>
      <c r="C107" s="2855" t="s">
        <v>2721</v>
      </c>
      <c r="D107" s="2829" t="s">
        <v>2722</v>
      </c>
      <c r="E107" s="2855">
        <v>0.15</v>
      </c>
      <c r="F107" s="2855">
        <v>20</v>
      </c>
    </row>
    <row r="108" spans="1:6" ht="13.5">
      <c r="A108" s="2855">
        <v>36</v>
      </c>
      <c r="B108" s="3489"/>
      <c r="C108" s="2855" t="s">
        <v>2723</v>
      </c>
      <c r="D108" s="2829" t="s">
        <v>2724</v>
      </c>
      <c r="E108" s="2855">
        <v>0.15</v>
      </c>
      <c r="F108" s="2855">
        <v>20</v>
      </c>
    </row>
    <row r="109" spans="1:6" ht="13.5">
      <c r="A109" s="2855">
        <v>37</v>
      </c>
      <c r="B109" s="3489"/>
      <c r="C109" s="2855" t="s">
        <v>2725</v>
      </c>
      <c r="D109" s="2829" t="s">
        <v>2726</v>
      </c>
      <c r="E109" s="2855">
        <v>0.15</v>
      </c>
      <c r="F109" s="2855">
        <v>20</v>
      </c>
    </row>
    <row r="110" spans="1:6" ht="13.5">
      <c r="A110" s="2855">
        <v>38</v>
      </c>
      <c r="B110" s="3489"/>
      <c r="C110" s="2855" t="s">
        <v>2727</v>
      </c>
      <c r="D110" s="2829" t="s">
        <v>2728</v>
      </c>
      <c r="E110" s="2855">
        <v>0.1</v>
      </c>
      <c r="F110" s="2855">
        <v>15</v>
      </c>
    </row>
    <row r="111" spans="1:6" ht="24">
      <c r="A111" s="2855">
        <v>39</v>
      </c>
      <c r="B111" s="3489"/>
      <c r="C111" s="2855" t="s">
        <v>2729</v>
      </c>
      <c r="D111" s="2829" t="s">
        <v>2730</v>
      </c>
      <c r="E111" s="2855">
        <v>0.1</v>
      </c>
      <c r="F111" s="2855">
        <v>15</v>
      </c>
    </row>
    <row r="112" spans="1:6" ht="24">
      <c r="A112" s="2855">
        <v>40</v>
      </c>
      <c r="B112" s="3498"/>
      <c r="C112" s="2855" t="s">
        <v>2731</v>
      </c>
      <c r="D112" s="2829" t="s">
        <v>2732</v>
      </c>
      <c r="E112" s="2855">
        <v>0.1</v>
      </c>
      <c r="F112" s="2855">
        <v>15</v>
      </c>
    </row>
    <row r="113" spans="1:6" ht="13.5">
      <c r="A113" s="2855">
        <v>41</v>
      </c>
      <c r="B113" s="3499" t="s">
        <v>2733</v>
      </c>
      <c r="C113" s="2855" t="s">
        <v>2734</v>
      </c>
      <c r="D113" s="2829" t="s">
        <v>2735</v>
      </c>
      <c r="E113" s="2855">
        <v>0.1</v>
      </c>
      <c r="F113" s="2855">
        <v>15</v>
      </c>
    </row>
    <row r="114" spans="1:6" ht="13.5">
      <c r="A114" s="2855">
        <v>42</v>
      </c>
      <c r="B114" s="3499"/>
      <c r="C114" s="2855" t="s">
        <v>2736</v>
      </c>
      <c r="D114" s="2829" t="s">
        <v>2737</v>
      </c>
      <c r="E114" s="2855">
        <v>0.1</v>
      </c>
      <c r="F114" s="2855">
        <v>15</v>
      </c>
    </row>
    <row r="115" spans="1:6" ht="24">
      <c r="A115" s="2855">
        <v>43</v>
      </c>
      <c r="B115" s="3499"/>
      <c r="C115" s="2855" t="s">
        <v>2738</v>
      </c>
      <c r="D115" s="2829" t="s">
        <v>2739</v>
      </c>
      <c r="E115" s="2855">
        <v>0.1</v>
      </c>
      <c r="F115" s="2855">
        <v>15</v>
      </c>
    </row>
    <row r="116" spans="1:6" ht="13.5">
      <c r="A116" s="2855">
        <v>44</v>
      </c>
      <c r="B116" s="3494" t="s">
        <v>2740</v>
      </c>
      <c r="C116" s="2855" t="s">
        <v>2741</v>
      </c>
      <c r="D116" s="2829" t="s">
        <v>2742</v>
      </c>
      <c r="E116" s="2855">
        <v>0.1</v>
      </c>
      <c r="F116" s="2855">
        <v>15</v>
      </c>
    </row>
    <row r="117" spans="1:6" ht="24">
      <c r="A117" s="2855">
        <v>45</v>
      </c>
      <c r="B117" s="3498"/>
      <c r="C117" s="2829" t="s">
        <v>2743</v>
      </c>
      <c r="D117" s="2829" t="s">
        <v>2744</v>
      </c>
      <c r="E117" s="2855">
        <v>0.1</v>
      </c>
      <c r="F117" s="2855">
        <v>15</v>
      </c>
    </row>
    <row r="118" spans="1:6" ht="24">
      <c r="A118" s="2855">
        <v>46</v>
      </c>
      <c r="B118" s="3494" t="s">
        <v>2745</v>
      </c>
      <c r="C118" s="2855" t="s">
        <v>2746</v>
      </c>
      <c r="D118" s="2829" t="s">
        <v>2747</v>
      </c>
      <c r="E118" s="2855">
        <v>0.1</v>
      </c>
      <c r="F118" s="2855">
        <v>15</v>
      </c>
    </row>
    <row r="119" spans="1:6" ht="24">
      <c r="A119" s="2855">
        <v>47</v>
      </c>
      <c r="B119" s="3498"/>
      <c r="C119" s="2855" t="s">
        <v>2748</v>
      </c>
      <c r="D119" s="2829" t="s">
        <v>2749</v>
      </c>
      <c r="E119" s="2855">
        <v>0.1</v>
      </c>
      <c r="F119" s="2855">
        <v>15</v>
      </c>
    </row>
    <row r="120" spans="1:6" ht="13.5">
      <c r="A120" s="2855">
        <v>48</v>
      </c>
      <c r="B120" s="3494" t="s">
        <v>2750</v>
      </c>
      <c r="C120" s="2855" t="s">
        <v>2751</v>
      </c>
      <c r="D120" s="2829" t="s">
        <v>2752</v>
      </c>
      <c r="E120" s="2855">
        <v>0.1</v>
      </c>
      <c r="F120" s="2855">
        <v>15</v>
      </c>
    </row>
    <row r="121" spans="1:6" ht="13.5">
      <c r="A121" s="2855">
        <v>49</v>
      </c>
      <c r="B121" s="3498"/>
      <c r="C121" s="2855" t="s">
        <v>2753</v>
      </c>
      <c r="D121" s="2829" t="s">
        <v>2754</v>
      </c>
      <c r="E121" s="2855">
        <v>0.1</v>
      </c>
      <c r="F121" s="2855">
        <v>15</v>
      </c>
    </row>
    <row r="122" spans="1:6" ht="24">
      <c r="A122" s="2855">
        <v>50</v>
      </c>
      <c r="B122" s="3499" t="s">
        <v>2755</v>
      </c>
      <c r="C122" s="2855" t="s">
        <v>2756</v>
      </c>
      <c r="D122" s="2829" t="s">
        <v>2757</v>
      </c>
      <c r="E122" s="2855">
        <v>0.1</v>
      </c>
      <c r="F122" s="2855">
        <v>15</v>
      </c>
    </row>
    <row r="123" spans="1:6" ht="24">
      <c r="A123" s="2855">
        <v>51</v>
      </c>
      <c r="B123" s="3499"/>
      <c r="C123" s="2855" t="s">
        <v>2758</v>
      </c>
      <c r="D123" s="2829" t="s">
        <v>2759</v>
      </c>
      <c r="E123" s="2855">
        <v>0.1</v>
      </c>
      <c r="F123" s="2855">
        <v>15</v>
      </c>
    </row>
    <row r="124" spans="1:6" ht="24">
      <c r="A124" s="2855">
        <v>52</v>
      </c>
      <c r="B124" s="3499" t="s">
        <v>2760</v>
      </c>
      <c r="C124" s="2855" t="s">
        <v>2761</v>
      </c>
      <c r="D124" s="2829" t="s">
        <v>2762</v>
      </c>
      <c r="E124" s="2855">
        <v>0.1</v>
      </c>
      <c r="F124" s="2855">
        <v>15</v>
      </c>
    </row>
    <row r="125" spans="1:6" ht="24">
      <c r="A125" s="2855">
        <v>53</v>
      </c>
      <c r="B125" s="3499"/>
      <c r="C125" s="2855" t="s">
        <v>2763</v>
      </c>
      <c r="D125" s="2829" t="s">
        <v>2764</v>
      </c>
      <c r="E125" s="2855">
        <v>0.1</v>
      </c>
      <c r="F125" s="2855">
        <v>15</v>
      </c>
    </row>
    <row r="126" spans="1:6" ht="13.5">
      <c r="A126" s="2855">
        <v>54</v>
      </c>
      <c r="B126" s="2855" t="s">
        <v>2765</v>
      </c>
      <c r="C126" s="2855" t="s">
        <v>2766</v>
      </c>
      <c r="D126" s="2829" t="s">
        <v>2767</v>
      </c>
      <c r="E126" s="2855">
        <v>0.1</v>
      </c>
      <c r="F126" s="2855">
        <v>15</v>
      </c>
    </row>
    <row r="127" spans="1:6" ht="13.5">
      <c r="A127" s="2855">
        <v>55</v>
      </c>
      <c r="B127" s="3499" t="s">
        <v>2768</v>
      </c>
      <c r="C127" s="2855" t="s">
        <v>2769</v>
      </c>
      <c r="D127" s="2829" t="s">
        <v>2770</v>
      </c>
      <c r="E127" s="2855">
        <v>0.1</v>
      </c>
      <c r="F127" s="2855">
        <v>15</v>
      </c>
    </row>
    <row r="128" spans="1:6" ht="13.5">
      <c r="A128" s="2855">
        <v>56</v>
      </c>
      <c r="B128" s="3499"/>
      <c r="C128" s="2855" t="s">
        <v>2771</v>
      </c>
      <c r="D128" s="2829" t="s">
        <v>2772</v>
      </c>
      <c r="E128" s="2855">
        <v>0.1</v>
      </c>
      <c r="F128" s="2855">
        <v>15</v>
      </c>
    </row>
    <row r="129" spans="1:6" ht="24">
      <c r="A129" s="2855">
        <v>57</v>
      </c>
      <c r="B129" s="3499"/>
      <c r="C129" s="2855" t="s">
        <v>2773</v>
      </c>
      <c r="D129" s="2829" t="s">
        <v>2774</v>
      </c>
      <c r="E129" s="2855">
        <v>0.1</v>
      </c>
      <c r="F129" s="2855">
        <v>15</v>
      </c>
    </row>
    <row r="130" spans="1:6" ht="24">
      <c r="A130" s="2855">
        <v>58</v>
      </c>
      <c r="B130" s="3499" t="s">
        <v>2775</v>
      </c>
      <c r="C130" s="2855" t="s">
        <v>2776</v>
      </c>
      <c r="D130" s="2829" t="s">
        <v>2777</v>
      </c>
      <c r="E130" s="2855">
        <v>0.1</v>
      </c>
      <c r="F130" s="2855">
        <v>15</v>
      </c>
    </row>
    <row r="131" spans="1:6" ht="13.5">
      <c r="A131" s="2855">
        <v>59</v>
      </c>
      <c r="B131" s="3499"/>
      <c r="C131" s="2855" t="s">
        <v>2778</v>
      </c>
      <c r="D131" s="2829" t="s">
        <v>2779</v>
      </c>
      <c r="E131" s="2855">
        <v>0.1</v>
      </c>
      <c r="F131" s="2855">
        <v>15</v>
      </c>
    </row>
    <row r="132" spans="1:6" ht="13.5">
      <c r="A132" s="2855">
        <v>60</v>
      </c>
      <c r="B132" s="3494" t="s">
        <v>2780</v>
      </c>
      <c r="C132" s="2855" t="s">
        <v>2781</v>
      </c>
      <c r="D132" s="2829" t="s">
        <v>2782</v>
      </c>
      <c r="E132" s="2855">
        <v>0.1</v>
      </c>
      <c r="F132" s="2855">
        <v>15</v>
      </c>
    </row>
    <row r="133" spans="1:6" ht="13.5">
      <c r="A133" s="2855">
        <v>61</v>
      </c>
      <c r="B133" s="3498"/>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13.5">
      <c r="A135" s="2855">
        <v>63</v>
      </c>
      <c r="B135" s="3499" t="s">
        <v>2788</v>
      </c>
      <c r="C135" s="2855" t="s">
        <v>2789</v>
      </c>
      <c r="D135" s="2829" t="s">
        <v>2790</v>
      </c>
      <c r="E135" s="2855">
        <v>0.1</v>
      </c>
      <c r="F135" s="2855">
        <v>15</v>
      </c>
    </row>
    <row r="136" spans="1:6" ht="13.5">
      <c r="A136" s="2855">
        <v>64</v>
      </c>
      <c r="B136" s="3499"/>
      <c r="C136" s="2855" t="s">
        <v>2791</v>
      </c>
      <c r="D136" s="2829" t="s">
        <v>2792</v>
      </c>
      <c r="E136" s="2855">
        <v>0.1</v>
      </c>
      <c r="F136" s="2855">
        <v>15</v>
      </c>
    </row>
    <row r="137" spans="1:6" ht="13.5">
      <c r="A137" s="2855">
        <v>65</v>
      </c>
      <c r="B137" s="2855" t="s">
        <v>2793</v>
      </c>
      <c r="C137" s="2855" t="s">
        <v>2794</v>
      </c>
      <c r="D137" s="2829" t="s">
        <v>2795</v>
      </c>
      <c r="E137" s="2855">
        <v>0.1</v>
      </c>
      <c r="F137" s="2855">
        <v>15</v>
      </c>
    </row>
    <row r="138" spans="1:6" ht="13.5">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28906</v>
      </c>
      <c r="C2" s="2" t="s">
        <v>106</v>
      </c>
      <c r="D2" s="191"/>
      <c r="E2" s="191"/>
      <c r="F2" s="191"/>
      <c r="G2" s="191"/>
    </row>
    <row r="3" spans="1:7" s="192" customFormat="1" ht="18" customHeight="1" thickBot="1">
      <c r="A3" s="195" t="s">
        <v>58</v>
      </c>
      <c r="B3" s="196">
        <f ca="1">ROUND(B2*10000/'数据-汇总表'!E3,0)</f>
        <v>3214993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89.91</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89.91</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4164</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4164</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28863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4" t="s">
        <v>353</v>
      </c>
      <c r="B37" s="207" t="s">
        <v>91</v>
      </c>
      <c r="C37" s="241">
        <f>ROUND(E37*D37*F34/10000,0)</f>
        <v>2</v>
      </c>
      <c r="D37" s="209">
        <f>'数据-汇总表'!E3</f>
        <v>89.91</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8.9999999999999998E-4</v>
      </c>
      <c r="D44" s="230"/>
      <c r="E44" s="230"/>
      <c r="F44" s="231"/>
      <c r="G44" s="3367"/>
    </row>
    <row r="45" spans="1:7" s="206" customFormat="1" ht="13.5" customHeight="1">
      <c r="A45" s="731" t="s">
        <v>341</v>
      </c>
      <c r="B45" s="236" t="s">
        <v>85</v>
      </c>
      <c r="C45" s="237">
        <f>C46</f>
        <v>8</v>
      </c>
      <c r="D45" s="227">
        <f>C47</f>
        <v>6.0000000000000001E-3</v>
      </c>
      <c r="E45" s="228" t="s">
        <v>102</v>
      </c>
      <c r="F45" s="238"/>
      <c r="G45" s="239" t="s">
        <v>434</v>
      </c>
    </row>
    <row r="46" spans="1:7" s="206" customFormat="1" ht="13.5" customHeight="1">
      <c r="A46" s="734" t="s">
        <v>349</v>
      </c>
      <c r="B46" s="240" t="s">
        <v>427</v>
      </c>
      <c r="C46" s="241">
        <f>ROUND((C33+C39)*F27,0)</f>
        <v>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52</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43</v>
      </c>
      <c r="D51" s="224"/>
      <c r="E51" s="224"/>
      <c r="F51" s="256"/>
      <c r="G51" s="226" t="s">
        <v>37</v>
      </c>
    </row>
    <row r="52" spans="1:7" s="200" customFormat="1" ht="16.5" thickBot="1">
      <c r="A52" s="257" t="s">
        <v>38</v>
      </c>
      <c r="B52" s="258"/>
      <c r="C52" s="259">
        <f ca="1">C31+C51</f>
        <v>28906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54" sqref="F54"/>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2" t="s">
        <v>2838</v>
      </c>
      <c r="B1" s="3502"/>
      <c r="C1" s="3502"/>
      <c r="D1" s="3502"/>
      <c r="E1" s="3502"/>
      <c r="F1" s="3502"/>
      <c r="G1" s="3503"/>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2"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00"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2" thickBot="1">
      <c r="A4" s="3501"/>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2"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2"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2"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2"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4" t="s">
        <v>3180</v>
      </c>
      <c r="B1" s="3504"/>
    </row>
    <row r="2" spans="1:7" ht="14.25" thickBot="1">
      <c r="A2" s="2966"/>
      <c r="B2" s="2966"/>
    </row>
    <row r="3" spans="1:7" ht="14.25" thickBot="1">
      <c r="A3" s="2966"/>
      <c r="B3" s="2966"/>
      <c r="C3" s="2967" t="s">
        <v>2810</v>
      </c>
      <c r="D3" s="2967" t="s">
        <v>2866</v>
      </c>
      <c r="E3" s="2967" t="s">
        <v>2812</v>
      </c>
      <c r="F3" s="2967" t="s">
        <v>2867</v>
      </c>
      <c r="G3" s="2967" t="s">
        <v>2630</v>
      </c>
    </row>
    <row r="4" spans="1:7" ht="14.2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4.2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4.2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4.2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4.2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4.2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4.2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4.2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4.2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4.2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4.2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1"/>
  </cols>
  <sheetData>
    <row r="1" spans="1:6">
      <c r="A1" s="3505" t="s">
        <v>3231</v>
      </c>
      <c r="B1" s="3505"/>
      <c r="C1" s="3505"/>
      <c r="D1" s="3505"/>
      <c r="E1" s="3505"/>
      <c r="F1" s="3506"/>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48"/>
  <sheetViews>
    <sheetView zoomScale="90" zoomScaleNormal="90" workbookViewId="0">
      <selection activeCell="F54" sqref="F54"/>
    </sheetView>
  </sheetViews>
  <sheetFormatPr defaultRowHeight="13.5"/>
  <cols>
    <col min="1" max="1" width="13.875" customWidth="1"/>
    <col min="11" max="17" width="0" hidden="1" customWidth="1"/>
    <col min="25" max="30" width="0" hidden="1" customWidth="1"/>
  </cols>
  <sheetData>
    <row r="1" spans="1:30">
      <c r="A1" s="2935">
        <f>基准地价修正!G23</f>
        <v>45749</v>
      </c>
      <c r="B1" s="2927" t="s">
        <v>3379</v>
      </c>
      <c r="C1" s="2928"/>
      <c r="D1" s="2928"/>
      <c r="E1" s="2928"/>
      <c r="F1" s="2928"/>
      <c r="G1" s="2928"/>
      <c r="H1" s="2928"/>
      <c r="I1" s="2928"/>
      <c r="J1" s="2894"/>
      <c r="K1" s="2928" t="s">
        <v>454</v>
      </c>
      <c r="L1" s="2928"/>
      <c r="M1" s="2928"/>
      <c r="N1" s="2928"/>
      <c r="O1" s="2928"/>
      <c r="P1" s="2928"/>
      <c r="Q1" s="2894"/>
      <c r="R1" s="3507" t="s">
        <v>456</v>
      </c>
      <c r="S1" s="3508"/>
      <c r="T1" s="3508"/>
      <c r="U1" s="3508"/>
      <c r="V1" s="3508"/>
      <c r="W1" s="3508"/>
      <c r="X1" s="2894"/>
      <c r="Y1" s="3507" t="s">
        <v>457</v>
      </c>
      <c r="Z1" s="3508"/>
      <c r="AA1" s="3508"/>
      <c r="AB1" s="3508"/>
      <c r="AC1" s="3508"/>
      <c r="AD1" s="3508"/>
    </row>
    <row r="2" spans="1:30" s="2007" customFormat="1" ht="14.2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2.75">
      <c r="A3" s="2882" t="s">
        <v>2818</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2.75">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3374</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3370</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3369</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3367</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3366</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3365</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3363</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3354</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2819</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2820</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2821</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2822</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3382</v>
      </c>
    </row>
    <row r="24" spans="1:30">
      <c r="I24" s="1405" t="s">
        <v>2824</v>
      </c>
    </row>
    <row r="26" spans="1:30" s="2006" customFormat="1" ht="12.75">
      <c r="B26" s="2927" t="s">
        <v>3380</v>
      </c>
      <c r="C26" s="2928"/>
      <c r="D26" s="2928"/>
      <c r="E26" s="2928"/>
      <c r="F26" s="2928"/>
      <c r="G26" s="2928"/>
      <c r="H26" s="2928"/>
      <c r="I26" s="2928"/>
      <c r="J26" s="2894"/>
      <c r="K26" s="2928" t="s">
        <v>2825</v>
      </c>
      <c r="L26" s="2928"/>
      <c r="M26" s="2928"/>
      <c r="N26" s="2928"/>
      <c r="O26" s="2928"/>
      <c r="P26" s="2928"/>
      <c r="Q26" s="2894"/>
      <c r="R26" s="3507" t="s">
        <v>2826</v>
      </c>
      <c r="S26" s="3508"/>
      <c r="T26" s="3508"/>
      <c r="U26" s="3508"/>
      <c r="V26" s="3508"/>
      <c r="W26" s="3508"/>
      <c r="X26" s="2894"/>
      <c r="Y26" s="3507" t="s">
        <v>2827</v>
      </c>
      <c r="Z26" s="3508"/>
      <c r="AA26" s="3508"/>
      <c r="AB26" s="3508"/>
      <c r="AC26" s="3508"/>
      <c r="AD26" s="3508"/>
    </row>
    <row r="27" spans="1:30" s="2007" customFormat="1" ht="14.25" thickBot="1">
      <c r="B27" s="2879"/>
      <c r="C27" s="2880"/>
      <c r="D27" s="2008" t="s">
        <v>2828</v>
      </c>
      <c r="E27" s="2009" t="s">
        <v>2829</v>
      </c>
      <c r="F27" s="2009" t="s">
        <v>2830</v>
      </c>
      <c r="G27" s="2009" t="s">
        <v>2831</v>
      </c>
      <c r="H27" s="2009"/>
      <c r="I27" s="2009" t="s">
        <v>2832</v>
      </c>
      <c r="J27" s="2881"/>
      <c r="K27" s="2008" t="s">
        <v>2828</v>
      </c>
      <c r="L27" s="2009" t="s">
        <v>2829</v>
      </c>
      <c r="M27" s="2009" t="s">
        <v>2830</v>
      </c>
      <c r="N27" s="2009" t="s">
        <v>2831</v>
      </c>
      <c r="O27" s="2009"/>
      <c r="P27" s="2009" t="s">
        <v>2832</v>
      </c>
      <c r="Q27" s="2881"/>
      <c r="R27" s="2008" t="s">
        <v>2828</v>
      </c>
      <c r="S27" s="2009" t="s">
        <v>2829</v>
      </c>
      <c r="T27" s="2009" t="s">
        <v>2830</v>
      </c>
      <c r="U27" s="2009" t="s">
        <v>2831</v>
      </c>
      <c r="V27" s="2009"/>
      <c r="W27" s="2009" t="s">
        <v>2832</v>
      </c>
      <c r="X27" s="2881"/>
      <c r="Y27" s="2008" t="s">
        <v>2828</v>
      </c>
      <c r="Z27" s="2009" t="s">
        <v>2829</v>
      </c>
      <c r="AA27" s="2009" t="s">
        <v>2830</v>
      </c>
      <c r="AB27" s="2009" t="s">
        <v>2831</v>
      </c>
      <c r="AC27" s="2009"/>
      <c r="AD27" s="2009" t="s">
        <v>2832</v>
      </c>
    </row>
    <row r="28" spans="1:30" s="2884" customFormat="1" ht="12.75">
      <c r="A28" s="2882" t="s">
        <v>2833</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2.75">
      <c r="A32" s="2037" t="s">
        <v>3372</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3373</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3371</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3369</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3368</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3366</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3365</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3364</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3354</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2834</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2835</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2836</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2837</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F54" sqref="F54"/>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1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0">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11">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0">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11">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7"/>
  <sheetViews>
    <sheetView workbookViewId="0">
      <selection activeCell="F54" sqref="F5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4" t="str">
        <f>IF(项目基本情况!B9="房地产市场价值","估价结果一览表","结果表-2")</f>
        <v>估价结果一览表</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房地产市场价值</v>
      </c>
      <c r="I2" s="3195"/>
    </row>
    <row r="3" spans="1:9" ht="15">
      <c r="A3" s="3196"/>
      <c r="B3" s="3196"/>
      <c r="C3" s="3196"/>
      <c r="D3" s="801" t="s">
        <v>925</v>
      </c>
      <c r="E3" s="801" t="s">
        <v>931</v>
      </c>
      <c r="F3" s="801" t="s">
        <v>925</v>
      </c>
      <c r="G3" s="801" t="s">
        <v>926</v>
      </c>
      <c r="H3" s="801" t="s">
        <v>925</v>
      </c>
      <c r="I3" s="801" t="s">
        <v>926</v>
      </c>
    </row>
    <row r="4" spans="1:9" ht="15">
      <c r="A4" s="1403" t="str">
        <f>项目基本情况!S2</f>
        <v>北京市房地产</v>
      </c>
      <c r="B4" s="801">
        <f>项目基本情况!C17</f>
        <v>89.91</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6" t="s">
        <v>927</v>
      </c>
      <c r="B5" s="3196"/>
      <c r="C5" s="3196"/>
      <c r="D5" s="3196" t="e">
        <f ca="1">结果表!D119</f>
        <v>#REF!</v>
      </c>
      <c r="E5" s="3196"/>
      <c r="F5" s="3196" t="e">
        <f ca="1">结果表!F119</f>
        <v>#REF!</v>
      </c>
      <c r="G5" s="3196"/>
      <c r="H5" s="3196" t="e">
        <f ca="1">结果表!H119</f>
        <v>#REF!</v>
      </c>
      <c r="I5" s="3196"/>
    </row>
    <row r="6" spans="1:9" ht="15.75">
      <c r="A6" s="3197" t="str">
        <f>结果表!A120</f>
        <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75">
      <c r="A8" s="3197" t="str">
        <f>结果表!A122</f>
        <v/>
      </c>
      <c r="B8" s="3197"/>
      <c r="C8" s="3197"/>
      <c r="D8" s="3197" t="e">
        <f ca="1">结果表!D122</f>
        <v>#REF!</v>
      </c>
      <c r="E8" s="3197"/>
      <c r="F8" s="3197"/>
      <c r="G8" s="3197"/>
      <c r="H8" s="3197"/>
      <c r="I8" s="3197"/>
    </row>
    <row r="9" spans="1:9" ht="15">
      <c r="A9" s="3196" t="s">
        <v>927</v>
      </c>
      <c r="B9" s="3196"/>
      <c r="C9" s="3196"/>
      <c r="D9" s="3196" t="e">
        <f ca="1">结果表!D123</f>
        <v>#REF!</v>
      </c>
      <c r="E9" s="3196"/>
      <c r="F9" s="3196"/>
      <c r="G9" s="3196"/>
      <c r="H9" s="3196"/>
      <c r="I9" s="3196"/>
    </row>
    <row r="10" spans="1:9" ht="15.75">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75">
      <c r="A12" s="3197" t="str">
        <f>结果表!A126</f>
        <v/>
      </c>
      <c r="B12" s="3197"/>
      <c r="C12" s="3197"/>
      <c r="D12" s="3197" t="str">
        <f>结果表!D126</f>
        <v>——</v>
      </c>
      <c r="E12" s="3197"/>
      <c r="F12" s="3197"/>
      <c r="G12" s="3197"/>
      <c r="H12" s="3197"/>
      <c r="I12" s="3197"/>
    </row>
    <row r="13" spans="1:9" ht="15.75" thickBot="1">
      <c r="A13" s="3201" t="s">
        <v>927</v>
      </c>
      <c r="B13" s="3201"/>
      <c r="C13" s="3201"/>
      <c r="D13" s="3201" t="e">
        <f>结果表!D127</f>
        <v>#VALUE!</v>
      </c>
      <c r="E13" s="3201"/>
      <c r="F13" s="3201"/>
      <c r="G13" s="3201"/>
      <c r="H13" s="3201"/>
      <c r="I13" s="3201"/>
    </row>
    <row r="14" spans="1:9" ht="15" thickTop="1">
      <c r="A14" s="3202" t="s">
        <v>932</v>
      </c>
      <c r="B14" s="3202"/>
      <c r="C14" s="3202"/>
      <c r="D14" s="3202"/>
      <c r="E14" s="3202"/>
      <c r="F14" s="3202"/>
      <c r="G14" s="3202"/>
      <c r="H14" s="3202"/>
      <c r="I14" s="320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3" t="s">
        <v>949</v>
      </c>
      <c r="B1" s="3203"/>
      <c r="C1" s="3203"/>
      <c r="D1" s="3203"/>
    </row>
    <row r="2" spans="1:4" ht="18">
      <c r="A2" s="3204" t="s">
        <v>933</v>
      </c>
      <c r="B2" s="3204"/>
      <c r="C2" s="3204"/>
      <c r="D2" s="320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4" t="s">
        <v>939</v>
      </c>
      <c r="B6" s="3204"/>
      <c r="C6" s="3204"/>
      <c r="D6" s="320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5"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6" t="str">
        <f>IF(项目基本情况!B8="抵押","3.抵押双方在办理抵押登记手续时，应使用本公司出具的正式《房地产评估报告》，特提醒报告使用者注意。","——")</f>
        <v>——</v>
      </c>
      <c r="B13" s="3207"/>
      <c r="C13" s="3207"/>
      <c r="D13" s="3207"/>
    </row>
    <row r="14" spans="1:4" ht="15.75" customHeight="1">
      <c r="A14" s="3206" t="str">
        <f>IF(项目基本情况!B8="抵押","4.本次评估估价师所知悉的法定优先受偿款情况说明如下：","——")</f>
        <v>——</v>
      </c>
      <c r="B14" s="3207"/>
      <c r="C14" s="3207"/>
      <c r="D14" s="3207"/>
    </row>
    <row r="15" spans="1:4" ht="42" customHeight="1">
      <c r="A15" s="3206" t="str">
        <f>IF(项目基本情况!B8="抵押","（1）"&amp;CONCATENATE(项目基本情况!L20,项目基本情况!L21,项目基本情况!L22),"——")</f>
        <v>——</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7" t="s">
        <v>956</v>
      </c>
      <c r="B15" s="3212" t="s">
        <v>109</v>
      </c>
      <c r="C15" s="3213"/>
    </row>
    <row r="16" spans="1:7" ht="13.5">
      <c r="A16" s="3218"/>
      <c r="B16" s="3212" t="s">
        <v>42</v>
      </c>
      <c r="C16" s="3213"/>
    </row>
    <row r="17" spans="1:3" ht="13.5">
      <c r="A17" s="3218"/>
      <c r="B17" s="3215" t="s">
        <v>957</v>
      </c>
      <c r="C17" s="1429" t="s">
        <v>956</v>
      </c>
    </row>
    <row r="18" spans="1:3" ht="13.5">
      <c r="A18" s="3218"/>
      <c r="B18" s="3215"/>
      <c r="C18" s="1429" t="s">
        <v>958</v>
      </c>
    </row>
    <row r="19" spans="1:3" ht="13.5">
      <c r="A19" s="3218"/>
      <c r="B19" s="3215"/>
      <c r="C19" s="1429" t="s">
        <v>959</v>
      </c>
    </row>
    <row r="20" spans="1:3" ht="13.5">
      <c r="A20" s="3219"/>
      <c r="B20" s="3214" t="s">
        <v>960</v>
      </c>
      <c r="C20" s="3213"/>
    </row>
    <row r="21" spans="1:3" ht="13.5">
      <c r="A21" s="1430" t="s">
        <v>961</v>
      </c>
      <c r="B21" s="1431"/>
      <c r="C21" s="1432"/>
    </row>
    <row r="22" spans="1:3" ht="13.5">
      <c r="A22" s="3216" t="s">
        <v>962</v>
      </c>
      <c r="B22" s="3214" t="s">
        <v>963</v>
      </c>
      <c r="C22" s="3213"/>
    </row>
    <row r="23" spans="1:3" ht="13.5">
      <c r="A23" s="3216"/>
      <c r="B23" s="3214" t="s">
        <v>964</v>
      </c>
      <c r="C23" s="3213"/>
    </row>
    <row r="24" spans="1:3" ht="13.5">
      <c r="A24" s="3216"/>
      <c r="B24" s="3214" t="s">
        <v>965</v>
      </c>
      <c r="C24" s="3213"/>
    </row>
    <row r="25" spans="1:3" ht="13.5">
      <c r="A25" s="3216"/>
      <c r="B25" s="3215" t="s">
        <v>966</v>
      </c>
      <c r="C25" s="1429" t="s">
        <v>967</v>
      </c>
    </row>
    <row r="26" spans="1:3" ht="13.5">
      <c r="A26" s="3216"/>
      <c r="B26" s="3215"/>
      <c r="C26" s="1429" t="s">
        <v>968</v>
      </c>
    </row>
    <row r="27" spans="1:3" ht="13.5">
      <c r="A27" s="3216"/>
      <c r="B27" s="3215"/>
      <c r="C27" s="1429" t="s">
        <v>969</v>
      </c>
    </row>
    <row r="28" spans="1:3" ht="13.5">
      <c r="A28" s="3216"/>
      <c r="B28" s="3215"/>
      <c r="C28" s="1429" t="s">
        <v>970</v>
      </c>
    </row>
    <row r="29" spans="1:3" ht="13.5">
      <c r="A29" s="3216"/>
      <c r="B29" s="3215"/>
      <c r="C29" s="1429" t="s">
        <v>971</v>
      </c>
    </row>
    <row r="30" spans="1:3" ht="13.5">
      <c r="A30" s="3216"/>
      <c r="B30" s="3215"/>
      <c r="C30" s="1429" t="s">
        <v>972</v>
      </c>
    </row>
    <row r="31" spans="1:3" ht="13.5">
      <c r="A31" s="3216"/>
      <c r="B31" s="3215"/>
      <c r="C31" s="1429" t="s">
        <v>973</v>
      </c>
    </row>
    <row r="32" spans="1:3" ht="13.5">
      <c r="A32" s="3216"/>
      <c r="B32" s="3215"/>
      <c r="C32" s="1429" t="s">
        <v>974</v>
      </c>
    </row>
    <row r="33" spans="1:3" ht="13.5">
      <c r="A33" s="3216"/>
      <c r="B33" s="321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45757</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t="str">
        <f ca="1">IF(C9&lt;B2,"已过期",1120060040)</f>
        <v>已过期</v>
      </c>
      <c r="C9" s="2164">
        <v>45592</v>
      </c>
      <c r="D9" s="2160" t="str">
        <f t="shared" ca="1" si="0"/>
        <v>陈颖（注册号：已过期）</v>
      </c>
      <c r="E9" s="2161" t="s">
        <v>2153</v>
      </c>
      <c r="F9" s="1219">
        <f ca="1">IF(G9&lt;B2,"已过期",2004110096)</f>
        <v>2004110096</v>
      </c>
      <c r="G9" s="2162">
        <v>47118</v>
      </c>
      <c r="H9" s="2163" t="str">
        <f t="shared" ca="1" si="1"/>
        <v>陈颖（注册号：2004110096）</v>
      </c>
    </row>
    <row r="10" spans="1:8" ht="24" customHeight="1">
      <c r="A10" s="1219" t="s">
        <v>2154</v>
      </c>
      <c r="B10" s="1219" t="str">
        <f ca="1">IF(C10&lt;B2,"已过期",1120100036)</f>
        <v>已过期</v>
      </c>
      <c r="C10" s="2164">
        <v>45752</v>
      </c>
      <c r="D10" s="2160" t="str">
        <f t="shared" ca="1" si="0"/>
        <v>崔锴（注册号：已过期）</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2436</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7"/>
      <c r="E18" s="3222" t="s">
        <v>2162</v>
      </c>
      <c r="F18" s="3221"/>
      <c r="G18" s="3221"/>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租金</vt:lpstr>
      <vt:lpstr>比较法-住宅</vt:lpstr>
      <vt:lpstr>Sheet3</vt:lpstr>
      <vt:lpstr>成交</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2025-04-10T08:35:07Z</dcterms:modified>
</cp:coreProperties>
</file>