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35"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state="hidden" r:id="rId22"/>
    <sheet name="土地比较法-住宅、综合" sheetId="39"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预测绘" sheetId="78" r:id="rId46"/>
    <sheet name="Sheet1" sheetId="79"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K13" i="77" l="1"/>
  <c r="I13" i="77"/>
  <c r="H13" i="77"/>
  <c r="G13" i="77"/>
  <c r="K20" i="77"/>
  <c r="K18" i="77"/>
  <c r="K17" i="77"/>
  <c r="K21" i="77" s="1"/>
  <c r="L21" i="77"/>
  <c r="J21" i="77"/>
  <c r="G21" i="77"/>
  <c r="M19" i="77"/>
  <c r="M18" i="77"/>
  <c r="H21" i="77" l="1"/>
  <c r="M20" i="77"/>
  <c r="M17" i="77"/>
  <c r="I21" i="77"/>
  <c r="M21" i="77" l="1"/>
  <c r="G6" i="66" l="1"/>
  <c r="J6" i="66" s="1"/>
  <c r="G5" i="66"/>
  <c r="J5" i="66" s="1"/>
  <c r="G4" i="66"/>
  <c r="I46" i="39" l="1"/>
  <c r="G46" i="39"/>
  <c r="E46" i="39"/>
  <c r="D4" i="66" l="1"/>
  <c r="J4" i="66" s="1"/>
  <c r="D3" i="66"/>
  <c r="J3" i="66" l="1"/>
  <c r="I3" i="66" s="1"/>
  <c r="C40" i="66"/>
  <c r="C11" i="15" s="1"/>
  <c r="I4" i="66"/>
  <c r="I5" i="66"/>
  <c r="I6" i="66"/>
  <c r="I38" i="39"/>
  <c r="G38" i="39"/>
  <c r="E38" i="39"/>
  <c r="E11" i="39"/>
  <c r="I7" i="39"/>
  <c r="G7" i="39"/>
  <c r="E7" i="39"/>
  <c r="G5" i="39"/>
  <c r="I5" i="39"/>
  <c r="E5" i="39"/>
  <c r="D10" i="66" l="1"/>
  <c r="O14" i="3" l="1"/>
  <c r="C14" i="3"/>
  <c r="C13" i="3"/>
  <c r="A3" i="3"/>
  <c r="C38" i="39" s="1"/>
  <c r="D16" i="77"/>
  <c r="AN14" i="3" s="1"/>
  <c r="L13" i="77"/>
  <c r="AT14" i="3" s="1"/>
  <c r="G7" i="77"/>
  <c r="I13" i="3" s="1"/>
  <c r="E10" i="78"/>
  <c r="E28" i="78" s="1"/>
  <c r="H6" i="77" s="1"/>
  <c r="I6" i="77" s="1"/>
  <c r="I5" i="77"/>
  <c r="J5" i="77" s="1"/>
  <c r="I4" i="77"/>
  <c r="H4" i="77" s="1"/>
  <c r="J4" i="77" s="1"/>
  <c r="I3" i="77"/>
  <c r="H3" i="77" s="1"/>
  <c r="D30" i="78"/>
  <c r="D28" i="78"/>
  <c r="C10" i="78"/>
  <c r="C30" i="78" s="1"/>
  <c r="B10" i="78"/>
  <c r="B30" i="78" s="1"/>
  <c r="G12" i="78"/>
  <c r="C28" i="78" l="1"/>
  <c r="H7" i="77"/>
  <c r="E30" i="78"/>
  <c r="J3" i="77"/>
  <c r="J6" i="77"/>
  <c r="I7" i="77"/>
  <c r="B28" i="78"/>
  <c r="I14" i="3" l="1"/>
  <c r="K14" i="3"/>
  <c r="K13" i="3"/>
  <c r="F19" i="6" s="1"/>
  <c r="M14" i="3"/>
  <c r="M13" i="3"/>
  <c r="J7" i="77"/>
  <c r="M15" i="45"/>
  <c r="L15" i="45"/>
  <c r="K15" i="45"/>
  <c r="J15" i="45"/>
  <c r="I15" i="45"/>
  <c r="H15" i="45"/>
  <c r="G15" i="45"/>
  <c r="F15" i="45"/>
  <c r="E15" i="45"/>
  <c r="D15" i="45"/>
  <c r="C15" i="45"/>
  <c r="B15" i="45"/>
  <c r="E57" i="39" l="1"/>
  <c r="D33" i="43"/>
  <c r="G19" i="6"/>
  <c r="M13" i="77"/>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c r="N25" i="71"/>
  <c r="X25" i="71"/>
  <c r="Q24" i="71"/>
  <c r="AB24" i="71"/>
  <c r="P24" i="71"/>
  <c r="O24" i="71"/>
  <c r="Y24" i="71" s="1"/>
  <c r="Z24" i="71" s="1"/>
  <c r="N24" i="71"/>
  <c r="Q23" i="71"/>
  <c r="F24" i="71" s="1"/>
  <c r="F25" i="71" s="1"/>
  <c r="F26" i="71" s="1"/>
  <c r="V26" i="71" s="1"/>
  <c r="P23" i="71"/>
  <c r="O23" i="71"/>
  <c r="C24" i="71" s="1"/>
  <c r="C25" i="71" s="1"/>
  <c r="N23" i="71"/>
  <c r="D23" i="71"/>
  <c r="Q22" i="71"/>
  <c r="AB22" i="71"/>
  <c r="P22" i="71"/>
  <c r="O22" i="71"/>
  <c r="N22" i="71"/>
  <c r="Q21" i="71"/>
  <c r="AB21" i="71" s="1"/>
  <c r="P21" i="71"/>
  <c r="O21" i="71"/>
  <c r="N21" i="71"/>
  <c r="Q20" i="71"/>
  <c r="AB20" i="71" s="1"/>
  <c r="P20" i="71"/>
  <c r="O20" i="71"/>
  <c r="N20" i="71"/>
  <c r="Q19" i="71"/>
  <c r="F20" i="71" s="1"/>
  <c r="P19" i="71"/>
  <c r="O19" i="71"/>
  <c r="C20" i="71" s="1"/>
  <c r="C21" i="71" s="1"/>
  <c r="D21" i="71" s="1"/>
  <c r="N19" i="71"/>
  <c r="D19" i="71"/>
  <c r="Q18" i="71"/>
  <c r="P18" i="71"/>
  <c r="O18" i="71"/>
  <c r="N18" i="71"/>
  <c r="Q17" i="71"/>
  <c r="P17" i="71"/>
  <c r="O17" i="71"/>
  <c r="N17" i="71"/>
  <c r="Q16" i="71"/>
  <c r="P16" i="71"/>
  <c r="O16" i="71"/>
  <c r="N16" i="71"/>
  <c r="Q15" i="71"/>
  <c r="P15" i="71"/>
  <c r="O15" i="71"/>
  <c r="N15" i="71"/>
  <c r="X14" i="71" s="1"/>
  <c r="D15" i="71"/>
  <c r="O14" i="71"/>
  <c r="Y12" i="71" s="1"/>
  <c r="Z12" i="71" s="1"/>
  <c r="N14" i="71"/>
  <c r="B16" i="71"/>
  <c r="B17" i="71" s="1"/>
  <c r="B20" i="71"/>
  <c r="B21" i="71" s="1"/>
  <c r="B24" i="71"/>
  <c r="B25" i="71" s="1"/>
  <c r="B26" i="71" s="1"/>
  <c r="S26" i="71" s="1"/>
  <c r="X23" i="71"/>
  <c r="E24" i="71"/>
  <c r="E25" i="71"/>
  <c r="N54" i="71"/>
  <c r="E20" i="71"/>
  <c r="E21" i="71" s="1"/>
  <c r="E22" i="71" s="1"/>
  <c r="U22" i="71" s="1"/>
  <c r="C16" i="71"/>
  <c r="X17" i="71"/>
  <c r="AB19" i="71"/>
  <c r="X22" i="71"/>
  <c r="AB23" i="71"/>
  <c r="X24" i="71"/>
  <c r="AA24" i="71"/>
  <c r="Y14" i="71"/>
  <c r="Z14" i="71" s="1"/>
  <c r="B14" i="71"/>
  <c r="B13" i="71" s="1"/>
  <c r="B12" i="71" s="1"/>
  <c r="X12" i="71"/>
  <c r="D16" i="71"/>
  <c r="D24" i="71"/>
  <c r="C29" i="71"/>
  <c r="C30" i="71" s="1"/>
  <c r="D28" i="71"/>
  <c r="C33" i="71"/>
  <c r="D33" i="71" s="1"/>
  <c r="D32" i="71"/>
  <c r="C37" i="71"/>
  <c r="D36" i="71"/>
  <c r="P14" i="71"/>
  <c r="E49" i="71"/>
  <c r="E50" i="71" s="1"/>
  <c r="U50" i="71" s="1"/>
  <c r="U54" i="71"/>
  <c r="E53" i="71"/>
  <c r="E52" i="71" s="1"/>
  <c r="Q14" i="71"/>
  <c r="F14" i="71" s="1"/>
  <c r="F13" i="71" s="1"/>
  <c r="F12" i="71" s="1"/>
  <c r="D40" i="71"/>
  <c r="C49" i="71"/>
  <c r="C50" i="71" s="1"/>
  <c r="D48" i="71"/>
  <c r="T54" i="71"/>
  <c r="O54" i="71"/>
  <c r="D54" i="71"/>
  <c r="C53" i="71"/>
  <c r="C52" i="71" s="1"/>
  <c r="Q54" i="71"/>
  <c r="C57" i="71"/>
  <c r="D57" i="71" s="1"/>
  <c r="E57" i="71"/>
  <c r="E56" i="71" s="1"/>
  <c r="D58" i="71"/>
  <c r="C61" i="71"/>
  <c r="D61" i="71" s="1"/>
  <c r="E61" i="71"/>
  <c r="E60" i="71" s="1"/>
  <c r="D62" i="71"/>
  <c r="C65" i="71"/>
  <c r="D65" i="71" s="1"/>
  <c r="E65" i="71"/>
  <c r="E64" i="71" s="1"/>
  <c r="D66" i="71"/>
  <c r="C73" i="71"/>
  <c r="C72" i="71" s="1"/>
  <c r="D72" i="71" s="1"/>
  <c r="AB12" i="71"/>
  <c r="E14" i="71"/>
  <c r="E13" i="71" s="1"/>
  <c r="E12" i="71" s="1"/>
  <c r="AA3" i="71"/>
  <c r="AA14" i="71"/>
  <c r="O53" i="71"/>
  <c r="D49" i="71"/>
  <c r="C60" i="71"/>
  <c r="D60" i="71" s="1"/>
  <c r="C64" i="71"/>
  <c r="D64" i="71" s="1"/>
  <c r="C56" i="71"/>
  <c r="D56" i="71" s="1"/>
  <c r="P53" i="71"/>
  <c r="C38" i="71"/>
  <c r="D38" i="71" s="1"/>
  <c r="D37"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U18" i="36"/>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AC18" i="36"/>
  <c r="W18" i="36"/>
  <c r="AA21" i="37"/>
  <c r="AB21" i="34"/>
  <c r="U21" i="34"/>
  <c r="U21" i="33"/>
  <c r="AA21" i="33"/>
  <c r="AB18" i="35"/>
  <c r="AC18" i="35"/>
  <c r="J21" i="37"/>
  <c r="AC21" i="37" s="1"/>
  <c r="J21" i="34"/>
  <c r="AC21" i="34" s="1"/>
  <c r="J21" i="33"/>
  <c r="F83" i="21"/>
  <c r="G83" i="21" s="1"/>
  <c r="H21" i="21"/>
  <c r="F38" i="69"/>
  <c r="E37" i="69"/>
  <c r="F36" i="69"/>
  <c r="F35" i="69"/>
  <c r="F21" i="69"/>
  <c r="C21" i="69" s="1"/>
  <c r="F20" i="69"/>
  <c r="E10" i="69"/>
  <c r="E9" i="69"/>
  <c r="F7" i="69"/>
  <c r="C7" i="69" s="1"/>
  <c r="W21" i="37"/>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I23" i="66"/>
  <c r="D20" i="66"/>
  <c r="I19" i="66"/>
  <c r="I18" i="66"/>
  <c r="I17" i="66"/>
  <c r="I20" i="66" s="1"/>
  <c r="E15" i="66"/>
  <c r="I14" i="66"/>
  <c r="I13" i="66"/>
  <c r="I9" i="66"/>
  <c r="I8" i="66"/>
  <c r="I7"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H36" i="39"/>
  <c r="AB36" i="39" s="1"/>
  <c r="J35" i="39"/>
  <c r="AC35" i="39" s="1"/>
  <c r="F35" i="39"/>
  <c r="AA35" i="39" s="1"/>
  <c r="U9" i="39"/>
  <c r="W25" i="37"/>
  <c r="W31" i="37"/>
  <c r="E103" i="37"/>
  <c r="F103" i="37" s="1"/>
  <c r="G103" i="37" s="1"/>
  <c r="H103" i="37" s="1"/>
  <c r="I103" i="37" s="1"/>
  <c r="J103" i="37" s="1"/>
  <c r="K103" i="37" s="1"/>
  <c r="L103" i="37" s="1"/>
  <c r="M103" i="37" s="1"/>
  <c r="F39" i="37"/>
  <c r="S39" i="37" s="1"/>
  <c r="U14" i="37"/>
  <c r="F29" i="36"/>
  <c r="AA29" i="36" s="1"/>
  <c r="W8" i="36"/>
  <c r="F16" i="36"/>
  <c r="AA16" i="36" s="1"/>
  <c r="S30" i="36"/>
  <c r="AC31" i="36"/>
  <c r="U31" i="36"/>
  <c r="H22" i="35"/>
  <c r="AB22" i="35"/>
  <c r="W28" i="35"/>
  <c r="W22" i="35"/>
  <c r="S31" i="35"/>
  <c r="U34" i="35"/>
  <c r="F36" i="34"/>
  <c r="J35" i="34"/>
  <c r="S34" i="34"/>
  <c r="H39" i="33"/>
  <c r="AB39" i="33" s="1"/>
  <c r="F26" i="33"/>
  <c r="AA26" i="33" s="1"/>
  <c r="S9" i="33"/>
  <c r="U35" i="33"/>
  <c r="S40" i="33"/>
  <c r="W33" i="33"/>
  <c r="H39" i="37"/>
  <c r="AB39" i="37" s="1"/>
  <c r="S27" i="35"/>
  <c r="F11" i="40"/>
  <c r="AA11" i="40" s="1"/>
  <c r="H11" i="40"/>
  <c r="AB11" i="40" s="1"/>
  <c r="W8" i="40"/>
  <c r="AC40"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B37" i="34"/>
  <c r="AC36" i="34"/>
  <c r="AA13" i="33"/>
  <c r="AC31"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S14" i="40"/>
  <c r="AC13" i="40"/>
  <c r="AB33" i="40"/>
  <c r="AC43" i="39"/>
  <c r="W43"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B54" i="72"/>
  <c r="H103" i="9"/>
  <c r="D8" i="53"/>
  <c r="B16" i="53"/>
  <c r="B33" i="72"/>
  <c r="C7" i="37"/>
  <c r="C7" i="34"/>
  <c r="C7" i="36"/>
  <c r="W35" i="40"/>
  <c r="A118" i="9"/>
  <c r="A4" i="52"/>
  <c r="B41" i="72" s="1"/>
  <c r="A12" i="52"/>
  <c r="B56" i="72" s="1"/>
  <c r="G4" i="4"/>
  <c r="I4" i="4"/>
  <c r="K5" i="4"/>
  <c r="B47" i="48" s="1"/>
  <c r="A2" i="9"/>
  <c r="N2" i="4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5" i="3"/>
  <c r="AZ79" i="3"/>
  <c r="AZ144" i="3"/>
  <c r="AZ160" i="3"/>
  <c r="AZ176" i="3"/>
  <c r="AZ192" i="3"/>
  <c r="AZ89" i="3"/>
  <c r="AZ105" i="3"/>
  <c r="AZ109"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38" i="3"/>
  <c r="AZ142" i="3"/>
  <c r="AZ146" i="3"/>
  <c r="AZ150" i="3"/>
  <c r="AZ174" i="3"/>
  <c r="AZ178" i="3"/>
  <c r="AZ182" i="3"/>
  <c r="AZ500" i="3"/>
  <c r="BA16" i="3"/>
  <c r="BL303" i="3"/>
  <c r="G304" i="3"/>
  <c r="BA306" i="3"/>
  <c r="AZ306" i="3"/>
  <c r="BL307" i="3"/>
  <c r="G308" i="3"/>
  <c r="BA310" i="3"/>
  <c r="BL311" i="3"/>
  <c r="AZ311" i="3" s="1"/>
  <c r="G312" i="3"/>
  <c r="BA314" i="3"/>
  <c r="BL315" i="3"/>
  <c r="AZ315" i="3" s="1"/>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AZ379" i="3" s="1"/>
  <c r="BL380" i="3"/>
  <c r="G381" i="3"/>
  <c r="BA383" i="3"/>
  <c r="BL384" i="3"/>
  <c r="AZ384" i="3" s="1"/>
  <c r="G385" i="3"/>
  <c r="BA387" i="3"/>
  <c r="AZ387" i="3" s="1"/>
  <c r="BL388" i="3"/>
  <c r="G389" i="3"/>
  <c r="BA391" i="3"/>
  <c r="BL392" i="3"/>
  <c r="AZ392" i="3" s="1"/>
  <c r="G393" i="3"/>
  <c r="AZ287" i="3"/>
  <c r="BO5" i="3"/>
  <c r="BM5" i="3"/>
  <c r="F29" i="6"/>
  <c r="BJ5" i="3"/>
  <c r="BH5" i="3"/>
  <c r="BF5" i="3"/>
  <c r="BD5" i="3"/>
  <c r="BQ5" i="3"/>
  <c r="AC5" i="3"/>
  <c r="AZ506" i="3"/>
  <c r="AZ496" i="3"/>
  <c r="G548" i="3"/>
  <c r="G538" i="3"/>
  <c r="G520" i="3"/>
  <c r="G502" i="3"/>
  <c r="BS5" i="3"/>
  <c r="BP5" i="3"/>
  <c r="BN5" i="3"/>
  <c r="BK5" i="3"/>
  <c r="BI5" i="3"/>
  <c r="BG5" i="3"/>
  <c r="BE5" i="3"/>
  <c r="BC5" i="3"/>
  <c r="G17" i="3"/>
  <c r="BA17" i="3"/>
  <c r="BT5" i="3"/>
  <c r="AZ360" i="3"/>
  <c r="AZ368" i="3"/>
  <c r="BA15" i="3"/>
  <c r="BB5" i="3"/>
  <c r="BR5" i="3"/>
  <c r="G28" i="6" s="1"/>
  <c r="AZ388" i="3"/>
  <c r="G509" i="3"/>
  <c r="BL493" i="3"/>
  <c r="AZ493" i="3" s="1"/>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40" i="3"/>
  <c r="AZ243" i="3"/>
  <c r="AZ133" i="3"/>
  <c r="AZ42" i="3"/>
  <c r="AZ69" i="3"/>
  <c r="AZ72" i="3"/>
  <c r="AZ74" i="3"/>
  <c r="AZ77" i="3"/>
  <c r="AZ82" i="3"/>
  <c r="AZ86"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K6" i="1"/>
  <c r="AC26" i="33"/>
  <c r="W26" i="33"/>
  <c r="W27" i="34"/>
  <c r="AC27" i="34"/>
  <c r="AC12" i="39"/>
  <c r="W12" i="39"/>
  <c r="AZ401" i="3"/>
  <c r="AZ417" i="3"/>
  <c r="AZ433" i="3"/>
  <c r="AZ465" i="3"/>
  <c r="W12" i="33"/>
  <c r="AC12" i="33"/>
  <c r="AZ408" i="3"/>
  <c r="AZ457" i="3"/>
  <c r="F28" i="6"/>
  <c r="BL14" i="3"/>
  <c r="U30" i="33"/>
  <c r="AC13" i="34"/>
  <c r="AA47" i="34"/>
  <c r="W28" i="37"/>
  <c r="S19" i="39"/>
  <c r="F12" i="33"/>
  <c r="H12" i="39"/>
  <c r="AB12" i="39" s="1"/>
  <c r="F39" i="40"/>
  <c r="BA14" i="3"/>
  <c r="AZ238" i="3"/>
  <c r="AZ173" i="3"/>
  <c r="AZ19"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S22" i="31"/>
  <c r="J100" i="43"/>
  <c r="AB37" i="40"/>
  <c r="S35" i="40"/>
  <c r="U35" i="40"/>
  <c r="AC36" i="40"/>
  <c r="AA32" i="40"/>
  <c r="S17" i="40"/>
  <c r="S23" i="40"/>
  <c r="AC17" i="40"/>
  <c r="AC15"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H60"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59" i="43" s="1"/>
  <c r="N9" i="43"/>
  <c r="D120" i="9"/>
  <c r="D121" i="9" s="1"/>
  <c r="C18" i="9"/>
  <c r="D18" i="9" s="1"/>
  <c r="F34" i="67"/>
  <c r="F62" i="67" s="1"/>
  <c r="M20" i="67"/>
  <c r="F34" i="15"/>
  <c r="F62" i="15" s="1"/>
  <c r="G13" i="3"/>
  <c r="BA13" i="3"/>
  <c r="E10" i="6"/>
  <c r="BL17" i="3"/>
  <c r="AZ17" i="3" s="1"/>
  <c r="BL13" i="3"/>
  <c r="J56" i="9"/>
  <c r="J57" i="9" s="1"/>
  <c r="J59" i="9" s="1"/>
  <c r="J61" i="9" s="1"/>
  <c r="A24" i="51"/>
  <c r="B18" i="72" s="1"/>
  <c r="U29" i="34"/>
  <c r="E5" i="6"/>
  <c r="D9" i="11" s="1"/>
  <c r="C9" i="11" s="1"/>
  <c r="P10" i="1"/>
  <c r="E32" i="6"/>
  <c r="L19" i="6"/>
  <c r="G1" i="68"/>
  <c r="K1" i="12"/>
  <c r="F30" i="6"/>
  <c r="AR12" i="1"/>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O19" i="43" s="1"/>
  <c r="T35" i="4"/>
  <c r="A19" i="51" s="1"/>
  <c r="B14" i="72" s="1"/>
  <c r="C46" i="36"/>
  <c r="D46" i="36" s="1"/>
  <c r="E46" i="36" s="1"/>
  <c r="F46" i="36" s="1"/>
  <c r="G46" i="36" s="1"/>
  <c r="H46" i="36" s="1"/>
  <c r="I46" i="36" s="1"/>
  <c r="C59" i="34"/>
  <c r="D59" i="34" s="1"/>
  <c r="E59" i="34" s="1"/>
  <c r="C52" i="37"/>
  <c r="D52" i="37" s="1"/>
  <c r="E52" i="37" s="1"/>
  <c r="F52" i="37" s="1"/>
  <c r="G52" i="37" s="1"/>
  <c r="A4" i="51"/>
  <c r="B6" i="72" s="1"/>
  <c r="C48" i="35"/>
  <c r="D48" i="35" s="1"/>
  <c r="E48" i="35" s="1"/>
  <c r="F48" i="35" s="1"/>
  <c r="G48" i="35" s="1"/>
  <c r="H48" i="35" s="1"/>
  <c r="C94" i="9"/>
  <c r="C92" i="9"/>
  <c r="H55" i="43"/>
  <c r="H51" i="43"/>
  <c r="H56" i="43"/>
  <c r="H76" i="43"/>
  <c r="H72" i="43"/>
  <c r="H77" i="43"/>
  <c r="L20" i="6"/>
  <c r="B6" i="1"/>
  <c r="E6" i="1" s="1"/>
  <c r="K11" i="1"/>
  <c r="AP6" i="1"/>
  <c r="C36" i="69"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Z13" i="3"/>
  <c r="M6" i="1"/>
  <c r="O6" i="1" s="1"/>
  <c r="AQ9" i="1"/>
  <c r="D68" i="39"/>
  <c r="C77" i="9"/>
  <c r="C74" i="9" s="1"/>
  <c r="E7" i="70"/>
  <c r="AA39" i="40"/>
  <c r="S39" i="40"/>
  <c r="S12" i="33"/>
  <c r="AA12" i="33"/>
  <c r="J32" i="39"/>
  <c r="AC32" i="39" s="1"/>
  <c r="H32" i="39"/>
  <c r="U32" i="39" s="1"/>
  <c r="AA32" i="39"/>
  <c r="S32" i="39"/>
  <c r="AB21" i="39"/>
  <c r="U21" i="39"/>
  <c r="AA21" i="39"/>
  <c r="S21" i="39"/>
  <c r="S26" i="35"/>
  <c r="U9" i="35"/>
  <c r="AB9" i="35"/>
  <c r="AA9" i="35"/>
  <c r="S9" i="35"/>
  <c r="AC26" i="35"/>
  <c r="W26" i="35"/>
  <c r="AB26" i="35"/>
  <c r="U26" i="35"/>
  <c r="AC17" i="37"/>
  <c r="S17" i="37"/>
  <c r="J19" i="37"/>
  <c r="AC19" i="37" s="1"/>
  <c r="G75" i="37"/>
  <c r="S19" i="37"/>
  <c r="AA19" i="37"/>
  <c r="AA23" i="37"/>
  <c r="J23" i="37"/>
  <c r="W23" i="37" s="1"/>
  <c r="G79" i="37"/>
  <c r="J10" i="37"/>
  <c r="AC10" i="37" s="1"/>
  <c r="I60"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AC27" i="33" s="1"/>
  <c r="U25" i="33"/>
  <c r="AB25" i="33"/>
  <c r="S25" i="33"/>
  <c r="AA25" i="33"/>
  <c r="J25" i="33"/>
  <c r="AC25" i="33" s="1"/>
  <c r="AB23" i="33"/>
  <c r="F23" i="33"/>
  <c r="AA23" i="33" s="1"/>
  <c r="AC23" i="33"/>
  <c r="AA19" i="33"/>
  <c r="H19" i="33"/>
  <c r="AB19" i="33" s="1"/>
  <c r="H17" i="33"/>
  <c r="U17" i="33" s="1"/>
  <c r="F17" i="33"/>
  <c r="W17" i="33"/>
  <c r="AC17" i="33"/>
  <c r="U10" i="33"/>
  <c r="AC10" i="33"/>
  <c r="W10" i="33"/>
  <c r="S37" i="21"/>
  <c r="AA23" i="21"/>
  <c r="AB15" i="21"/>
  <c r="J23" i="21"/>
  <c r="F85" i="21"/>
  <c r="G85" i="21" s="1"/>
  <c r="H23" i="21"/>
  <c r="U23" i="21" s="1"/>
  <c r="S13" i="21"/>
  <c r="D6" i="52"/>
  <c r="D7" i="52"/>
  <c r="R22" i="31"/>
  <c r="B21" i="31"/>
  <c r="C65" i="40"/>
  <c r="L27" i="6"/>
  <c r="AP7" i="1"/>
  <c r="AC33" i="21"/>
  <c r="W33" i="21"/>
  <c r="S33" i="21"/>
  <c r="W32" i="21"/>
  <c r="AC32" i="21"/>
  <c r="AB9" i="21"/>
  <c r="U9" i="21"/>
  <c r="W9" i="21"/>
  <c r="AA10" i="21"/>
  <c r="AB32" i="39"/>
  <c r="W19" i="37"/>
  <c r="U11" i="37"/>
  <c r="J11" i="37"/>
  <c r="AC11" i="37" s="1"/>
  <c r="W10" i="37"/>
  <c r="AC10" i="34"/>
  <c r="H70" i="34"/>
  <c r="I70" i="34" s="1"/>
  <c r="J70" i="34" s="1"/>
  <c r="K70" i="34" s="1"/>
  <c r="L70" i="34" s="1"/>
  <c r="M70" i="34" s="1"/>
  <c r="J11" i="34"/>
  <c r="U36" i="33"/>
  <c r="AB36" i="33"/>
  <c r="W27" i="33"/>
  <c r="W25" i="33"/>
  <c r="U19" i="33"/>
  <c r="AA17" i="33"/>
  <c r="S17" i="33"/>
  <c r="AB23" i="21"/>
  <c r="AC23" i="21"/>
  <c r="W23" i="21"/>
  <c r="F1" i="67"/>
  <c r="Q52" i="67"/>
  <c r="W11" i="37"/>
  <c r="C13" i="12"/>
  <c r="AE7" i="1"/>
  <c r="AE8" i="1"/>
  <c r="AG6" i="1"/>
  <c r="H109" i="9"/>
  <c r="D16" i="53" s="1"/>
  <c r="B34" i="72" s="1"/>
  <c r="J7" i="33"/>
  <c r="F7" i="33"/>
  <c r="S7" i="33" s="1"/>
  <c r="H7" i="33"/>
  <c r="AB7" i="33" s="1"/>
  <c r="T48" i="33" s="1"/>
  <c r="G48" i="33" s="1"/>
  <c r="AA7" i="33"/>
  <c r="R48" i="33" s="1"/>
  <c r="U7" i="33"/>
  <c r="H112" i="9"/>
  <c r="D21" i="53" s="1"/>
  <c r="B39" i="72" s="1"/>
  <c r="H111" i="9"/>
  <c r="D59" i="9"/>
  <c r="M55" i="9" s="1"/>
  <c r="AD3" i="71"/>
  <c r="F38" i="15"/>
  <c r="J15" i="67"/>
  <c r="E8" i="76"/>
  <c r="AO8" i="1"/>
  <c r="E2" i="68"/>
  <c r="F5" i="73"/>
  <c r="E11" i="76"/>
  <c r="F3" i="73"/>
  <c r="AO13" i="1"/>
  <c r="E2" i="69"/>
  <c r="AO9" i="1"/>
  <c r="D2" i="33"/>
  <c r="E7" i="76"/>
  <c r="B9" i="76"/>
  <c r="B7" i="76"/>
  <c r="F7" i="15"/>
  <c r="L48" i="15"/>
  <c r="M27" i="67"/>
  <c r="B11" i="76"/>
  <c r="E10" i="76"/>
  <c r="AO11" i="1"/>
  <c r="E13" i="76"/>
  <c r="D2" i="36"/>
  <c r="M26" i="67"/>
  <c r="B13" i="76"/>
  <c r="C76" i="67"/>
  <c r="E9" i="76"/>
  <c r="M23" i="67"/>
  <c r="B10" i="76"/>
  <c r="F9" i="67"/>
  <c r="D2" i="21"/>
  <c r="M6" i="67"/>
  <c r="D2" i="37"/>
  <c r="M22" i="67"/>
  <c r="M27" i="15"/>
  <c r="F6" i="73"/>
  <c r="F16" i="67"/>
  <c r="AO10" i="1"/>
  <c r="D2" i="35"/>
  <c r="B8" i="76"/>
  <c r="E12" i="76"/>
  <c r="M24" i="15"/>
  <c r="D2" i="34"/>
  <c r="F7" i="73"/>
  <c r="AO12" i="1"/>
  <c r="F4" i="73"/>
  <c r="L48" i="67"/>
  <c r="M9" i="67"/>
  <c r="F36" i="15"/>
  <c r="F8" i="15"/>
  <c r="M8" i="67"/>
  <c r="F42" i="67"/>
  <c r="B12" i="76"/>
  <c r="C76" i="15"/>
  <c r="M6" i="15"/>
  <c r="AO7" i="1"/>
  <c r="F20" i="31"/>
  <c r="F37" i="67"/>
  <c r="F36" i="67"/>
  <c r="F7" i="67"/>
  <c r="L47" i="15"/>
  <c r="D9" i="68" l="1"/>
  <c r="C9" i="68" s="1"/>
  <c r="D19" i="12"/>
  <c r="C19" i="12" s="1"/>
  <c r="E8" i="6"/>
  <c r="D9" i="69"/>
  <c r="C9" i="69" s="1"/>
  <c r="E14" i="6"/>
  <c r="E64" i="39" s="1"/>
  <c r="E11" i="6"/>
  <c r="E61" i="39" s="1"/>
  <c r="AZ14" i="3"/>
  <c r="AC38" i="39"/>
  <c r="C7" i="43"/>
  <c r="S27" i="36"/>
  <c r="AZ391" i="3"/>
  <c r="AZ377" i="3"/>
  <c r="AZ369" i="3"/>
  <c r="AZ310" i="3"/>
  <c r="AZ337" i="3"/>
  <c r="AZ376" i="3"/>
  <c r="AZ362" i="3"/>
  <c r="AZ343" i="3"/>
  <c r="AZ341" i="3"/>
  <c r="AZ327" i="3"/>
  <c r="AZ309" i="3"/>
  <c r="AZ517" i="3"/>
  <c r="AZ527" i="3"/>
  <c r="AZ543" i="3"/>
  <c r="AZ571" i="3"/>
  <c r="AZ512" i="3"/>
  <c r="AZ540" i="3"/>
  <c r="AZ558" i="3"/>
  <c r="AZ584" i="3"/>
  <c r="AA13" i="35"/>
  <c r="S28" i="34"/>
  <c r="S41" i="33"/>
  <c r="U30" i="35"/>
  <c r="S12" i="36"/>
  <c r="BL585" i="3"/>
  <c r="AZ585" i="3" s="1"/>
  <c r="AB33" i="33"/>
  <c r="U33" i="33"/>
  <c r="AC39" i="33"/>
  <c r="W39" i="33"/>
  <c r="AC9" i="34"/>
  <c r="W9" i="34"/>
  <c r="U12" i="35"/>
  <c r="AB12" i="35"/>
  <c r="H34" i="36"/>
  <c r="J34" i="36"/>
  <c r="H33" i="36"/>
  <c r="J33" i="36"/>
  <c r="AA10" i="37"/>
  <c r="S10" i="37"/>
  <c r="AB30" i="37"/>
  <c r="U30" i="37"/>
  <c r="H44" i="39"/>
  <c r="F44" i="39"/>
  <c r="AA38" i="39"/>
  <c r="S38" i="39"/>
  <c r="S23" i="33"/>
  <c r="U11" i="34"/>
  <c r="AC23" i="37"/>
  <c r="AB32" i="21"/>
  <c r="AA32" i="21"/>
  <c r="AB45" i="21"/>
  <c r="AC37" i="21"/>
  <c r="AB8" i="33"/>
  <c r="U8" i="33"/>
  <c r="AB40" i="33"/>
  <c r="U40" i="33"/>
  <c r="AC8" i="34"/>
  <c r="W8" i="34"/>
  <c r="W12" i="34"/>
  <c r="AC12" i="34"/>
  <c r="AB34" i="34"/>
  <c r="U34" i="34"/>
  <c r="J34" i="35"/>
  <c r="F34" i="35"/>
  <c r="W27" i="35"/>
  <c r="AC27" i="35"/>
  <c r="AA10" i="36"/>
  <c r="S10" i="36"/>
  <c r="AC28" i="36"/>
  <c r="W28" i="36"/>
  <c r="S31" i="36"/>
  <c r="AA31" i="36"/>
  <c r="AC40" i="39"/>
  <c r="W40" i="39"/>
  <c r="H45" i="39"/>
  <c r="J45" i="39"/>
  <c r="AA9" i="40"/>
  <c r="J36" i="39"/>
  <c r="S41" i="21"/>
  <c r="W41" i="33"/>
  <c r="G566" i="3"/>
  <c r="G562" i="3"/>
  <c r="G399" i="3"/>
  <c r="BL403" i="3"/>
  <c r="G404" i="3"/>
  <c r="G410" i="3"/>
  <c r="BA411" i="3"/>
  <c r="BL411" i="3"/>
  <c r="BL413" i="3"/>
  <c r="G414" i="3"/>
  <c r="G417" i="3"/>
  <c r="BL418" i="3"/>
  <c r="G419" i="3"/>
  <c r="BL420" i="3"/>
  <c r="G421" i="3"/>
  <c r="BL422" i="3"/>
  <c r="G423" i="3"/>
  <c r="G426" i="3"/>
  <c r="BA427" i="3"/>
  <c r="BL427" i="3"/>
  <c r="BL429" i="3"/>
  <c r="G430" i="3"/>
  <c r="G433" i="3"/>
  <c r="BL434" i="3"/>
  <c r="G435" i="3"/>
  <c r="BL436" i="3"/>
  <c r="G437" i="3"/>
  <c r="G439" i="3"/>
  <c r="BA440" i="3"/>
  <c r="BL440" i="3"/>
  <c r="BA442" i="3"/>
  <c r="AZ442" i="3" s="1"/>
  <c r="BA443" i="3"/>
  <c r="AZ443" i="3" s="1"/>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L383" i="3"/>
  <c r="AZ383" i="3" s="1"/>
  <c r="BA385" i="3"/>
  <c r="AZ385" i="3" s="1"/>
  <c r="BA395" i="3"/>
  <c r="BL395" i="3"/>
  <c r="BL397" i="3"/>
  <c r="G208" i="3"/>
  <c r="G210" i="3"/>
  <c r="BA211" i="3"/>
  <c r="AZ211" i="3" s="1"/>
  <c r="BL211" i="3"/>
  <c r="BA212" i="3"/>
  <c r="AZ212" i="3" s="1"/>
  <c r="BA213" i="3"/>
  <c r="AZ213" i="3" s="1"/>
  <c r="BA214" i="3"/>
  <c r="AZ214" i="3" s="1"/>
  <c r="BA215" i="3"/>
  <c r="AZ215" i="3" s="1"/>
  <c r="BL217" i="3"/>
  <c r="G218" i="3"/>
  <c r="BA219" i="3"/>
  <c r="AZ219" i="3" s="1"/>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BL16" i="3"/>
  <c r="AZ16" i="3" s="1"/>
  <c r="G374" i="3"/>
  <c r="BL375" i="3"/>
  <c r="AZ375" i="3" s="1"/>
  <c r="G243" i="3"/>
  <c r="G247" i="3"/>
  <c r="BL248" i="3"/>
  <c r="G249" i="3"/>
  <c r="BL250" i="3"/>
  <c r="G251" i="3"/>
  <c r="BA252" i="3"/>
  <c r="AZ252" i="3" s="1"/>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AZ268" i="3" s="1"/>
  <c r="BL268" i="3"/>
  <c r="BL270" i="3"/>
  <c r="G271" i="3"/>
  <c r="BA272" i="3"/>
  <c r="AZ272" i="3" s="1"/>
  <c r="BL272" i="3"/>
  <c r="BL274" i="3"/>
  <c r="G275" i="3"/>
  <c r="BA276" i="3"/>
  <c r="AZ276" i="3" s="1"/>
  <c r="BL276" i="3"/>
  <c r="BA277" i="3"/>
  <c r="AZ277" i="3" s="1"/>
  <c r="BA279" i="3"/>
  <c r="BL279" i="3"/>
  <c r="BA280" i="3"/>
  <c r="AZ280" i="3" s="1"/>
  <c r="BA281" i="3"/>
  <c r="AZ281" i="3" s="1"/>
  <c r="BA283" i="3"/>
  <c r="BL283" i="3"/>
  <c r="BL284" i="3"/>
  <c r="G285" i="3"/>
  <c r="G287" i="3"/>
  <c r="G289" i="3"/>
  <c r="BA290" i="3"/>
  <c r="BL290" i="3"/>
  <c r="BA292" i="3"/>
  <c r="AZ292" i="3" s="1"/>
  <c r="BA294" i="3"/>
  <c r="AZ294" i="3" s="1"/>
  <c r="BA295" i="3"/>
  <c r="AZ295" i="3" s="1"/>
  <c r="BA296" i="3"/>
  <c r="AZ296" i="3" s="1"/>
  <c r="BA297" i="3"/>
  <c r="AZ297" i="3" s="1"/>
  <c r="BA299" i="3"/>
  <c r="AZ299" i="3" s="1"/>
  <c r="BL299" i="3"/>
  <c r="BL300" i="3"/>
  <c r="G301" i="3"/>
  <c r="BL113" i="3"/>
  <c r="G114" i="3"/>
  <c r="G116" i="3"/>
  <c r="BA117" i="3"/>
  <c r="BL117" i="3"/>
  <c r="G118" i="3"/>
  <c r="G120" i="3"/>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G182" i="3"/>
  <c r="BA185" i="3"/>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P51" i="71"/>
  <c r="P52" i="71"/>
  <c r="C45" i="71"/>
  <c r="D44" i="71"/>
  <c r="BA20" i="3"/>
  <c r="AZ20" i="3" s="1"/>
  <c r="BA21" i="3"/>
  <c r="AZ21" i="3" s="1"/>
  <c r="BL23" i="3"/>
  <c r="G24" i="3"/>
  <c r="BA25" i="3"/>
  <c r="BL25" i="3"/>
  <c r="BL27" i="3"/>
  <c r="G28" i="3"/>
  <c r="BL29" i="3"/>
  <c r="G30" i="3"/>
  <c r="G32" i="3"/>
  <c r="G34" i="3"/>
  <c r="BL35" i="3"/>
  <c r="G36" i="3"/>
  <c r="G38"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2" i="3"/>
  <c r="G77" i="3"/>
  <c r="G82" i="3"/>
  <c r="G84" i="3"/>
  <c r="G86" i="3"/>
  <c r="G91" i="3"/>
  <c r="BA92" i="3"/>
  <c r="BL92" i="3"/>
  <c r="BA94" i="3"/>
  <c r="AZ94" i="3" s="1"/>
  <c r="BL94" i="3"/>
  <c r="BA95" i="3"/>
  <c r="AZ95" i="3" s="1"/>
  <c r="BA97" i="3"/>
  <c r="BL97" i="3"/>
  <c r="BA98" i="3"/>
  <c r="AZ98" i="3" s="1"/>
  <c r="BL100" i="3"/>
  <c r="G101" i="3"/>
  <c r="BL102" i="3"/>
  <c r="G103" i="3"/>
  <c r="G107" i="3"/>
  <c r="D50" i="71"/>
  <c r="T50" i="71"/>
  <c r="M100" i="43"/>
  <c r="I100" i="43"/>
  <c r="E100" i="43"/>
  <c r="D100" i="43"/>
  <c r="I15" i="66"/>
  <c r="C25" i="40"/>
  <c r="AA12" i="71"/>
  <c r="AA21" i="71"/>
  <c r="AH10" i="43"/>
  <c r="AD10" i="43"/>
  <c r="Z10" i="43"/>
  <c r="AG10" i="43"/>
  <c r="AC10" i="43"/>
  <c r="K56" i="9"/>
  <c r="T38" i="71"/>
  <c r="D73" i="71"/>
  <c r="C14" i="71"/>
  <c r="E16" i="71"/>
  <c r="E17" i="71" s="1"/>
  <c r="E18" i="71" s="1"/>
  <c r="U18" i="71" s="1"/>
  <c r="AB16" i="71"/>
  <c r="AB17" i="71"/>
  <c r="AB36" i="35"/>
  <c r="U36" i="35"/>
  <c r="AC23" i="36"/>
  <c r="W23" i="36"/>
  <c r="AB34" i="36"/>
  <c r="U34" i="36"/>
  <c r="AB33" i="36"/>
  <c r="U33" i="36"/>
  <c r="D126" i="9"/>
  <c r="D19" i="53"/>
  <c r="B38" i="72" s="1"/>
  <c r="W7" i="33"/>
  <c r="AC7" i="33"/>
  <c r="V48" i="33" s="1"/>
  <c r="I48" i="33" s="1"/>
  <c r="W11" i="34"/>
  <c r="AC11" i="34"/>
  <c r="W45" i="21"/>
  <c r="AC45" i="21"/>
  <c r="AC9" i="36"/>
  <c r="W9" i="36"/>
  <c r="AA32" i="36"/>
  <c r="S32" i="36"/>
  <c r="AB17" i="33"/>
  <c r="W36" i="33"/>
  <c r="W32" i="39"/>
  <c r="AA29" i="21"/>
  <c r="AA11" i="37"/>
  <c r="S30" i="40"/>
  <c r="AA39" i="34"/>
  <c r="AZ373" i="3"/>
  <c r="AZ382" i="3"/>
  <c r="AZ371" i="3"/>
  <c r="AZ364" i="3"/>
  <c r="AZ356" i="3"/>
  <c r="AZ342" i="3"/>
  <c r="AZ336" i="3"/>
  <c r="AZ321" i="3"/>
  <c r="AZ304" i="3"/>
  <c r="AZ394" i="3"/>
  <c r="AZ325" i="3"/>
  <c r="AC12" i="37"/>
  <c r="AZ499" i="3"/>
  <c r="AZ513" i="3"/>
  <c r="AZ567" i="3"/>
  <c r="AZ575" i="3"/>
  <c r="AZ511" i="3"/>
  <c r="AZ515" i="3"/>
  <c r="AZ519" i="3"/>
  <c r="AZ565" i="3"/>
  <c r="AZ569" i="3"/>
  <c r="AZ573" i="3"/>
  <c r="AZ577" i="3"/>
  <c r="AZ504" i="3"/>
  <c r="AZ508" i="3"/>
  <c r="AZ520" i="3"/>
  <c r="AZ534" i="3"/>
  <c r="AZ542" i="3"/>
  <c r="AZ556" i="3"/>
  <c r="AB11" i="35"/>
  <c r="U31" i="34"/>
  <c r="BL586" i="3"/>
  <c r="AZ586" i="3" s="1"/>
  <c r="J36" i="35"/>
  <c r="BA551" i="3"/>
  <c r="AZ551" i="3" s="1"/>
  <c r="BL548" i="3"/>
  <c r="AZ583" i="3"/>
  <c r="AZ548" i="3"/>
  <c r="H9" i="36"/>
  <c r="F23" i="36"/>
  <c r="H23" i="36"/>
  <c r="G570" i="3"/>
  <c r="G556" i="3"/>
  <c r="BL550" i="3"/>
  <c r="BA550" i="3"/>
  <c r="AZ550" i="3" s="1"/>
  <c r="G526" i="3"/>
  <c r="G14" i="3"/>
  <c r="BL15" i="3"/>
  <c r="AZ15" i="3" s="1"/>
  <c r="G398" i="3"/>
  <c r="BL398"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G382"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G281" i="3"/>
  <c r="G282" i="3"/>
  <c r="BL282" i="3"/>
  <c r="BA284" i="3"/>
  <c r="AZ284" i="3" s="1"/>
  <c r="BL286" i="3"/>
  <c r="AZ286" i="3" s="1"/>
  <c r="BL288" i="3"/>
  <c r="AZ288" i="3" s="1"/>
  <c r="BA289" i="3"/>
  <c r="AZ289" i="3" s="1"/>
  <c r="BL291" i="3"/>
  <c r="AZ291" i="3" s="1"/>
  <c r="G293" i="3"/>
  <c r="BL293" i="3"/>
  <c r="G295" i="3"/>
  <c r="G296" i="3"/>
  <c r="G297" i="3"/>
  <c r="G298" i="3"/>
  <c r="BL298" i="3"/>
  <c r="AZ298" i="3" s="1"/>
  <c r="BA300" i="3"/>
  <c r="AZ300" i="3" s="1"/>
  <c r="BA302" i="3"/>
  <c r="AZ302" i="3" s="1"/>
  <c r="BA113" i="3"/>
  <c r="AZ113" i="3" s="1"/>
  <c r="BA114" i="3"/>
  <c r="AZ114" i="3" s="1"/>
  <c r="BL115" i="3"/>
  <c r="AZ115" i="3" s="1"/>
  <c r="AZ398" i="3"/>
  <c r="AZ403" i="3"/>
  <c r="AZ416" i="3"/>
  <c r="AZ418" i="3"/>
  <c r="AZ422" i="3"/>
  <c r="AZ434" i="3"/>
  <c r="AZ445" i="3"/>
  <c r="AZ447" i="3"/>
  <c r="AZ450" i="3"/>
  <c r="AZ454" i="3"/>
  <c r="AZ459" i="3"/>
  <c r="AZ477" i="3"/>
  <c r="AZ282" i="3"/>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C26" i="71"/>
  <c r="D25" i="71"/>
  <c r="O52" i="71"/>
  <c r="O51" i="71"/>
  <c r="D52" i="71"/>
  <c r="BL71" i="3"/>
  <c r="AZ71" i="3" s="1"/>
  <c r="G74" i="3"/>
  <c r="G75" i="3"/>
  <c r="G76" i="3"/>
  <c r="BL76" i="3"/>
  <c r="AZ76" i="3" s="1"/>
  <c r="G79" i="3"/>
  <c r="G80" i="3"/>
  <c r="G81" i="3"/>
  <c r="BL81" i="3"/>
  <c r="AZ81" i="3" s="1"/>
  <c r="BL83" i="3"/>
  <c r="AZ83" i="3" s="1"/>
  <c r="BL85" i="3"/>
  <c r="AZ85" i="3" s="1"/>
  <c r="G88" i="3"/>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J51" i="15"/>
  <c r="AB21" i="37"/>
  <c r="S21" i="21"/>
  <c r="C29" i="39"/>
  <c r="B66" i="43"/>
  <c r="AB10" i="71"/>
  <c r="Y11" i="71"/>
  <c r="Z11" i="71" s="1"/>
  <c r="V14" i="71"/>
  <c r="D53" i="71"/>
  <c r="AB14" i="71"/>
  <c r="AA22" i="71"/>
  <c r="C22" i="71"/>
  <c r="Y16" i="71"/>
  <c r="Z16" i="71" s="1"/>
  <c r="X15" i="71"/>
  <c r="F21" i="71"/>
  <c r="F22" i="71" s="1"/>
  <c r="V22" i="71" s="1"/>
  <c r="Y20" i="71"/>
  <c r="Z20" i="71" s="1"/>
  <c r="B49" i="71"/>
  <c r="B50" i="71" s="1"/>
  <c r="S50" i="71" s="1"/>
  <c r="J1" i="73"/>
  <c r="F81" i="39"/>
  <c r="U38" i="39"/>
  <c r="W29" i="39"/>
  <c r="U29" i="39"/>
  <c r="S29" i="39"/>
  <c r="W27" i="39"/>
  <c r="W23" i="39"/>
  <c r="AC21" i="39"/>
  <c r="U17" i="39"/>
  <c r="AB8" i="39"/>
  <c r="P61" i="15"/>
  <c r="J53" i="15"/>
  <c r="L56" i="15" s="1"/>
  <c r="I10" i="66"/>
  <c r="H66" i="43"/>
  <c r="G66" i="43" s="1"/>
  <c r="H65" i="43"/>
  <c r="G65" i="43" s="1"/>
  <c r="H64" i="43"/>
  <c r="G64" i="43" s="1"/>
  <c r="H63" i="43"/>
  <c r="G63" i="43" s="1"/>
  <c r="H62" i="43"/>
  <c r="G62" i="43" s="1"/>
  <c r="H61" i="43"/>
  <c r="G61" i="43" s="1"/>
  <c r="H60" i="43"/>
  <c r="G60" i="43" s="1"/>
  <c r="H59" i="43"/>
  <c r="G59" i="43" s="1"/>
  <c r="H67" i="43"/>
  <c r="G67" i="43" s="1"/>
  <c r="B41" i="1"/>
  <c r="D68" i="9" s="1"/>
  <c r="D93" i="9"/>
  <c r="C24" i="12"/>
  <c r="F30" i="68"/>
  <c r="C30" i="68" s="1"/>
  <c r="D23" i="67"/>
  <c r="D20" i="53"/>
  <c r="B40" i="72" s="1"/>
  <c r="H110" i="9"/>
  <c r="D18" i="53" s="1"/>
  <c r="B35" i="72" s="1"/>
  <c r="E63" i="40"/>
  <c r="T13" i="1"/>
  <c r="K8" i="1"/>
  <c r="M8" i="1" s="1"/>
  <c r="O8" i="1" s="1"/>
  <c r="P8" i="1" s="1"/>
  <c r="F27" i="6"/>
  <c r="D29" i="43" s="1"/>
  <c r="D1" i="43" s="1"/>
  <c r="E51" i="40"/>
  <c r="E56" i="39"/>
  <c r="E15" i="6"/>
  <c r="E65" i="39" s="1"/>
  <c r="E59" i="40"/>
  <c r="T9" i="1"/>
  <c r="AR11" i="1"/>
  <c r="T11" i="1"/>
  <c r="AQ13" i="1"/>
  <c r="T10" i="1"/>
  <c r="P6" i="1"/>
  <c r="E60" i="40"/>
  <c r="E56" i="40"/>
  <c r="E12" i="6"/>
  <c r="F31" i="6"/>
  <c r="G29" i="6"/>
  <c r="E29" i="6" s="1"/>
  <c r="K15" i="1" s="1"/>
  <c r="F22" i="43"/>
  <c r="F101" i="43"/>
  <c r="E22" i="43"/>
  <c r="L101" i="43"/>
  <c r="H101" i="43"/>
  <c r="M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G52" i="33"/>
  <c r="H52" i="33" s="1"/>
  <c r="G53" i="33"/>
  <c r="H53" i="33" s="1"/>
  <c r="I14" i="74"/>
  <c r="B8" i="74" s="1"/>
  <c r="D127" i="9"/>
  <c r="D13" i="52" s="1"/>
  <c r="D12" i="52"/>
  <c r="E48" i="33"/>
  <c r="R49" i="33"/>
  <c r="J46" i="36"/>
  <c r="K46" i="36" s="1"/>
  <c r="L46" i="36" s="1"/>
  <c r="M46" i="36" s="1"/>
  <c r="N46" i="36" s="1"/>
  <c r="O46" i="36" s="1"/>
  <c r="J7" i="36"/>
  <c r="I52" i="33"/>
  <c r="J52" i="33" s="1"/>
  <c r="I53" i="33"/>
  <c r="J53" i="33" s="1"/>
  <c r="I48" i="35"/>
  <c r="J48" i="35" s="1"/>
  <c r="K48" i="35" s="1"/>
  <c r="L48" i="35" s="1"/>
  <c r="M48" i="35" s="1"/>
  <c r="N48" i="35" s="1"/>
  <c r="O48" i="35" s="1"/>
  <c r="J7" i="35"/>
  <c r="H52" i="37"/>
  <c r="I52" i="37" s="1"/>
  <c r="J52" i="37" s="1"/>
  <c r="K52" i="37" s="1"/>
  <c r="L52" i="37" s="1"/>
  <c r="M52" i="37" s="1"/>
  <c r="N52" i="37" s="1"/>
  <c r="O52" i="37" s="1"/>
  <c r="F7" i="37"/>
  <c r="H7" i="37"/>
  <c r="D17" i="53"/>
  <c r="B36" i="72" s="1"/>
  <c r="D124" i="9"/>
  <c r="F59" i="34"/>
  <c r="D70" i="39"/>
  <c r="E68" i="39"/>
  <c r="M11" i="1"/>
  <c r="J7" i="37"/>
  <c r="G30" i="6"/>
  <c r="G31" i="6" s="1"/>
  <c r="E28" i="6"/>
  <c r="AC17" i="21"/>
  <c r="W17" i="21"/>
  <c r="AB33" i="21"/>
  <c r="U33" i="21"/>
  <c r="D58" i="21"/>
  <c r="O12" i="1"/>
  <c r="P12" i="1" s="1"/>
  <c r="BL5" i="3"/>
  <c r="AZ495" i="3"/>
  <c r="AZ521" i="3"/>
  <c r="F12" i="21"/>
  <c r="J12" i="21"/>
  <c r="H12" i="21"/>
  <c r="H23" i="35"/>
  <c r="J23" i="35"/>
  <c r="F38" i="40"/>
  <c r="J38" i="40"/>
  <c r="H38" i="40"/>
  <c r="AZ409" i="3"/>
  <c r="AZ425" i="3"/>
  <c r="AZ432" i="3"/>
  <c r="AZ464" i="3"/>
  <c r="AZ467" i="3"/>
  <c r="AZ474" i="3"/>
  <c r="AZ480" i="3"/>
  <c r="AZ482" i="3"/>
  <c r="AZ486" i="3"/>
  <c r="AZ488" i="3"/>
  <c r="H7" i="36"/>
  <c r="F7" i="35"/>
  <c r="H7" i="35"/>
  <c r="K120" i="9"/>
  <c r="A18" i="62" s="1"/>
  <c r="B64" i="72" s="1"/>
  <c r="N109" i="43"/>
  <c r="F109" i="43"/>
  <c r="K109" i="43"/>
  <c r="AR10" i="1"/>
  <c r="N104" i="43"/>
  <c r="F105" i="43"/>
  <c r="K105" i="43"/>
  <c r="K102" i="43"/>
  <c r="F102" i="43"/>
  <c r="N105" i="43"/>
  <c r="AA35" i="33"/>
  <c r="AC39" i="34"/>
  <c r="U44" i="34"/>
  <c r="U12" i="39"/>
  <c r="AA27" i="40"/>
  <c r="AB27" i="40"/>
  <c r="AA34" i="33"/>
  <c r="E13" i="6"/>
  <c r="H82" i="43"/>
  <c r="H75" i="43"/>
  <c r="U12" i="37"/>
  <c r="W40" i="37"/>
  <c r="AB13" i="34"/>
  <c r="W29" i="33"/>
  <c r="S45" i="33"/>
  <c r="AC30" i="34"/>
  <c r="W11" i="35"/>
  <c r="S11" i="36"/>
  <c r="AB26" i="33"/>
  <c r="AB11" i="36"/>
  <c r="AA14" i="33"/>
  <c r="AA44" i="33"/>
  <c r="J12" i="36"/>
  <c r="H12" i="36"/>
  <c r="J24" i="36"/>
  <c r="H24" i="36"/>
  <c r="J39" i="40"/>
  <c r="H39" i="40"/>
  <c r="AZ399" i="3"/>
  <c r="AZ404" i="3"/>
  <c r="AZ411" i="3"/>
  <c r="AZ414" i="3"/>
  <c r="AZ421" i="3"/>
  <c r="AZ430" i="3"/>
  <c r="AZ440" i="3"/>
  <c r="AZ449" i="3"/>
  <c r="AZ453" i="3"/>
  <c r="AZ455" i="3"/>
  <c r="AZ460" i="3"/>
  <c r="AZ471" i="3"/>
  <c r="AZ476" i="3"/>
  <c r="AZ216" i="3"/>
  <c r="AZ221" i="3"/>
  <c r="AZ226" i="3"/>
  <c r="AZ230" i="3"/>
  <c r="AZ242" i="3"/>
  <c r="AZ246" i="3"/>
  <c r="AZ258" i="3"/>
  <c r="AZ262" i="3"/>
  <c r="AZ267" i="3"/>
  <c r="AZ278" i="3"/>
  <c r="O17" i="43"/>
  <c r="M17" i="43"/>
  <c r="N17" i="43"/>
  <c r="L17" i="43"/>
  <c r="E17" i="43"/>
  <c r="AZ285" i="3"/>
  <c r="AZ293" i="3"/>
  <c r="AZ153" i="3"/>
  <c r="AZ185" i="3"/>
  <c r="AZ207" i="3"/>
  <c r="AZ62" i="3"/>
  <c r="AZ65" i="3"/>
  <c r="AZ90" i="3"/>
  <c r="AZ99" i="3"/>
  <c r="AZ112" i="3"/>
  <c r="AZ301" i="3"/>
  <c r="AZ122" i="3"/>
  <c r="AZ22" i="3"/>
  <c r="AZ70" i="3"/>
  <c r="AZ92" i="3"/>
  <c r="AZ103" i="3"/>
  <c r="D30" i="71"/>
  <c r="T30" i="71"/>
  <c r="D26" i="71"/>
  <c r="M19" i="43" s="1"/>
  <c r="T26" i="71"/>
  <c r="D22" i="71"/>
  <c r="T22" i="71"/>
  <c r="C42" i="71"/>
  <c r="D41" i="71"/>
  <c r="C46" i="71"/>
  <c r="D45" i="71"/>
  <c r="X19" i="71"/>
  <c r="X20" i="71"/>
  <c r="X21" i="71"/>
  <c r="AA25" i="71"/>
  <c r="AA23" i="71"/>
  <c r="P61" i="67"/>
  <c r="P74" i="67"/>
  <c r="AA10" i="71"/>
  <c r="AA9" i="71"/>
  <c r="E10" i="71"/>
  <c r="B10" i="71"/>
  <c r="X10" i="71"/>
  <c r="Y8" i="71"/>
  <c r="Z8" i="71" s="1"/>
  <c r="AA8" i="71"/>
  <c r="AB8" i="71"/>
  <c r="X8" i="71"/>
  <c r="X9" i="71"/>
  <c r="X7" i="71"/>
  <c r="Y5" i="71"/>
  <c r="Z5" i="71" s="1"/>
  <c r="Y7" i="71"/>
  <c r="Z7" i="71" s="1"/>
  <c r="Y3" i="71"/>
  <c r="Z3" i="71" s="1"/>
  <c r="AA7" i="71"/>
  <c r="AA6" i="71"/>
  <c r="AA5" i="71"/>
  <c r="C40" i="68"/>
  <c r="C40" i="69"/>
  <c r="S18" i="36"/>
  <c r="D14" i="71"/>
  <c r="U14" i="71" s="1"/>
  <c r="AA13" i="71"/>
  <c r="AA11" i="71"/>
  <c r="AB13" i="71"/>
  <c r="AB11" i="71"/>
  <c r="S14" i="71"/>
  <c r="C69" i="71"/>
  <c r="Q53" i="71"/>
  <c r="Q51" i="71"/>
  <c r="D20" i="71"/>
  <c r="C17" i="71"/>
  <c r="X13" i="71"/>
  <c r="X11" i="71"/>
  <c r="Y13" i="71"/>
  <c r="Z13" i="71" s="1"/>
  <c r="Y23" i="71"/>
  <c r="Z23" i="71" s="1"/>
  <c r="AA20" i="71"/>
  <c r="Y19" i="71"/>
  <c r="Z19" i="71" s="1"/>
  <c r="X18" i="71"/>
  <c r="X16"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S54" i="71"/>
  <c r="B53" i="71"/>
  <c r="Y9" i="71"/>
  <c r="Z9" i="71" s="1"/>
  <c r="C10" i="71"/>
  <c r="Y10" i="71"/>
  <c r="Z10" i="71" s="1"/>
  <c r="AB9" i="71"/>
  <c r="X6" i="71"/>
  <c r="X5" i="71"/>
  <c r="AB7" i="71"/>
  <c r="AB6" i="71"/>
  <c r="AB5" i="71"/>
  <c r="F7" i="71"/>
  <c r="F6" i="71" s="1"/>
  <c r="F5" i="71" s="1"/>
  <c r="Y6" i="71"/>
  <c r="Z6" i="71" s="1"/>
  <c r="B7" i="49"/>
  <c r="C4" i="4" s="1"/>
  <c r="B4" i="62" s="1"/>
  <c r="B71" i="72" s="1"/>
  <c r="E7" i="49"/>
  <c r="B15" i="49"/>
  <c r="AB3" i="71"/>
  <c r="X3" i="71"/>
  <c r="E10" i="49"/>
  <c r="B6" i="49"/>
  <c r="E14" i="49"/>
  <c r="AF3" i="71"/>
  <c r="P24" i="43" s="1"/>
  <c r="B66" i="40"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66" i="15"/>
  <c r="F50" i="15"/>
  <c r="M7" i="15"/>
  <c r="B10" i="70"/>
  <c r="N59" i="15"/>
  <c r="M59" i="15"/>
  <c r="L59" i="15" s="1"/>
  <c r="L58" i="15"/>
  <c r="Q71" i="67"/>
  <c r="B13" i="70"/>
  <c r="B8" i="70"/>
  <c r="B20" i="31"/>
  <c r="B7" i="70"/>
  <c r="F65" i="67"/>
  <c r="Q71" i="15"/>
  <c r="M7" i="67"/>
  <c r="J6" i="67" s="1"/>
  <c r="F50" i="67"/>
  <c r="B11" i="70"/>
  <c r="I1" i="73"/>
  <c r="B39" i="1" s="1"/>
  <c r="F51" i="15"/>
  <c r="F64" i="15"/>
  <c r="I54" i="67"/>
  <c r="J57" i="67"/>
  <c r="J55" i="67" s="1"/>
  <c r="J58" i="67" s="1"/>
  <c r="Q50" i="67" s="1"/>
  <c r="L56" i="67"/>
  <c r="B12" i="70"/>
  <c r="B9" i="70"/>
  <c r="F31" i="15"/>
  <c r="M17" i="15"/>
  <c r="F59" i="67"/>
  <c r="F59" i="15"/>
  <c r="F31" i="67"/>
  <c r="M17" i="67"/>
  <c r="F42" i="15"/>
  <c r="F6" i="67"/>
  <c r="M8" i="15"/>
  <c r="F41" i="67"/>
  <c r="F13" i="15"/>
  <c r="J15" i="15"/>
  <c r="M28" i="67"/>
  <c r="F16" i="15"/>
  <c r="F43" i="67"/>
  <c r="M26" i="15"/>
  <c r="M23" i="15"/>
  <c r="M29" i="67"/>
  <c r="M29" i="15"/>
  <c r="F40" i="15"/>
  <c r="F43" i="15"/>
  <c r="M22" i="15"/>
  <c r="F13" i="67"/>
  <c r="F38" i="67"/>
  <c r="F8" i="67"/>
  <c r="F26" i="15"/>
  <c r="M9" i="15"/>
  <c r="F9" i="15"/>
  <c r="F40" i="67"/>
  <c r="F37" i="15"/>
  <c r="L47" i="67"/>
  <c r="M28" i="15"/>
  <c r="F26" i="67"/>
  <c r="M24" i="67"/>
  <c r="Q16" i="1" l="1"/>
  <c r="H16" i="1"/>
  <c r="G16" i="1"/>
  <c r="C27" i="15"/>
  <c r="F71" i="67"/>
  <c r="C27" i="67"/>
  <c r="F66" i="67"/>
  <c r="F51" i="67"/>
  <c r="C49" i="67" s="1"/>
  <c r="F69" i="67"/>
  <c r="F68" i="15"/>
  <c r="F65" i="15"/>
  <c r="F71" i="15"/>
  <c r="M59" i="67"/>
  <c r="L58" i="67"/>
  <c r="Q73" i="67" s="1"/>
  <c r="L59" i="67"/>
  <c r="Q74" i="67" s="1"/>
  <c r="N59" i="67"/>
  <c r="F68" i="67"/>
  <c r="C6" i="67"/>
  <c r="J6" i="15"/>
  <c r="AZ55" i="3"/>
  <c r="AZ51" i="3"/>
  <c r="AZ49" i="3"/>
  <c r="AZ25" i="3"/>
  <c r="AZ166" i="3"/>
  <c r="AZ117" i="3"/>
  <c r="AZ290" i="3"/>
  <c r="AZ283" i="3"/>
  <c r="AZ279" i="3"/>
  <c r="AZ263" i="3"/>
  <c r="AZ259" i="3"/>
  <c r="AZ224" i="3"/>
  <c r="AZ222" i="3"/>
  <c r="AZ395" i="3"/>
  <c r="AZ333" i="3"/>
  <c r="AZ484" i="3"/>
  <c r="AZ427" i="3"/>
  <c r="U45" i="39"/>
  <c r="AB45" i="39"/>
  <c r="AC34" i="35"/>
  <c r="W34" i="35"/>
  <c r="AA44" i="39"/>
  <c r="S44" i="39"/>
  <c r="W33" i="36"/>
  <c r="AC33" i="36"/>
  <c r="W34" i="36"/>
  <c r="AC34" i="36"/>
  <c r="G5" i="3"/>
  <c r="B3" i="3" s="1"/>
  <c r="E17" i="3" s="1"/>
  <c r="T14" i="71"/>
  <c r="C13" i="71"/>
  <c r="AZ97" i="3"/>
  <c r="AC36" i="39"/>
  <c r="W36" i="39"/>
  <c r="W45" i="39"/>
  <c r="AC45" i="39"/>
  <c r="AA34" i="35"/>
  <c r="S34" i="35"/>
  <c r="AB44" i="39"/>
  <c r="U44" i="39"/>
  <c r="K4" i="4"/>
  <c r="B46" i="48" s="1"/>
  <c r="B4" i="72" s="1"/>
  <c r="E44" i="3"/>
  <c r="E395" i="3"/>
  <c r="E535" i="3"/>
  <c r="E579" i="3"/>
  <c r="E247" i="3"/>
  <c r="E314" i="3"/>
  <c r="E16" i="3"/>
  <c r="AK6" i="3"/>
  <c r="E434" i="3"/>
  <c r="E306" i="3"/>
  <c r="E368" i="3"/>
  <c r="E244" i="3"/>
  <c r="E196" i="3"/>
  <c r="E136" i="3"/>
  <c r="E156" i="3"/>
  <c r="E236" i="3"/>
  <c r="E148" i="3"/>
  <c r="E269" i="3"/>
  <c r="E120" i="3"/>
  <c r="E45" i="3"/>
  <c r="E277" i="3"/>
  <c r="E224" i="3"/>
  <c r="E177" i="3"/>
  <c r="E193" i="3"/>
  <c r="E133" i="3"/>
  <c r="E286" i="3"/>
  <c r="E312" i="3"/>
  <c r="E575" i="3"/>
  <c r="AD6" i="3"/>
  <c r="E499" i="3"/>
  <c r="E542" i="3"/>
  <c r="R6" i="3"/>
  <c r="E552" i="3"/>
  <c r="E502" i="3"/>
  <c r="E421" i="3"/>
  <c r="E442" i="3"/>
  <c r="E466" i="3"/>
  <c r="E487" i="3"/>
  <c r="E541" i="3"/>
  <c r="E430" i="3"/>
  <c r="E449" i="3"/>
  <c r="E459" i="3"/>
  <c r="E255" i="3"/>
  <c r="E374" i="3"/>
  <c r="I3" i="6"/>
  <c r="E566" i="3"/>
  <c r="AP6" i="3"/>
  <c r="E500" i="3"/>
  <c r="E554" i="3"/>
  <c r="E582" i="3"/>
  <c r="E517" i="3"/>
  <c r="E413" i="3"/>
  <c r="E435" i="3"/>
  <c r="E460" i="3"/>
  <c r="E491" i="3"/>
  <c r="E520" i="3"/>
  <c r="E417" i="3"/>
  <c r="E436" i="3"/>
  <c r="E479" i="3"/>
  <c r="E39" i="3"/>
  <c r="E56" i="3"/>
  <c r="E37" i="3"/>
  <c r="E95" i="3"/>
  <c r="E131" i="3"/>
  <c r="E187" i="3"/>
  <c r="E132" i="3"/>
  <c r="E155" i="3"/>
  <c r="E192" i="3"/>
  <c r="E259" i="3"/>
  <c r="E292" i="3"/>
  <c r="E348" i="3"/>
  <c r="E363" i="3"/>
  <c r="E378" i="3"/>
  <c r="E349" i="3"/>
  <c r="E375" i="3"/>
  <c r="E389" i="3"/>
  <c r="E504" i="3"/>
  <c r="E544" i="3"/>
  <c r="E58" i="3"/>
  <c r="E59" i="3"/>
  <c r="E540" i="3"/>
  <c r="E521" i="3"/>
  <c r="E446" i="3"/>
  <c r="E47" i="3"/>
  <c r="E98" i="3"/>
  <c r="E65" i="3"/>
  <c r="E248" i="3"/>
  <c r="E209" i="3"/>
  <c r="E307" i="3"/>
  <c r="E386" i="3"/>
  <c r="E354" i="3"/>
  <c r="E584" i="3"/>
  <c r="E66" i="3"/>
  <c r="E24" i="3"/>
  <c r="E48" i="3"/>
  <c r="E87" i="3"/>
  <c r="E127" i="3"/>
  <c r="E250" i="3"/>
  <c r="E284" i="3"/>
  <c r="E341" i="3"/>
  <c r="Y6" i="3"/>
  <c r="E51" i="3"/>
  <c r="E154" i="3"/>
  <c r="E222" i="3"/>
  <c r="E373" i="3"/>
  <c r="E82" i="3"/>
  <c r="E237" i="3"/>
  <c r="E304" i="3"/>
  <c r="E528" i="3"/>
  <c r="E565" i="3"/>
  <c r="E183" i="3"/>
  <c r="E361" i="3"/>
  <c r="E503" i="3"/>
  <c r="E302" i="3"/>
  <c r="E388" i="3"/>
  <c r="O6" i="3"/>
  <c r="E555" i="3"/>
  <c r="E574" i="3"/>
  <c r="E410" i="3"/>
  <c r="E359" i="3"/>
  <c r="E337" i="3"/>
  <c r="E285" i="3"/>
  <c r="E97" i="3"/>
  <c r="E353" i="3"/>
  <c r="E385" i="3"/>
  <c r="E495" i="3"/>
  <c r="E518" i="3"/>
  <c r="AN6" i="3"/>
  <c r="AI6" i="3"/>
  <c r="E586" i="3"/>
  <c r="E578" i="3"/>
  <c r="E423" i="3"/>
  <c r="E350" i="3"/>
  <c r="E303" i="3"/>
  <c r="E263" i="3"/>
  <c r="E301" i="3"/>
  <c r="E188" i="3"/>
  <c r="E228" i="3"/>
  <c r="E181" i="3"/>
  <c r="E157" i="3"/>
  <c r="E140" i="3"/>
  <c r="E85" i="3"/>
  <c r="E223" i="3"/>
  <c r="E238" i="3"/>
  <c r="E197" i="3"/>
  <c r="E116" i="3"/>
  <c r="E173" i="3"/>
  <c r="E327" i="3"/>
  <c r="E379" i="3"/>
  <c r="E576" i="3"/>
  <c r="E585" i="3"/>
  <c r="Z6" i="3"/>
  <c r="U6" i="3"/>
  <c r="AG6" i="3"/>
  <c r="E515" i="3"/>
  <c r="AO6" i="3"/>
  <c r="E411" i="3"/>
  <c r="E448" i="3"/>
  <c r="E478" i="3"/>
  <c r="E485" i="3"/>
  <c r="E548" i="3"/>
  <c r="P6" i="3"/>
  <c r="E414" i="3"/>
  <c r="E400" i="3"/>
  <c r="E477" i="3"/>
  <c r="E367" i="3"/>
  <c r="E558" i="3"/>
  <c r="E505" i="3"/>
  <c r="E557" i="3"/>
  <c r="E547" i="3"/>
  <c r="E581" i="3"/>
  <c r="AS6" i="3"/>
  <c r="E531" i="3"/>
  <c r="E403" i="3"/>
  <c r="E444" i="3"/>
  <c r="E476" i="3"/>
  <c r="E489" i="3"/>
  <c r="E546" i="3"/>
  <c r="E404" i="3"/>
  <c r="E28" i="3"/>
  <c r="E71" i="3"/>
  <c r="E27" i="3"/>
  <c r="E92" i="3"/>
  <c r="E121" i="3"/>
  <c r="E182" i="3"/>
  <c r="E166" i="3"/>
  <c r="E186" i="3"/>
  <c r="E211" i="3"/>
  <c r="E272" i="3"/>
  <c r="E210" i="3"/>
  <c r="E273" i="3"/>
  <c r="E291" i="3"/>
  <c r="E316" i="3"/>
  <c r="E377" i="3"/>
  <c r="E317" i="3"/>
  <c r="E384" i="3"/>
  <c r="E572" i="3"/>
  <c r="E30" i="3"/>
  <c r="E29" i="3"/>
  <c r="E441" i="3"/>
  <c r="E64" i="3"/>
  <c r="E103" i="3"/>
  <c r="E300" i="3"/>
  <c r="E310" i="3"/>
  <c r="E23" i="3"/>
  <c r="E67" i="3"/>
  <c r="E144" i="3"/>
  <c r="E233" i="3"/>
  <c r="E381" i="3"/>
  <c r="E63" i="3"/>
  <c r="E118" i="3"/>
  <c r="E283" i="3"/>
  <c r="E513" i="3"/>
  <c r="E484" i="3"/>
  <c r="E46" i="3"/>
  <c r="E160" i="3"/>
  <c r="E249" i="3"/>
  <c r="E371" i="3"/>
  <c r="E492" i="3"/>
  <c r="E84" i="3"/>
  <c r="E33" i="3"/>
  <c r="E355" i="3"/>
  <c r="E68" i="3"/>
  <c r="E264" i="3"/>
  <c r="E30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05" i="3"/>
  <c r="E89" i="3"/>
  <c r="E70" i="3"/>
  <c r="AZ23" i="3"/>
  <c r="BA5" i="3"/>
  <c r="E27" i="6" s="1"/>
  <c r="E200" i="3"/>
  <c r="E195" i="3"/>
  <c r="E191" i="3"/>
  <c r="E184" i="3"/>
  <c r="E179" i="3"/>
  <c r="E163" i="3"/>
  <c r="E159" i="3"/>
  <c r="E152" i="3"/>
  <c r="E143" i="3"/>
  <c r="E297" i="3"/>
  <c r="E295" i="3"/>
  <c r="E278" i="3"/>
  <c r="E267" i="3"/>
  <c r="E262" i="3"/>
  <c r="E245" i="3"/>
  <c r="E240" i="3"/>
  <c r="E462" i="3"/>
  <c r="E447" i="3"/>
  <c r="E445" i="3"/>
  <c r="E425" i="3"/>
  <c r="E398" i="3"/>
  <c r="AB23" i="36"/>
  <c r="U23" i="36"/>
  <c r="AB9" i="36"/>
  <c r="U9" i="36"/>
  <c r="AC36" i="35"/>
  <c r="W36" i="35"/>
  <c r="E109" i="3"/>
  <c r="E99" i="3"/>
  <c r="E90" i="3"/>
  <c r="E88" i="3"/>
  <c r="E81" i="3"/>
  <c r="E76" i="3"/>
  <c r="E69" i="3"/>
  <c r="E57" i="3"/>
  <c r="E21" i="3"/>
  <c r="E19" i="3"/>
  <c r="E162" i="3"/>
  <c r="E142" i="3"/>
  <c r="E138" i="3"/>
  <c r="E122" i="3"/>
  <c r="E296" i="3"/>
  <c r="E266" i="3"/>
  <c r="E261" i="3"/>
  <c r="E258" i="3"/>
  <c r="E241" i="3"/>
  <c r="E229" i="3"/>
  <c r="E213" i="3"/>
  <c r="E382" i="3"/>
  <c r="E345" i="3"/>
  <c r="E323" i="3"/>
  <c r="E480" i="3"/>
  <c r="E467" i="3"/>
  <c r="E464" i="3"/>
  <c r="AZ451" i="3"/>
  <c r="E443" i="3"/>
  <c r="AZ438" i="3"/>
  <c r="AZ435" i="3"/>
  <c r="E432" i="3"/>
  <c r="AZ419" i="3"/>
  <c r="E416" i="3"/>
  <c r="E402" i="3"/>
  <c r="AA23" i="36"/>
  <c r="S23" i="36"/>
  <c r="K59" i="43"/>
  <c r="J59" i="43" s="1"/>
  <c r="M59" i="43"/>
  <c r="N59" i="43" s="1"/>
  <c r="K61" i="43"/>
  <c r="M61" i="43"/>
  <c r="N61" i="43" s="1"/>
  <c r="K63" i="43"/>
  <c r="J63" i="43" s="1"/>
  <c r="M63" i="43"/>
  <c r="N63" i="43" s="1"/>
  <c r="K65" i="43"/>
  <c r="J65" i="43" s="1"/>
  <c r="M65" i="43"/>
  <c r="N65" i="43" s="1"/>
  <c r="K67" i="43"/>
  <c r="M67" i="43"/>
  <c r="N67" i="43" s="1"/>
  <c r="K60" i="43"/>
  <c r="J60" i="43" s="1"/>
  <c r="M60" i="43"/>
  <c r="N60" i="43" s="1"/>
  <c r="K62" i="43"/>
  <c r="M62" i="43"/>
  <c r="N62" i="43" s="1"/>
  <c r="K64" i="43"/>
  <c r="M64" i="43"/>
  <c r="N64" i="43" s="1"/>
  <c r="K66" i="43"/>
  <c r="J66" i="43" s="1"/>
  <c r="D66" i="43" s="1"/>
  <c r="M66" i="43"/>
  <c r="N66" i="43" s="1"/>
  <c r="G81" i="39"/>
  <c r="H81" i="39" s="1"/>
  <c r="I81" i="39" s="1"/>
  <c r="J81" i="39" s="1"/>
  <c r="K81" i="39" s="1"/>
  <c r="L81" i="39" s="1"/>
  <c r="M81" i="39" s="1"/>
  <c r="Q52" i="15"/>
  <c r="F1" i="15"/>
  <c r="I21" i="66"/>
  <c r="D1" i="66" s="1"/>
  <c r="G17" i="43"/>
  <c r="C16" i="43" s="1"/>
  <c r="D5" i="43" s="1"/>
  <c r="M18" i="67"/>
  <c r="C48" i="68"/>
  <c r="F28" i="67"/>
  <c r="C28" i="67" s="1"/>
  <c r="M18" i="15"/>
  <c r="F54" i="9"/>
  <c r="F28" i="15"/>
  <c r="C28" i="15" s="1"/>
  <c r="F30" i="11"/>
  <c r="C48" i="11" s="1"/>
  <c r="F31" i="12"/>
  <c r="F32" i="15"/>
  <c r="F60" i="15" s="1"/>
  <c r="F32" i="67"/>
  <c r="F60" i="67" s="1"/>
  <c r="F53" i="9"/>
  <c r="F52" i="9"/>
  <c r="F30" i="69"/>
  <c r="F63" i="40"/>
  <c r="E65" i="40"/>
  <c r="F7" i="36"/>
  <c r="S7" i="36" s="1"/>
  <c r="E57" i="40"/>
  <c r="E62" i="39"/>
  <c r="I109" i="43"/>
  <c r="I102" i="43"/>
  <c r="I106" i="43"/>
  <c r="I103" i="43"/>
  <c r="I104" i="43"/>
  <c r="I107" i="43"/>
  <c r="I105" i="43"/>
  <c r="J104" i="43"/>
  <c r="J105" i="43"/>
  <c r="J107" i="43"/>
  <c r="J102" i="43"/>
  <c r="J103" i="43"/>
  <c r="J106" i="43"/>
  <c r="J109" i="43"/>
  <c r="G105" i="43"/>
  <c r="G107" i="43"/>
  <c r="G104" i="43"/>
  <c r="G106" i="43"/>
  <c r="G109" i="43"/>
  <c r="G102" i="43"/>
  <c r="G103" i="43"/>
  <c r="K103" i="43"/>
  <c r="K107" i="43"/>
  <c r="K104" i="43"/>
  <c r="K106" i="43"/>
  <c r="M109" i="43"/>
  <c r="M104" i="43"/>
  <c r="M107" i="43"/>
  <c r="M105" i="43"/>
  <c r="M102" i="43"/>
  <c r="M106" i="43"/>
  <c r="M103" i="43"/>
  <c r="L102" i="43"/>
  <c r="L105" i="43"/>
  <c r="L104" i="43"/>
  <c r="L109" i="43"/>
  <c r="L106" i="43"/>
  <c r="L107" i="43"/>
  <c r="L103" i="43"/>
  <c r="F104" i="43"/>
  <c r="F106" i="43"/>
  <c r="F103" i="43"/>
  <c r="F107" i="43"/>
  <c r="D109" i="43"/>
  <c r="D103" i="43"/>
  <c r="D104" i="43"/>
  <c r="D107" i="43"/>
  <c r="D105" i="43"/>
  <c r="D106" i="43"/>
  <c r="D102" i="43"/>
  <c r="C104" i="43"/>
  <c r="C105" i="43"/>
  <c r="C102" i="43"/>
  <c r="C109" i="43"/>
  <c r="C106" i="43"/>
  <c r="C107" i="43"/>
  <c r="C103" i="43"/>
  <c r="N102" i="43"/>
  <c r="N103" i="43"/>
  <c r="N107" i="43"/>
  <c r="N106" i="43"/>
  <c r="B115" i="43"/>
  <c r="D116" i="43"/>
  <c r="E116" i="43" s="1"/>
  <c r="F116" i="43" s="1"/>
  <c r="G116" i="43" s="1"/>
  <c r="H116" i="43" s="1"/>
  <c r="D118" i="43"/>
  <c r="E118" i="43" s="1"/>
  <c r="F118"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E104" i="43"/>
  <c r="E107" i="43"/>
  <c r="E105" i="43"/>
  <c r="E109" i="43"/>
  <c r="E102" i="43"/>
  <c r="E106" i="43"/>
  <c r="E103" i="43"/>
  <c r="H107" i="43"/>
  <c r="H106" i="43"/>
  <c r="H105" i="43"/>
  <c r="H102" i="43"/>
  <c r="H103" i="43"/>
  <c r="H104" i="43"/>
  <c r="H109" i="43"/>
  <c r="D22" i="43"/>
  <c r="P22" i="43"/>
  <c r="P21" i="43"/>
  <c r="T10" i="71"/>
  <c r="D10" i="71"/>
  <c r="U10" i="71" s="1"/>
  <c r="C9" i="71"/>
  <c r="N53" i="71"/>
  <c r="B52" i="71"/>
  <c r="C18" i="71"/>
  <c r="D17" i="71"/>
  <c r="C68" i="71"/>
  <c r="D68" i="71" s="1"/>
  <c r="D69" i="71"/>
  <c r="B9" i="71"/>
  <c r="B8" i="71" s="1"/>
  <c r="B7" i="71" s="1"/>
  <c r="B6" i="71" s="1"/>
  <c r="S10" i="71"/>
  <c r="D46" i="71"/>
  <c r="T46" i="71"/>
  <c r="D42" i="71"/>
  <c r="T42" i="71"/>
  <c r="AZ5" i="3"/>
  <c r="AC39" i="40"/>
  <c r="W39" i="40"/>
  <c r="AC24" i="36"/>
  <c r="W24" i="36"/>
  <c r="AC12" i="36"/>
  <c r="W12" i="36"/>
  <c r="E63" i="39"/>
  <c r="E66" i="39" s="1"/>
  <c r="E58" i="40"/>
  <c r="AA7" i="35"/>
  <c r="R38" i="35" s="1"/>
  <c r="S7" i="35"/>
  <c r="AB38" i="40"/>
  <c r="U38" i="40"/>
  <c r="AA38" i="40"/>
  <c r="S38" i="40"/>
  <c r="U23" i="35"/>
  <c r="AB23" i="35"/>
  <c r="AC12" i="21"/>
  <c r="W12" i="21"/>
  <c r="E58" i="21"/>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M22" i="6" s="1"/>
  <c r="I22" i="6" s="1"/>
  <c r="S22" i="6" s="1"/>
  <c r="AC7" i="37"/>
  <c r="V42" i="37" s="1"/>
  <c r="I42" i="37" s="1"/>
  <c r="W7" i="37"/>
  <c r="F27" i="68"/>
  <c r="F27" i="69"/>
  <c r="F28" i="12"/>
  <c r="C29" i="12" s="1"/>
  <c r="D28" i="12" s="1"/>
  <c r="F27" i="11"/>
  <c r="O11" i="1"/>
  <c r="P11" i="1" s="1"/>
  <c r="G59" i="34"/>
  <c r="H14" i="74"/>
  <c r="B7" i="74" s="1"/>
  <c r="D10" i="52"/>
  <c r="D125" i="9"/>
  <c r="D11" i="52" s="1"/>
  <c r="U7" i="37"/>
  <c r="AB7" i="37"/>
  <c r="T42" i="37" s="1"/>
  <c r="G42" i="37" s="1"/>
  <c r="AA7" i="36"/>
  <c r="R36" i="36" s="1"/>
  <c r="C49" i="33"/>
  <c r="C48" i="33"/>
  <c r="E9" i="71"/>
  <c r="E8" i="71" s="1"/>
  <c r="E7" i="71" s="1"/>
  <c r="E6" i="71" s="1"/>
  <c r="V10" i="71"/>
  <c r="U39" i="40"/>
  <c r="AB39" i="40"/>
  <c r="AB24" i="36"/>
  <c r="U24" i="36"/>
  <c r="U12" i="36"/>
  <c r="AB12" i="36"/>
  <c r="AB7" i="35"/>
  <c r="T38" i="35" s="1"/>
  <c r="G38" i="35" s="1"/>
  <c r="U7" i="35"/>
  <c r="AB7" i="36"/>
  <c r="T36" i="36" s="1"/>
  <c r="G36" i="36" s="1"/>
  <c r="U7" i="36"/>
  <c r="AC38" i="40"/>
  <c r="W38" i="40"/>
  <c r="AC23" i="35"/>
  <c r="W23" i="35"/>
  <c r="AB12" i="21"/>
  <c r="U12" i="21"/>
  <c r="S12" i="21"/>
  <c r="AA12" i="21"/>
  <c r="E16" i="6"/>
  <c r="F10" i="40"/>
  <c r="J10" i="39"/>
  <c r="H10" i="40"/>
  <c r="F10" i="39"/>
  <c r="J10" i="40"/>
  <c r="H10" i="39"/>
  <c r="F68" i="39"/>
  <c r="E70" i="39"/>
  <c r="S7" i="37"/>
  <c r="AA7" i="37"/>
  <c r="R42" i="37" s="1"/>
  <c r="AC7" i="35"/>
  <c r="V38" i="35" s="1"/>
  <c r="I38" i="35" s="1"/>
  <c r="W7" i="35"/>
  <c r="W7" i="36"/>
  <c r="AC7" i="36"/>
  <c r="V36" i="36" s="1"/>
  <c r="I36" i="36" s="1"/>
  <c r="E53" i="33"/>
  <c r="F53" i="33" s="1"/>
  <c r="E52" i="33"/>
  <c r="F52" i="33" s="1"/>
  <c r="P23" i="43"/>
  <c r="B71" i="39" s="1"/>
  <c r="P25" i="43"/>
  <c r="C49" i="15"/>
  <c r="M11" i="15"/>
  <c r="F11" i="67"/>
  <c r="F11" i="15"/>
  <c r="M11" i="67"/>
  <c r="J10" i="67" s="1"/>
  <c r="J5" i="67" s="1"/>
  <c r="Q60" i="15"/>
  <c r="Q73" i="15"/>
  <c r="Q74" i="15"/>
  <c r="Q61" i="15"/>
  <c r="Q61" i="67"/>
  <c r="D6" i="73"/>
  <c r="D3" i="73"/>
  <c r="C16" i="15"/>
  <c r="D4" i="73"/>
  <c r="C16" i="67"/>
  <c r="AE6" i="1"/>
  <c r="D7" i="73"/>
  <c r="D5" i="73"/>
  <c r="C17" i="15"/>
  <c r="Q60" i="67" l="1"/>
  <c r="E511" i="3"/>
  <c r="E151" i="3"/>
  <c r="E431" i="3"/>
  <c r="E509" i="3"/>
  <c r="E260" i="3"/>
  <c r="E415" i="3"/>
  <c r="E334" i="3"/>
  <c r="E453" i="3"/>
  <c r="E549" i="3"/>
  <c r="E536" i="3"/>
  <c r="I6" i="3"/>
  <c r="H6" i="3" s="1"/>
  <c r="E568" i="3"/>
  <c r="E397" i="3"/>
  <c r="E201" i="3"/>
  <c r="E396" i="3"/>
  <c r="E569" i="3"/>
  <c r="E516" i="3"/>
  <c r="E239" i="3"/>
  <c r="E550" i="3"/>
  <c r="E172" i="3"/>
  <c r="E563" i="3"/>
  <c r="E114" i="3"/>
  <c r="AM6" i="3"/>
  <c r="E126" i="3"/>
  <c r="AC6" i="3"/>
  <c r="E6" i="3" s="1"/>
  <c r="E331" i="3"/>
  <c r="J10" i="15"/>
  <c r="J5" i="15" s="1"/>
  <c r="J18" i="15" s="1"/>
  <c r="C12" i="71"/>
  <c r="D12" i="71" s="1"/>
  <c r="D13" i="71"/>
  <c r="K1" i="73"/>
  <c r="E20" i="43"/>
  <c r="E6" i="70"/>
  <c r="E2" i="70" s="1"/>
  <c r="J64" i="43"/>
  <c r="D64" i="43"/>
  <c r="J62" i="43"/>
  <c r="D62" i="43"/>
  <c r="J67" i="43"/>
  <c r="D67" i="43"/>
  <c r="J61" i="43"/>
  <c r="D61" i="43"/>
  <c r="E59" i="43" s="1"/>
  <c r="B57" i="43" s="1"/>
  <c r="C24" i="43" s="1"/>
  <c r="E10" i="66"/>
  <c r="C27" i="66"/>
  <c r="C5" i="43"/>
  <c r="C30" i="11"/>
  <c r="C48" i="69"/>
  <c r="C30" i="69"/>
  <c r="G63" i="40"/>
  <c r="F65" i="40"/>
  <c r="M21" i="6"/>
  <c r="I21" i="6" s="1"/>
  <c r="S21" i="6" s="1"/>
  <c r="S8" i="1"/>
  <c r="AR6" i="1"/>
  <c r="AQ6" i="1"/>
  <c r="T6" i="1"/>
  <c r="M20" i="6"/>
  <c r="I20" i="6" s="1"/>
  <c r="S20" i="6" s="1"/>
  <c r="S7" i="1"/>
  <c r="C115" i="43"/>
  <c r="D113" i="43" s="1"/>
  <c r="S6" i="43"/>
  <c r="S4" i="43"/>
  <c r="S3" i="43"/>
  <c r="S2" i="43"/>
  <c r="S5" i="43"/>
  <c r="C23" i="43"/>
  <c r="C21" i="43" s="1"/>
  <c r="S7" i="43"/>
  <c r="I42" i="35"/>
  <c r="J42" i="35" s="1"/>
  <c r="G68" i="39"/>
  <c r="F70" i="39"/>
  <c r="W10" i="40"/>
  <c r="AC10" i="40"/>
  <c r="U10" i="40"/>
  <c r="AB10" i="40"/>
  <c r="AA10" i="40"/>
  <c r="S10" i="40"/>
  <c r="H59" i="34"/>
  <c r="C29" i="68"/>
  <c r="D27" i="68" s="1"/>
  <c r="C47" i="68"/>
  <c r="D45" i="68" s="1"/>
  <c r="I46" i="37"/>
  <c r="J46" i="37" s="1"/>
  <c r="AY6" i="3"/>
  <c r="E3" i="6"/>
  <c r="B5" i="71"/>
  <c r="S6" i="71"/>
  <c r="D18" i="71"/>
  <c r="T18" i="71"/>
  <c r="I40" i="36"/>
  <c r="J40" i="36" s="1"/>
  <c r="E42" i="37"/>
  <c r="I47" i="37" s="1"/>
  <c r="J47" i="37" s="1"/>
  <c r="R43" i="37"/>
  <c r="U10" i="39"/>
  <c r="AB10" i="39"/>
  <c r="S10" i="39"/>
  <c r="AA10" i="39"/>
  <c r="W10" i="39"/>
  <c r="AC10" i="39"/>
  <c r="G40" i="36"/>
  <c r="H40" i="36" s="1"/>
  <c r="G41" i="36"/>
  <c r="H41" i="36" s="1"/>
  <c r="G42" i="35"/>
  <c r="H42" i="35" s="1"/>
  <c r="G43" i="35"/>
  <c r="H43" i="35" s="1"/>
  <c r="E5" i="71"/>
  <c r="V6" i="71"/>
  <c r="E36" i="36"/>
  <c r="I41" i="36" s="1"/>
  <c r="J41" i="36" s="1"/>
  <c r="R37" i="36"/>
  <c r="G46" i="37"/>
  <c r="H46" i="37" s="1"/>
  <c r="G47" i="37"/>
  <c r="H47" i="37" s="1"/>
  <c r="C47" i="11"/>
  <c r="D45" i="11" s="1"/>
  <c r="C29" i="11"/>
  <c r="D27" i="11" s="1"/>
  <c r="C47" i="69"/>
  <c r="D45" i="69" s="1"/>
  <c r="C29" i="69"/>
  <c r="D27" i="69" s="1"/>
  <c r="K27" i="6"/>
  <c r="M19" i="6"/>
  <c r="M14" i="1"/>
  <c r="K16" i="1"/>
  <c r="C34" i="69"/>
  <c r="F58" i="21"/>
  <c r="E38" i="35"/>
  <c r="I43" i="35" s="1"/>
  <c r="J43" i="35" s="1"/>
  <c r="R39" i="35"/>
  <c r="N52" i="71"/>
  <c r="N51" i="71"/>
  <c r="C8" i="71"/>
  <c r="D9" i="71"/>
  <c r="J24" i="67"/>
  <c r="J26" i="67"/>
  <c r="J29" i="67" s="1"/>
  <c r="J18" i="67"/>
  <c r="C53" i="67"/>
  <c r="C48" i="67" s="1"/>
  <c r="C10" i="67"/>
  <c r="C5" i="67" s="1"/>
  <c r="C53" i="15"/>
  <c r="C48" i="15" s="1"/>
  <c r="C17" i="67"/>
  <c r="F41" i="15"/>
  <c r="C14" i="67"/>
  <c r="G1" i="73"/>
  <c r="C14" i="15"/>
  <c r="C18" i="67" l="1"/>
  <c r="C15" i="67"/>
  <c r="J24" i="15"/>
  <c r="J26" i="15"/>
  <c r="J29" i="15" s="1"/>
  <c r="C18" i="15"/>
  <c r="C15" i="15"/>
  <c r="B40" i="1"/>
  <c r="S16" i="1"/>
  <c r="P28" i="43"/>
  <c r="N28" i="43"/>
  <c r="G20" i="43" s="1"/>
  <c r="M28" i="43"/>
  <c r="O28" i="43"/>
  <c r="F69" i="15"/>
  <c r="C31" i="66"/>
  <c r="C32" i="66"/>
  <c r="C30" i="66"/>
  <c r="H63" i="40"/>
  <c r="G65" i="40"/>
  <c r="T7" i="1"/>
  <c r="AR7" i="1"/>
  <c r="AQ7" i="1"/>
  <c r="AQ8" i="1"/>
  <c r="T8" i="1"/>
  <c r="AR8" i="1"/>
  <c r="C38" i="35"/>
  <c r="C39" i="35"/>
  <c r="B2" i="35" s="1"/>
  <c r="B3" i="35" s="1"/>
  <c r="D3" i="21"/>
  <c r="D19" i="11"/>
  <c r="C19" i="11" s="1"/>
  <c r="D37" i="11"/>
  <c r="D14" i="12"/>
  <c r="M18" i="9"/>
  <c r="B118" i="9" s="1"/>
  <c r="B14" i="74" s="1"/>
  <c r="D3" i="34"/>
  <c r="D3" i="37"/>
  <c r="D3" i="33"/>
  <c r="B2" i="33" s="1"/>
  <c r="B3" i="33" s="1"/>
  <c r="E6" i="6"/>
  <c r="C17" i="4"/>
  <c r="B4" i="52" s="1"/>
  <c r="B43" i="72" s="1"/>
  <c r="L18" i="9"/>
  <c r="D8" i="71"/>
  <c r="C7" i="71"/>
  <c r="E43" i="35"/>
  <c r="F43" i="35" s="1"/>
  <c r="E42" i="35"/>
  <c r="F42" i="35" s="1"/>
  <c r="G58" i="21"/>
  <c r="M27" i="6"/>
  <c r="I19" i="6"/>
  <c r="C36" i="36"/>
  <c r="C37" i="36"/>
  <c r="B2" i="36" s="1"/>
  <c r="B3" i="36" s="1"/>
  <c r="E47" i="37"/>
  <c r="F47" i="37" s="1"/>
  <c r="E46" i="37"/>
  <c r="F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9" i="34"/>
  <c r="G70" i="39"/>
  <c r="H68" i="39"/>
  <c r="C38" i="69"/>
  <c r="C35" i="69"/>
  <c r="O14" i="1"/>
  <c r="O16" i="1" s="1"/>
  <c r="T16" i="1"/>
  <c r="M16" i="1"/>
  <c r="E40" i="36"/>
  <c r="F40" i="36" s="1"/>
  <c r="E41" i="36"/>
  <c r="F41" i="36" s="1"/>
  <c r="C42" i="37"/>
  <c r="C43" i="37"/>
  <c r="B2" i="37" s="1"/>
  <c r="B3" i="37" s="1"/>
  <c r="C66" i="15"/>
  <c r="C60" i="15"/>
  <c r="C60" i="67"/>
  <c r="C66" i="67"/>
  <c r="C38" i="67"/>
  <c r="C32" i="67"/>
  <c r="C19" i="67" l="1"/>
  <c r="C20" i="67" s="1"/>
  <c r="C26" i="67" s="1"/>
  <c r="P14" i="1"/>
  <c r="P16" i="1" s="1"/>
  <c r="C11" i="12" s="1"/>
  <c r="C12" i="12" s="1"/>
  <c r="C19" i="15"/>
  <c r="C20" i="15" s="1"/>
  <c r="C26" i="15" s="1"/>
  <c r="E26" i="66"/>
  <c r="U6" i="1" s="1"/>
  <c r="F22" i="68"/>
  <c r="F22" i="69"/>
  <c r="F24" i="67"/>
  <c r="F22" i="11"/>
  <c r="F25" i="12"/>
  <c r="C26" i="12" s="1"/>
  <c r="D25" i="12" s="1"/>
  <c r="F24" i="15"/>
  <c r="C24" i="15" s="1"/>
  <c r="E41" i="43"/>
  <c r="C41" i="43" s="1"/>
  <c r="C20" i="43"/>
  <c r="I63" i="40"/>
  <c r="H65" i="40"/>
  <c r="H20" i="6"/>
  <c r="M19" i="9"/>
  <c r="C118" i="9" s="1"/>
  <c r="C14" i="74" s="1"/>
  <c r="D19" i="6"/>
  <c r="D26" i="6"/>
  <c r="C18" i="4"/>
  <c r="D8" i="6"/>
  <c r="D23" i="6"/>
  <c r="D14" i="6"/>
  <c r="D5" i="6"/>
  <c r="D12" i="6"/>
  <c r="D11" i="6"/>
  <c r="D13" i="6"/>
  <c r="D28" i="6"/>
  <c r="E61" i="40"/>
  <c r="H23" i="6"/>
  <c r="H26" i="6"/>
  <c r="D25" i="6"/>
  <c r="D22" i="6"/>
  <c r="D24" i="6"/>
  <c r="D9" i="6"/>
  <c r="L19" i="9"/>
  <c r="H25" i="6"/>
  <c r="H21" i="6"/>
  <c r="H19" i="6"/>
  <c r="D15" i="6"/>
  <c r="D21" i="6"/>
  <c r="D20" i="6"/>
  <c r="R20" i="6" s="1"/>
  <c r="R7" i="1" s="1"/>
  <c r="D6" i="6"/>
  <c r="D10" i="6"/>
  <c r="D29" i="6"/>
  <c r="H22" i="6"/>
  <c r="H24" i="6"/>
  <c r="S19" i="6"/>
  <c r="S27" i="6" s="1"/>
  <c r="I27" i="6"/>
  <c r="H58" i="21"/>
  <c r="C15" i="12"/>
  <c r="N16" i="1"/>
  <c r="L16" i="1"/>
  <c r="I68" i="39"/>
  <c r="H70" i="39"/>
  <c r="J59" i="34"/>
  <c r="C6" i="71"/>
  <c r="D7" i="71"/>
  <c r="D10" i="68"/>
  <c r="D20" i="12"/>
  <c r="C20" i="12" s="1"/>
  <c r="D10" i="11"/>
  <c r="C10" i="11" s="1"/>
  <c r="D10" i="69"/>
  <c r="D17" i="12"/>
  <c r="C17" i="12" s="1"/>
  <c r="C20" i="11"/>
  <c r="M21" i="67"/>
  <c r="F6" i="15"/>
  <c r="F35" i="67"/>
  <c r="F63" i="67" l="1"/>
  <c r="C62" i="67" s="1"/>
  <c r="C34" i="67"/>
  <c r="J20" i="67"/>
  <c r="C25" i="11"/>
  <c r="C6" i="15"/>
  <c r="C10" i="15" s="1"/>
  <c r="C5" i="15" s="1"/>
  <c r="C32" i="15" s="1"/>
  <c r="C24" i="67"/>
  <c r="C23" i="67"/>
  <c r="C44" i="68"/>
  <c r="D41" i="68" s="1"/>
  <c r="C26" i="68"/>
  <c r="D22" i="68" s="1"/>
  <c r="C23" i="15"/>
  <c r="C29" i="15" s="1"/>
  <c r="C44" i="11"/>
  <c r="D41" i="11" s="1"/>
  <c r="C26" i="11"/>
  <c r="D22" i="11" s="1"/>
  <c r="C23" i="11"/>
  <c r="C24" i="11"/>
  <c r="C26" i="69"/>
  <c r="D22" i="69" s="1"/>
  <c r="C44" i="69"/>
  <c r="D41" i="69" s="1"/>
  <c r="F11" i="12"/>
  <c r="F34" i="11"/>
  <c r="F34" i="68"/>
  <c r="J63" i="40"/>
  <c r="I65" i="40"/>
  <c r="H27" i="6"/>
  <c r="D30" i="6"/>
  <c r="D16" i="6"/>
  <c r="C28" i="11"/>
  <c r="C27" i="11" s="1"/>
  <c r="R24" i="6"/>
  <c r="R25" i="6"/>
  <c r="C10" i="69"/>
  <c r="C8" i="69" s="1"/>
  <c r="C5" i="69" s="1"/>
  <c r="D19" i="69"/>
  <c r="R23" i="6"/>
  <c r="A7" i="51"/>
  <c r="B7" i="72" s="1"/>
  <c r="C4" i="52"/>
  <c r="B45" i="72" s="1"/>
  <c r="A10" i="51"/>
  <c r="B9" i="72" s="1"/>
  <c r="R19" i="6"/>
  <c r="D27" i="6"/>
  <c r="D31" i="6" s="1"/>
  <c r="C10" i="68"/>
  <c r="B29" i="1" s="1"/>
  <c r="C8" i="68" s="1"/>
  <c r="D19" i="68"/>
  <c r="C5" i="71"/>
  <c r="D5" i="71" s="1"/>
  <c r="T6" i="71"/>
  <c r="D6" i="71"/>
  <c r="K59" i="34"/>
  <c r="J68" i="39"/>
  <c r="I70" i="39"/>
  <c r="F50" i="11"/>
  <c r="F50" i="68"/>
  <c r="F50" i="69"/>
  <c r="I58" i="21"/>
  <c r="R21" i="6"/>
  <c r="R8" i="1" s="1"/>
  <c r="R22" i="6"/>
  <c r="R26" i="6"/>
  <c r="C38" i="15" l="1"/>
  <c r="C22" i="11"/>
  <c r="C31" i="11" s="1"/>
  <c r="C29" i="67"/>
  <c r="J19" i="15"/>
  <c r="Q49" i="15"/>
  <c r="C57" i="15"/>
  <c r="C13" i="15"/>
  <c r="C36" i="15"/>
  <c r="J14" i="15"/>
  <c r="J59" i="15"/>
  <c r="J60" i="15" s="1"/>
  <c r="Q48" i="15" s="1"/>
  <c r="C33" i="15"/>
  <c r="C18" i="12"/>
  <c r="C36" i="11"/>
  <c r="C37" i="11"/>
  <c r="C34" i="11"/>
  <c r="C36" i="68"/>
  <c r="C34" i="68"/>
  <c r="C14" i="12"/>
  <c r="C16" i="12" s="1"/>
  <c r="K63" i="40"/>
  <c r="J65" i="40"/>
  <c r="R27" i="6"/>
  <c r="R6" i="1"/>
  <c r="K68" i="39"/>
  <c r="J70" i="39"/>
  <c r="M20" i="43"/>
  <c r="C19" i="43" s="1"/>
  <c r="U6" i="71"/>
  <c r="C19" i="69"/>
  <c r="C24" i="69" s="1"/>
  <c r="D37" i="69"/>
  <c r="C37" i="69" s="1"/>
  <c r="C33" i="69" s="1"/>
  <c r="J58" i="21"/>
  <c r="L59" i="34"/>
  <c r="C19" i="68"/>
  <c r="D37" i="68"/>
  <c r="C37" i="68" s="1"/>
  <c r="I6" i="6"/>
  <c r="I5" i="6"/>
  <c r="C23" i="69"/>
  <c r="M21" i="15"/>
  <c r="F35" i="15"/>
  <c r="H11" i="39" l="1"/>
  <c r="J11" i="39"/>
  <c r="F11" i="39"/>
  <c r="J22" i="15"/>
  <c r="J13" i="15"/>
  <c r="J23" i="15" s="1"/>
  <c r="Q70" i="15"/>
  <c r="C37" i="15"/>
  <c r="C56" i="15"/>
  <c r="C65" i="15" s="1"/>
  <c r="C75" i="15"/>
  <c r="J14" i="67"/>
  <c r="C13" i="67"/>
  <c r="Q49" i="67"/>
  <c r="J59" i="67"/>
  <c r="J60" i="67" s="1"/>
  <c r="C33" i="67"/>
  <c r="C31" i="67" s="1"/>
  <c r="C57" i="67"/>
  <c r="J19" i="67"/>
  <c r="J17" i="67" s="1"/>
  <c r="C36" i="67"/>
  <c r="C61" i="15"/>
  <c r="C64" i="15"/>
  <c r="J20" i="15"/>
  <c r="J17" i="15" s="1"/>
  <c r="F63" i="15"/>
  <c r="C62" i="15" s="1"/>
  <c r="C34" i="15"/>
  <c r="C31" i="15" s="1"/>
  <c r="R16" i="1"/>
  <c r="C21" i="12"/>
  <c r="C22" i="12" s="1"/>
  <c r="C35" i="68"/>
  <c r="C38" i="68"/>
  <c r="C38" i="11"/>
  <c r="C35" i="11"/>
  <c r="L63" i="40"/>
  <c r="K65" i="40"/>
  <c r="C24" i="68"/>
  <c r="M59" i="34"/>
  <c r="N59" i="34" s="1"/>
  <c r="O59" i="34" s="1"/>
  <c r="H7" i="34"/>
  <c r="K58" i="21"/>
  <c r="L58" i="21" s="1"/>
  <c r="M58" i="21" s="1"/>
  <c r="N58" i="21" s="1"/>
  <c r="O58" i="21" s="1"/>
  <c r="H7" i="21"/>
  <c r="F7" i="2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70" i="39"/>
  <c r="L68" i="39"/>
  <c r="C20" i="69"/>
  <c r="F7" i="34"/>
  <c r="J7" i="21"/>
  <c r="C39" i="69"/>
  <c r="C42" i="69"/>
  <c r="C30" i="15" l="1"/>
  <c r="C39" i="15" s="1"/>
  <c r="Q69" i="15" s="1"/>
  <c r="Q68" i="15" s="1"/>
  <c r="J16" i="15"/>
  <c r="J25" i="15" s="1"/>
  <c r="C59" i="15"/>
  <c r="C58" i="15" s="1"/>
  <c r="C67" i="15" s="1"/>
  <c r="C68" i="15" s="1"/>
  <c r="C71" i="15" s="1"/>
  <c r="J13" i="67"/>
  <c r="J23" i="67" s="1"/>
  <c r="J22" i="67"/>
  <c r="W11" i="39"/>
  <c r="AC11" i="39"/>
  <c r="C64" i="67"/>
  <c r="C61" i="67"/>
  <c r="C59" i="67" s="1"/>
  <c r="Q48" i="67"/>
  <c r="C56" i="67"/>
  <c r="C65" i="67" s="1"/>
  <c r="C75" i="67"/>
  <c r="Q70" i="67"/>
  <c r="C37" i="67"/>
  <c r="C30" i="67" s="1"/>
  <c r="C39" i="67" s="1"/>
  <c r="S11" i="39"/>
  <c r="AA11" i="39"/>
  <c r="AB11" i="39"/>
  <c r="U11" i="39"/>
  <c r="L57" i="15"/>
  <c r="L60" i="15" s="1"/>
  <c r="L46" i="15" s="1"/>
  <c r="C33" i="68"/>
  <c r="C42" i="68" s="1"/>
  <c r="C33" i="11"/>
  <c r="C39" i="11" s="1"/>
  <c r="C43" i="11" s="1"/>
  <c r="J7" i="34"/>
  <c r="AC7" i="34" s="1"/>
  <c r="V49" i="34" s="1"/>
  <c r="I49" i="34" s="1"/>
  <c r="L65" i="40"/>
  <c r="M63" i="40"/>
  <c r="AC7" i="21"/>
  <c r="V48" i="21" s="1"/>
  <c r="I48" i="21" s="1"/>
  <c r="W7" i="21"/>
  <c r="M68" i="39"/>
  <c r="L70" i="39"/>
  <c r="G39" i="43"/>
  <c r="I39" i="43" s="1"/>
  <c r="E39" i="43"/>
  <c r="G33" i="43"/>
  <c r="I33" i="43" s="1"/>
  <c r="E33" i="43"/>
  <c r="G34" i="43"/>
  <c r="I34" i="43" s="1"/>
  <c r="E34" i="43"/>
  <c r="U7" i="21"/>
  <c r="AB7" i="21"/>
  <c r="T48" i="21" s="1"/>
  <c r="G48" i="21" s="1"/>
  <c r="U7" i="34"/>
  <c r="AB7" i="34"/>
  <c r="T49" i="34" s="1"/>
  <c r="G49" i="34" s="1"/>
  <c r="C46" i="69"/>
  <c r="C45" i="69" s="1"/>
  <c r="C43" i="69"/>
  <c r="C41" i="69" s="1"/>
  <c r="S7" i="34"/>
  <c r="AA7" i="34"/>
  <c r="R49" i="34" s="1"/>
  <c r="C28" i="69"/>
  <c r="C27" i="69" s="1"/>
  <c r="C25" i="69"/>
  <c r="C22" i="69" s="1"/>
  <c r="E38" i="43"/>
  <c r="G38" i="43"/>
  <c r="I38" i="43" s="1"/>
  <c r="E29" i="43"/>
  <c r="C30" i="43"/>
  <c r="E30" i="43" s="1"/>
  <c r="G36" i="43"/>
  <c r="I36" i="43" s="1"/>
  <c r="E36" i="43"/>
  <c r="G35" i="43"/>
  <c r="I35" i="43" s="1"/>
  <c r="E35" i="43"/>
  <c r="G37" i="43"/>
  <c r="I37" i="43" s="1"/>
  <c r="E37" i="43"/>
  <c r="S7" i="21"/>
  <c r="AA7" i="21"/>
  <c r="R48" i="21" s="1"/>
  <c r="W7" i="34"/>
  <c r="L51" i="15"/>
  <c r="C40" i="15" l="1"/>
  <c r="C83" i="15" s="1"/>
  <c r="C82" i="15" s="1"/>
  <c r="C58" i="67"/>
  <c r="C67" i="67" s="1"/>
  <c r="C68" i="67" s="1"/>
  <c r="C71" i="67" s="1"/>
  <c r="J16" i="67"/>
  <c r="J25" i="67" s="1"/>
  <c r="Q67" i="15"/>
  <c r="C80" i="15"/>
  <c r="C79" i="15" s="1"/>
  <c r="Q69" i="67"/>
  <c r="Q68" i="67" s="1"/>
  <c r="C40" i="67"/>
  <c r="C80" i="67"/>
  <c r="C79" i="67" s="1"/>
  <c r="Q66" i="15"/>
  <c r="Q57" i="15"/>
  <c r="C39" i="68"/>
  <c r="C43" i="68" s="1"/>
  <c r="C41" i="68" s="1"/>
  <c r="C42" i="11"/>
  <c r="C41" i="11" s="1"/>
  <c r="C46" i="11"/>
  <c r="C45" i="11" s="1"/>
  <c r="C27" i="43"/>
  <c r="C26" i="43"/>
  <c r="B2" i="43" s="1"/>
  <c r="M65" i="40"/>
  <c r="N63" i="40"/>
  <c r="C31" i="69"/>
  <c r="C49" i="69"/>
  <c r="C51" i="69" s="1"/>
  <c r="E48" i="21"/>
  <c r="I53" i="21" s="1"/>
  <c r="J53" i="21" s="1"/>
  <c r="R49" i="21"/>
  <c r="R50" i="34"/>
  <c r="E49" i="34"/>
  <c r="I54" i="34" s="1"/>
  <c r="J54" i="34" s="1"/>
  <c r="G53" i="34"/>
  <c r="H53" i="34" s="1"/>
  <c r="G54" i="34"/>
  <c r="H54" i="34" s="1"/>
  <c r="G52" i="21"/>
  <c r="H52" i="21" s="1"/>
  <c r="G53" i="21"/>
  <c r="H53" i="21" s="1"/>
  <c r="I52" i="21"/>
  <c r="J52" i="21" s="1"/>
  <c r="I53" i="34"/>
  <c r="J53" i="34" s="1"/>
  <c r="N68" i="39"/>
  <c r="M70" i="39"/>
  <c r="L51" i="67"/>
  <c r="E6" i="76"/>
  <c r="B6" i="76"/>
  <c r="B2" i="15" l="1"/>
  <c r="C43" i="15"/>
  <c r="Q47" i="15"/>
  <c r="Q53" i="15" s="1"/>
  <c r="C46" i="15"/>
  <c r="Q56" i="15"/>
  <c r="Q62" i="15" s="1"/>
  <c r="Q65" i="15"/>
  <c r="Q75" i="15" s="1"/>
  <c r="C45" i="67"/>
  <c r="C46" i="67" s="1"/>
  <c r="L57" i="67"/>
  <c r="L60" i="67" s="1"/>
  <c r="L46" i="67" s="1"/>
  <c r="D2" i="67" s="1"/>
  <c r="Q67" i="67"/>
  <c r="Q47" i="67"/>
  <c r="Q53" i="67" s="1"/>
  <c r="C43" i="67"/>
  <c r="C83" i="67"/>
  <c r="C82" i="67" s="1"/>
  <c r="Q56" i="67"/>
  <c r="Q65" i="67"/>
  <c r="B3" i="15"/>
  <c r="C6" i="12" s="1"/>
  <c r="C46" i="68"/>
  <c r="C45" i="68" s="1"/>
  <c r="C49" i="68" s="1"/>
  <c r="C51" i="68" s="1"/>
  <c r="C49" i="11"/>
  <c r="C51" i="11" s="1"/>
  <c r="E2" i="76"/>
  <c r="O63" i="40"/>
  <c r="O65" i="40" s="1"/>
  <c r="N65" i="40"/>
  <c r="H7" i="40" s="1"/>
  <c r="C52" i="69"/>
  <c r="B2" i="69" s="1"/>
  <c r="B3" i="69" s="1"/>
  <c r="B2" i="76"/>
  <c r="E54" i="34"/>
  <c r="F54" i="34" s="1"/>
  <c r="E53" i="34"/>
  <c r="F53" i="34" s="1"/>
  <c r="B3" i="43"/>
  <c r="C50" i="34"/>
  <c r="B2" i="34" s="1"/>
  <c r="B3" i="34" s="1"/>
  <c r="C49" i="34"/>
  <c r="C48" i="21"/>
  <c r="C49" i="21"/>
  <c r="B2" i="21" s="1"/>
  <c r="B3" i="21" s="1"/>
  <c r="O68" i="39"/>
  <c r="O70" i="39" s="1"/>
  <c r="N70" i="39"/>
  <c r="E52" i="21"/>
  <c r="F52" i="21" s="1"/>
  <c r="E53" i="21"/>
  <c r="F53" i="21" s="1"/>
  <c r="AO6" i="1"/>
  <c r="B6" i="70" l="1"/>
  <c r="B2" i="70" s="1"/>
  <c r="B3" i="70" s="1"/>
  <c r="C8" i="12"/>
  <c r="C4" i="12" s="1"/>
  <c r="B2" i="67"/>
  <c r="B3" i="67"/>
  <c r="Q66" i="67"/>
  <c r="Q75" i="67" s="1"/>
  <c r="Q57" i="67"/>
  <c r="Q62" i="67" s="1"/>
  <c r="C52" i="11"/>
  <c r="B2" i="11" s="1"/>
  <c r="B3" i="11" s="1"/>
  <c r="B3" i="76"/>
  <c r="J7" i="40"/>
  <c r="F7" i="40"/>
  <c r="U7" i="40"/>
  <c r="AB7" i="40"/>
  <c r="T42" i="40" s="1"/>
  <c r="G42" i="40" s="1"/>
  <c r="C57" i="69"/>
  <c r="C56" i="69" s="1"/>
  <c r="F7" i="39"/>
  <c r="J7" i="39"/>
  <c r="H7" i="39"/>
  <c r="C31" i="12" l="1"/>
  <c r="C23" i="12"/>
  <c r="C56" i="11"/>
  <c r="C57" i="11" s="1"/>
  <c r="G46" i="40"/>
  <c r="H46" i="40" s="1"/>
  <c r="S7" i="40"/>
  <c r="AA7" i="40"/>
  <c r="R42" i="40" s="1"/>
  <c r="W7" i="40"/>
  <c r="AC7" i="40"/>
  <c r="V42" i="40" s="1"/>
  <c r="I42" i="40" s="1"/>
  <c r="AB7" i="39"/>
  <c r="T47" i="39" s="1"/>
  <c r="G47" i="39" s="1"/>
  <c r="U7" i="39"/>
  <c r="AC7" i="39"/>
  <c r="V47" i="39" s="1"/>
  <c r="I47" i="39" s="1"/>
  <c r="W7" i="39"/>
  <c r="S7" i="39"/>
  <c r="AA7" i="39"/>
  <c r="R47" i="39" s="1"/>
  <c r="C30" i="12" l="1"/>
  <c r="C28" i="12" s="1"/>
  <c r="C27" i="12"/>
  <c r="C25" i="12" s="1"/>
  <c r="I46" i="40"/>
  <c r="J46" i="40" s="1"/>
  <c r="R43" i="40"/>
  <c r="E42" i="40"/>
  <c r="G47" i="40"/>
  <c r="H47" i="40" s="1"/>
  <c r="E47" i="39"/>
  <c r="I52" i="39" s="1"/>
  <c r="J52" i="39" s="1"/>
  <c r="R48" i="39"/>
  <c r="I51" i="39"/>
  <c r="J51" i="39" s="1"/>
  <c r="G51" i="39"/>
  <c r="H51" i="39" s="1"/>
  <c r="G52" i="39"/>
  <c r="H52" i="39" s="1"/>
  <c r="C32" i="12" l="1"/>
  <c r="B2" i="12" s="1"/>
  <c r="C43" i="40"/>
  <c r="C42" i="40"/>
  <c r="E47" i="40"/>
  <c r="F47" i="40" s="1"/>
  <c r="E46" i="40"/>
  <c r="F46" i="40" s="1"/>
  <c r="I47" i="40"/>
  <c r="J47" i="40" s="1"/>
  <c r="C48" i="39"/>
  <c r="C47" i="39"/>
  <c r="E52" i="39"/>
  <c r="F52" i="39" s="1"/>
  <c r="E51" i="39"/>
  <c r="F51" i="39" s="1"/>
  <c r="D19" i="9"/>
  <c r="D102" i="9" l="1"/>
  <c r="D21" i="9"/>
  <c r="B3" i="12"/>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1" i="39"/>
  <c r="F61" i="39" s="1"/>
  <c r="B56" i="39"/>
  <c r="F56" i="39" s="1"/>
  <c r="B59" i="39"/>
  <c r="F59" i="39" s="1"/>
  <c r="B65" i="39"/>
  <c r="F65" i="39" s="1"/>
  <c r="B63" i="39"/>
  <c r="F63" i="39" s="1"/>
  <c r="B60" i="39"/>
  <c r="F60" i="39" s="1"/>
  <c r="B58" i="39"/>
  <c r="F58" i="39" s="1"/>
  <c r="B64" i="39"/>
  <c r="F64" i="39" s="1"/>
  <c r="B57" i="39"/>
  <c r="F57" i="39" s="1"/>
  <c r="B62" i="39"/>
  <c r="F62" i="39" s="1"/>
  <c r="D20" i="9"/>
  <c r="D103" i="9" l="1"/>
  <c r="F66" i="39"/>
  <c r="B2" i="39" s="1"/>
  <c r="C6" i="68" s="1"/>
  <c r="B3" i="39" l="1"/>
  <c r="C7" i="68"/>
  <c r="C5" i="68" s="1"/>
  <c r="C20" i="68" l="1"/>
  <c r="C25" i="68" s="1"/>
  <c r="C23" i="68"/>
  <c r="C28" i="68" l="1"/>
  <c r="C27" i="68" s="1"/>
  <c r="C22" i="68"/>
  <c r="C31" i="68" l="1"/>
  <c r="C52" i="68" s="1"/>
  <c r="B2" i="68" s="1"/>
  <c r="C19" i="9"/>
  <c r="C57" i="68" l="1"/>
  <c r="C56" i="68" s="1"/>
  <c r="C102" i="9"/>
  <c r="G19" i="9"/>
  <c r="D22" i="9"/>
  <c r="C21" i="9"/>
  <c r="B3" i="68"/>
  <c r="D35" i="9"/>
  <c r="D34" i="9"/>
  <c r="C20" i="9"/>
  <c r="G20" i="9" l="1"/>
  <c r="C103" i="9"/>
  <c r="G21" i="9"/>
  <c r="C32" i="9"/>
  <c r="H118" i="9" l="1"/>
  <c r="C35" i="9"/>
  <c r="F118" i="9" s="1"/>
  <c r="C34" i="9" l="1"/>
  <c r="D118" i="9" s="1"/>
  <c r="D119" i="9" s="1"/>
  <c r="D5" i="52" s="1"/>
  <c r="B49" i="72" s="1"/>
  <c r="F119" i="9"/>
  <c r="F5" i="52" s="1"/>
  <c r="B53" i="72" s="1"/>
  <c r="G118" i="9"/>
  <c r="G4" i="52" s="1"/>
  <c r="B52" i="72" s="1"/>
  <c r="F4" i="52"/>
  <c r="B51" i="72" s="1"/>
  <c r="H101" i="9"/>
  <c r="D14" i="74"/>
  <c r="C104" i="9"/>
  <c r="H4" i="52"/>
  <c r="I118" i="9"/>
  <c r="H119" i="9"/>
  <c r="H5" i="52" s="1"/>
  <c r="D4" i="52" l="1"/>
  <c r="B47" i="72" s="1"/>
  <c r="I4" i="52"/>
  <c r="C105" i="9"/>
  <c r="E118" i="9"/>
  <c r="E4" i="52" s="1"/>
  <c r="B48" i="72" s="1"/>
  <c r="H102" i="9"/>
  <c r="D7" i="53" s="1"/>
  <c r="B21" i="72" s="1"/>
  <c r="D45" i="9"/>
  <c r="H107" i="9"/>
  <c r="D5" i="53"/>
  <c r="M48" i="9"/>
  <c r="E14" i="74"/>
  <c r="F14" i="74"/>
  <c r="M49" i="9" l="1"/>
  <c r="D122" i="9"/>
  <c r="H108" i="9"/>
  <c r="D15" i="53" s="1"/>
  <c r="B31" i="72" s="1"/>
  <c r="D13" i="53"/>
  <c r="B20" i="72"/>
  <c r="D6" i="53"/>
  <c r="B22" i="72" s="1"/>
  <c r="C78" i="9"/>
  <c r="C73" i="9" s="1"/>
  <c r="C64" i="9"/>
  <c r="C63" i="9" s="1"/>
  <c r="C67" i="9" s="1"/>
  <c r="C68" i="9" s="1"/>
  <c r="D54" i="9" s="1"/>
  <c r="C85" i="9"/>
  <c r="C93" i="9"/>
  <c r="C86" i="9" s="1"/>
  <c r="D53" i="9"/>
  <c r="D52" i="9"/>
  <c r="C72" i="9"/>
  <c r="D55" i="9"/>
  <c r="M53" i="9" s="1"/>
  <c r="C79" i="9" l="1"/>
  <c r="B30" i="72"/>
  <c r="D14" i="53"/>
  <c r="B32" i="72" s="1"/>
  <c r="G14" i="74"/>
  <c r="D123" i="9"/>
  <c r="D9" i="52" s="1"/>
  <c r="D8" i="52"/>
  <c r="C80" i="9"/>
  <c r="E80" i="9" s="1"/>
  <c r="E81" i="9" s="1"/>
  <c r="C95" i="9"/>
  <c r="L64" i="9"/>
  <c r="M64" i="9" s="1"/>
  <c r="L67" i="9"/>
  <c r="M67" i="9" s="1"/>
  <c r="L68" i="9"/>
  <c r="M68" i="9" s="1"/>
  <c r="L65" i="9"/>
  <c r="M65" i="9" s="1"/>
  <c r="L66" i="9"/>
  <c r="M66" i="9" s="1"/>
  <c r="L63" i="9"/>
  <c r="M63" i="9" s="1"/>
  <c r="M69" i="9" l="1"/>
  <c r="N69" i="9" s="1"/>
  <c r="C96" i="9"/>
  <c r="E96" i="9" s="1"/>
  <c r="E97" i="9" s="1"/>
  <c r="C81" i="9"/>
  <c r="C97" i="9" l="1"/>
  <c r="D58" i="9" s="1"/>
  <c r="D56" i="9" s="1"/>
  <c r="M54" i="9" s="1"/>
  <c r="N57" i="9" s="1"/>
  <c r="P57" i="9" l="1"/>
  <c r="N58" i="9"/>
  <c r="N59" i="9"/>
  <c r="N60" i="9" l="1"/>
  <c r="N61" i="9"/>
  <c r="B1" i="74" l="1"/>
  <c r="B2" i="74" l="1"/>
  <c r="C7" i="74"/>
  <c r="C8" i="74"/>
  <c r="D8" i="74" l="1"/>
  <c r="D7" i="74"/>
  <c r="D15" i="74" l="1"/>
  <c r="G15" i="74" l="1"/>
  <c r="B6" i="74" s="1"/>
  <c r="E15" i="74"/>
  <c r="B5" i="74"/>
  <c r="F1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 ref="I19"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<sst xmlns="http://schemas.openxmlformats.org/spreadsheetml/2006/main" count="7805" uniqueCount="3316">
  <si>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</si>
  <si>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</si>
  <si>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</si>
  <si>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</si>
  <si>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</si>
  <si>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</si>
  <si>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</si>
  <si>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</si>
  <si>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</si>
  <si>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</si>
  <si>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</si>
  <si>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</si>
  <si>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</si>
  <si>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</si>
  <si>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</si>
  <si>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</si>
  <si>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</si>
  <si>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</si>
  <si>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</si>
  <si>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</si>
  <si>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</si>
  <si>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</si>
  <si>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</si>
  <si>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</si>
  <si>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</si>
  <si>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</si>
  <si>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</si>
  <si>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</si>
  <si>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</si>
  <si>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</si>
  <si>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</si>
  <si>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</si>
  <si>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</si>
  <si>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</si>
  <si>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</si>
  <si>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</si>
  <si>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</si>
  <si>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</si>
  <si>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</si>
  <si>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</si>
  <si>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</si>
  <si>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</si>
  <si>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</si>
  <si>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</si>
  <si>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</si>
  <si>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</si>
  <si>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</si>
  <si>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</si>
  <si>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</si>
  <si>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</si>
  <si>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</si>
  <si>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</si>
  <si>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</si>
  <si>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</si>
  <si>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</si>
  <si>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</si>
  <si>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</si>
  <si>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</si>
  <si>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</si>
  <si>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</si>
  <si>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</si>
  <si>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</si>
  <si>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</si>
  <si>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</si>
  <si>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</si>
  <si>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</si>
  <si>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</si>
  <si>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</si>
  <si>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</si>
  <si>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</si>
  <si>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</si>
  <si>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</si>
  <si>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</si>
  <si>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</si>
  <si>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</si>
  <si>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</si>
  <si>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</si>
  <si>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</si>
  <si>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</si>
  <si>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</si>
  <si>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</si>
  <si>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</si>
  <si>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</si>
  <si>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</si>
  <si>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</si>
  <si>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</si>
  <si>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</si>
  <si>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</si>
  <si>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</si>
  <si>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</si>
  <si>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</si>
  <si>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</si>
  <si>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</si>
  <si>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</si>
  <si>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</si>
  <si>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</si>
  <si>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</si>
  <si>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</si>
  <si>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</si>
  <si>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</si>
  <si>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</si>
  <si>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</si>
  <si>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</si>
  <si>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</si>
  <si>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</si>
  <si>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</si>
  <si>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</si>
  <si>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</si>
  <si>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</si>
  <si>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</si>
  <si>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</si>
  <si>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</si>
  <si>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</si>
  <si>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</si>
  <si>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</si>
  <si>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</si>
  <si>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</si>
  <si>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</si>
  <si>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</si>
  <si>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</si>
  <si>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</si>
  <si>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</si>
  <si>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</si>
  <si>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</si>
  <si>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</si>
  <si>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</si>
  <si>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</si>
  <si>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</si>
  <si>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</si>
  <si>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</si>
  <si>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</si>
  <si>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</si>
  <si>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</si>
  <si>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</si>
  <si>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</si>
  <si>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</si>
  <si>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</si>
  <si>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</si>
  <si>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</si>
  <si>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</si>
  <si>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</si>
  <si>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</si>
  <si>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</si>
  <si>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</si>
  <si>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</si>
  <si>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</si>
  <si>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</si>
  <si>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</si>
  <si>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</si>
  <si>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</si>
  <si>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</si>
  <si>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</si>
  <si>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</si>
  <si>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</si>
  <si>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</si>
  <si>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</si>
  <si>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</si>
  <si>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</si>
  <si>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</si>
  <si>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</si>
  <si>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</si>
  <si>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</si>
  <si>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</si>
  <si>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</si>
  <si>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</si>
  <si>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</si>
  <si>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</si>
  <si>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</si>
  <si>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</si>
  <si>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</si>
  <si>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</si>
  <si>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</si>
  <si>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</si>
  <si>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</si>
  <si>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</si>
  <si>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</si>
  <si>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</si>
  <si>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</si>
  <si>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</si>
  <si>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</si>
  <si>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</si>
  <si>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</si>
  <si>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</si>
  <si>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</si>
  <si>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</si>
  <si>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</si>
  <si>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</si>
  <si>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</si>
  <si>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</si>
  <si>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</si>
  <si>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</si>
  <si>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</si>
  <si>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</si>
  <si>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</si>
  <si>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</si>
  <si>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</si>
  <si>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</si>
  <si>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</si>
  <si>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</si>
  <si>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</si>
  <si>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</si>
  <si>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</si>
  <si>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</si>
  <si>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</si>
  <si>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</si>
  <si>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</si>
  <si>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</si>
  <si>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</si>
  <si>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</si>
  <si>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</si>
  <si>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</si>
  <si>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</si>
  <si>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</si>
  <si>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</si>
  <si>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</si>
  <si>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</si>
  <si>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</si>
  <si>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</si>
  <si>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</si>
  <si>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</si>
  <si>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</si>
  <si>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</si>
  <si>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</si>
  <si>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</si>
  <si>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</si>
  <si>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</si>
  <si>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</si>
  <si>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</si>
  <si>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</si>
  <si>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</si>
  <si>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</si>
  <si>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</si>
  <si>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</si>
  <si>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</si>
  <si>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</si>
  <si>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</si>
  <si>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</si>
  <si>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</si>
  <si>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</si>
  <si>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</si>
  <si>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</si>
  <si>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</si>
  <si>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</si>
  <si>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</si>
  <si>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</si>
  <si>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</si>
  <si>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</si>
  <si>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</si>
  <si>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</si>
  <si>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</si>
  <si>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</si>
  <si>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</si>
  <si>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</si>
  <si>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</si>
  <si>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</si>
  <si>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</si>
  <si>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</si>
  <si>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</si>
  <si>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</si>
  <si>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</si>
  <si>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</si>
  <si>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</si>
  <si>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</si>
  <si>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</si>
  <si>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</si>
  <si>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</si>
  <si>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</si>
  <si>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</si>
  <si>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</si>
  <si>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</si>
  <si>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</si>
  <si>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</si>
  <si>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</si>
  <si>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</si>
  <si>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</si>
  <si>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</si>
  <si>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</si>
  <si>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</si>
  <si>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</si>
  <si>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</si>
  <si>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</si>
  <si>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</si>
  <si>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</si>
  <si>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</si>
  <si>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</si>
  <si>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</si>
  <si>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</si>
  <si>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</si>
  <si>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</si>
  <si>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</si>
  <si>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</si>
  <si>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</si>
  <si>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</si>
  <si>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</si>
  <si>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</si>
  <si>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</si>
  <si>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</si>
  <si>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</si>
  <si>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</si>
  <si>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</si>
  <si>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</si>
  <si>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</si>
  <si>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</si>
  <si>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</si>
  <si>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</si>
  <si>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</si>
  <si>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</si>
  <si>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</si>
  <si>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</si>
  <si>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</si>
  <si>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</si>
  <si>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</si>
  <si>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</si>
  <si>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</si>
  <si>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</si>
  <si>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</si>
  <si>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</si>
  <si>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</si>
  <si>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</si>
  <si>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</si>
  <si>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</si>
  <si>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</si>
  <si>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</si>
  <si>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</si>
  <si>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</si>
  <si>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</si>
  <si>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</si>
  <si>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</si>
  <si>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</si>
  <si>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</si>
  <si>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</si>
  <si>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</si>
  <si>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</si>
  <si>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</si>
  <si>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</si>
  <si>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</si>
  <si>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</si>
  <si>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</si>
  <si>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</si>
  <si>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</si>
  <si>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</si>
  <si>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</si>
  <si>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</si>
  <si>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</si>
  <si>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</si>
  <si>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</si>
  <si>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</si>
  <si>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</si>
  <si>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</si>
  <si>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</si>
  <si>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</si>
  <si>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</si>
  <si>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</si>
  <si>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</si>
  <si>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</si>
  <si>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</si>
  <si>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</si>
  <si>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</si>
  <si>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</si>
  <si>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</si>
  <si>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</si>
  <si>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</si>
  <si>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</si>
  <si>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</si>
  <si>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</si>
  <si>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</si>
  <si>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</si>
  <si>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</si>
  <si>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</si>
  <si>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</si>
  <si>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</si>
  <si>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</si>
  <si>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</si>
  <si>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</si>
  <si>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</si>
  <si>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</si>
  <si>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</si>
  <si>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</si>
  <si>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</si>
  <si>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</si>
  <si>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</si>
  <si>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</si>
  <si>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</si>
  <si>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</si>
  <si>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</si>
  <si>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</si>
  <si>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</si>
  <si>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</si>
  <si>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</si>
  <si>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</si>
  <si>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</si>
  <si>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</si>
  <si>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</si>
  <si>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</si>
  <si>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</si>
  <si>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</si>
  <si>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</si>
  <si>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</si>
  <si>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</si>
  <si>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</si>
  <si>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</si>
  <si>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</si>
  <si>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</si>
  <si>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</si>
  <si>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</si>
  <si>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</si>
  <si>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</si>
  <si>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</si>
  <si>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</si>
  <si>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</si>
  <si>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</si>
  <si>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</si>
  <si>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</si>
  <si>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</si>
  <si>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</si>
  <si>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</si>
  <si>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</si>
  <si>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</si>
  <si>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</si>
  <si>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</si>
  <si>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</si>
  <si>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</si>
  <si>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</si>
  <si>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</si>
  <si>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</si>
  <si>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</si>
  <si>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</si>
  <si>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</si>
  <si>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</si>
  <si>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</si>
  <si>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</si>
  <si>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</si>
  <si>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</si>
  <si>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</si>
  <si>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</si>
  <si>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</si>
  <si>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</si>
  <si>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</si>
  <si>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</si>
  <si>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</si>
  <si>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</si>
  <si>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</si>
  <si>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</si>
  <si>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</si>
  <si>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</si>
  <si>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</si>
  <si>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</si>
  <si>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</si>
  <si>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</si>
  <si>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</si>
  <si>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</si>
  <si>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</si>
  <si>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</si>
  <si>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</si>
  <si>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</si>
  <si>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</si>
  <si>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</si>
  <si>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</si>
  <si>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</si>
  <si>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</si>
  <si>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</si>
  <si>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</si>
  <si>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</si>
  <si>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</si>
  <si>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</si>
  <si>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</si>
  <si>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</si>
  <si>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</si>
  <si>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</si>
  <si>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</si>
  <si>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</si>
  <si>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</si>
  <si>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</si>
  <si>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</si>
  <si>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</si>
  <si>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</si>
  <si>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</si>
  <si>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</si>
  <si>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</si>
  <si>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</si>
  <si>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</si>
  <si>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</si>
  <si>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</si>
  <si>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</si>
  <si>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</si>
  <si>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</si>
  <si>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</si>
  <si>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</si>
  <si>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</si>
  <si>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</si>
  <si>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</si>
  <si>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</si>
  <si>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</si>
  <si>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</si>
  <si>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</si>
  <si>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</si>
  <si>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</si>
  <si>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</si>
  <si>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</si>
  <si>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</si>
  <si>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</si>
  <si>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</si>
  <si>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</si>
  <si>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</si>
  <si>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</si>
  <si>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</si>
  <si>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</si>
  <si>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</si>
  <si>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</si>
  <si>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</si>
  <si>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</si>
  <si>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</si>
  <si>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</si>
  <si>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</si>
  <si>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</si>
  <si>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</si>
  <si>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</si>
  <si>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</si>
  <si>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</si>
  <si>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</si>
  <si>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</si>
  <si>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</si>
  <si>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</si>
  <si>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</si>
  <si>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</si>
  <si>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</si>
  <si>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</si>
  <si>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</si>
  <si>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</si>
  <si>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</si>
  <si>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</si>
  <si>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</si>
  <si>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</si>
  <si>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</si>
  <si>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</si>
  <si>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</si>
  <si>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</si>
  <si>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</si>
  <si>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</si>
  <si>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</si>
  <si>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</si>
  <si>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</si>
  <si>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</si>
  <si>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</si>
  <si>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</si>
  <si>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</si>
  <si>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</si>
  <si>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</si>
  <si>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</si>
  <si>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</si>
  <si>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</si>
  <si>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</si>
  <si>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</si>
  <si>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</si>
  <si>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</si>
  <si>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</si>
  <si>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</si>
  <si>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</si>
  <si>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</si>
  <si>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</si>
  <si>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</si>
  <si>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</si>
  <si>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</si>
  <si>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</si>
  <si>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</si>
  <si>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</si>
  <si>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</si>
  <si>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</si>
  <si>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</si>
  <si>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</si>
  <si>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</si>
  <si>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</si>
  <si>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</si>
  <si>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</si>
  <si>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</si>
  <si>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</si>
  <si>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</si>
  <si>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</si>
  <si>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</si>
  <si>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</si>
  <si>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</si>
  <si>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</si>
  <si>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</si>
  <si>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</si>
  <si>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</si>
  <si>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</si>
  <si>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</si>
  <si>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</si>
  <si>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</si>
  <si>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</si>
  <si>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</si>
  <si>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</si>
  <si>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</si>
  <si>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</si>
  <si>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</si>
  <si>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</si>
  <si>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</si>
  <si>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</si>
  <si>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</si>
  <si>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</si>
  <si>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</si>
  <si>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</si>
  <si>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</si>
  <si>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</si>
  <si>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</si>
  <si>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</si>
  <si>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</si>
  <si>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</si>
  <si>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</si>
  <si>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</si>
  <si>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</si>
  <si>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</si>
  <si>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</si>
  <si>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</si>
  <si>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</si>
  <si>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</si>
  <si>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</si>
  <si>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</si>
  <si>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</si>
  <si>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</si>
  <si>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</si>
  <si>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</si>
  <si>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</si>
  <si>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</si>
  <si>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</si>
  <si>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</si>
  <si>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</si>
  <si>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</si>
  <si>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</si>
  <si>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</si>
  <si>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</si>
  <si>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</si>
  <si>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</si>
  <si>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</si>
  <si>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</si>
  <si>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</si>
  <si>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</si>
  <si>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</si>
  <si>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</si>
  <si>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</si>
  <si>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</si>
  <si>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</si>
  <si>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</si>
  <si>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</si>
  <si>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</si>
  <si>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</si>
  <si>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</si>
  <si>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</si>
  <si>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</si>
  <si>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</si>
  <si>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</si>
  <si>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</si>
  <si>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</si>
  <si>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</si>
  <si>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</si>
  <si>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</si>
  <si>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</si>
  <si>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</si>
  <si>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</si>
  <si>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</si>
  <si>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</si>
  <si>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</si>
  <si>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</si>
  <si>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</si>
  <si>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</si>
  <si>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</si>
  <si>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</si>
  <si>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</si>
  <si>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</si>
  <si>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</si>
  <si>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</si>
  <si>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</si>
  <si>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</si>
  <si>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</si>
  <si>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</si>
  <si>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</si>
  <si>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</si>
  <si>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</si>
  <si>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</si>
  <si>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</si>
  <si>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</si>
  <si>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</si>
  <si>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</si>
  <si>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</si>
  <si>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</si>
  <si>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</si>
  <si>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</si>
  <si>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</si>
  <si>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</si>
  <si>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</si>
  <si>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</si>
  <si>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</si>
  <si>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</si>
  <si>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</si>
  <si>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</si>
  <si>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</si>
  <si>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</si>
  <si>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</si>
  <si>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</si>
  <si>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</si>
  <si>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</si>
  <si>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</si>
  <si>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</si>
  <si>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</si>
  <si>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</si>
  <si>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</si>
  <si>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</si>
  <si>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</si>
  <si>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</si>
  <si>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</si>
  <si>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</si>
  <si>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</si>
  <si>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</si>
  <si>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</si>
  <si>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</si>
  <si>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</si>
  <si>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</si>
  <si>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</si>
  <si>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</si>
  <si>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</si>
  <si>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</si>
  <si>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</si>
  <si>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</si>
  <si>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</si>
  <si>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</si>
  <si>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</si>
  <si>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</si>
  <si>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</si>
  <si>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</si>
  <si>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</si>
  <si>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</si>
  <si>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</si>
  <si>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</si>
  <si>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</si>
  <si>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</si>
  <si>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</si>
  <si>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</si>
  <si>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</si>
  <si>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</si>
  <si>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</si>
  <si>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</si>
  <si>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</si>
  <si>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</si>
  <si>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</si>
  <si>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</si>
  <si>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</si>
  <si>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</si>
  <si>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</si>
  <si>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</si>
  <si>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</si>
  <si>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</si>
  <si>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</si>
  <si>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</si>
  <si>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</si>
  <si>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</si>
  <si>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</si>
  <si>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</si>
  <si>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</si>
  <si>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</si>
  <si>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</si>
  <si>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</si>
  <si>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</si>
  <si>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</si>
  <si>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</si>
  <si>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</si>
  <si>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</si>
  <si>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</si>
  <si>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</si>
  <si>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</si>
  <si>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</si>
  <si>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</si>
  <si>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</si>
  <si>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</si>
  <si>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</si>
  <si>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</si>
  <si>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</si>
  <si>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</si>
  <si>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</si>
  <si>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</si>
  <si>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</si>
  <si>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</si>
  <si>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</si>
  <si>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</si>
  <si>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</si>
  <si>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</si>
  <si>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</si>
  <si>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</si>
  <si>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</si>
  <si>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</si>
  <si>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</si>
  <si>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</si>
  <si>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</si>
  <si>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</si>
  <si>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</si>
  <si>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</si>
  <si>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</si>
  <si>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</si>
  <si>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</si>
  <si>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</si>
  <si>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</si>
  <si>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</si>
  <si>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</si>
  <si>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</si>
  <si>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</si>
  <si>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</si>
  <si>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</si>
  <si>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</si>
  <si>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</si>
  <si>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</si>
  <si>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</si>
  <si>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</si>
  <si>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</si>
  <si>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</si>
  <si>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</si>
  <si>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</si>
  <si>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</si>
  <si>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</si>
  <si>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</si>
  <si>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</si>
  <si>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</si>
  <si>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</si>
  <si>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</si>
  <si>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</si>
  <si>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</si>
  <si>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</si>
  <si>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</si>
  <si>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</si>
  <si>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</si>
  <si>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</si>
  <si>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</si>
  <si>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</si>
  <si>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</si>
  <si>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</si>
  <si>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</si>
  <si>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</si>
  <si>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</si>
  <si>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</si>
  <si>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</si>
  <si>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</si>
  <si>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</si>
  <si>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</si>
  <si>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</si>
  <si>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</si>
  <si>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</si>
  <si>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</si>
  <si>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</si>
  <si>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</si>
  <si>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</si>
  <si>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</si>
  <si>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</si>
  <si>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</si>
  <si>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</si>
  <si>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</si>
  <si>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</si>
  <si>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</si>
  <si>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</si>
  <si>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</si>
  <si>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</si>
  <si>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</si>
  <si>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</si>
  <si>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</si>
  <si>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</si>
  <si>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</si>
  <si>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</si>
  <si>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</si>
  <si>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</si>
  <si>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</si>
  <si>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</si>
  <si>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</si>
  <si>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</si>
  <si>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</si>
  <si>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</si>
  <si>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</si>
  <si>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</si>
  <si>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</si>
  <si>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</si>
  <si>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</si>
  <si>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</si>
  <si>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</si>
  <si>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</si>
  <si>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</si>
  <si>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</si>
  <si>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</si>
  <si>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</si>
  <si>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</si>
  <si>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</si>
  <si>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</si>
  <si>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</si>
  <si>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</si>
  <si>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</si>
  <si>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</si>
  <si>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</si>
  <si>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</si>
  <si>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</si>
  <si>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</si>
  <si>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</si>
  <si>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</si>
  <si>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</si>
  <si>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</si>
  <si>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</si>
  <si>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</si>
  <si>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</si>
  <si>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</si>
  <si>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</si>
  <si>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</si>
  <si>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</si>
  <si>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</si>
  <si>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</si>
  <si>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</si>
  <si>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</si>
  <si>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</si>
  <si>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</si>
  <si>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</si>
  <si>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</si>
  <si>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</si>
  <si>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</si>
  <si>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</si>
  <si>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</si>
  <si>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</si>
  <si>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</si>
  <si>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</si>
  <si>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</si>
  <si>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</si>
  <si>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</si>
  <si>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</si>
  <si>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</si>
  <si>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</si>
  <si>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</si>
  <si>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</si>
  <si>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</si>
  <si>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</si>
  <si>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</si>
  <si>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</si>
  <si>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</si>
  <si>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</si>
  <si>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</si>
  <si>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</si>
  <si>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</si>
  <si>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</si>
  <si>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</si>
  <si>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</si>
  <si>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</si>
  <si>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</si>
  <si>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</si>
  <si>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</si>
  <si>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</si>
  <si>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</si>
  <si>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</si>
  <si>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</si>
  <si>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</si>
  <si>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</si>
  <si>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</si>
  <si>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</si>
  <si>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</si>
  <si>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</si>
  <si>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</si>
  <si>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</si>
  <si>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</si>
  <si>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</si>
  <si>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</si>
  <si>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</si>
  <si>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</si>
  <si>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</si>
  <si>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</si>
  <si>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</si>
  <si>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</si>
  <si>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</si>
  <si>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</si>
  <si>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</si>
  <si>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</si>
  <si>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</si>
  <si>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</si>
  <si>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</si>
  <si>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</si>
  <si>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</si>
  <si>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</si>
  <si>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</si>
  <si>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</si>
  <si>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</si>
  <si>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</si>
  <si>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</si>
  <si>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</si>
  <si>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</si>
  <si>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</si>
  <si>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</si>
  <si>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</si>
  <si>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</si>
  <si>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</si>
  <si>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</si>
  <si>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</si>
  <si>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</si>
  <si>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</si>
  <si>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</si>
  <si>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</si>
  <si>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</si>
  <si>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</si>
  <si>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</si>
  <si>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</si>
  <si>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</si>
  <si>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</si>
  <si>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</si>
  <si>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</si>
  <si>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</si>
  <si>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</si>
  <si>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</si>
  <si>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</si>
  <si>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</si>
  <si>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</si>
  <si>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</si>
  <si>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</si>
  <si>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</si>
  <si>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</si>
  <si>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</si>
  <si>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</si>
  <si>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</si>
  <si>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</si>
  <si>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</si>
  <si>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</si>
  <si>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</si>
  <si>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</si>
  <si>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</si>
  <si>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</si>
  <si>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</si>
  <si>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</si>
  <si>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</si>
  <si>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</si>
  <si>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</si>
  <si>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</si>
  <si>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</si>
  <si>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</si>
  <si>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</si>
  <si>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</si>
  <si>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</si>
  <si>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</si>
  <si>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</si>
  <si>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</si>
  <si>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</si>
  <si>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</si>
  <si>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</si>
  <si>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</si>
  <si>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</si>
  <si>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</si>
  <si>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</si>
  <si>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</si>
  <si>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</si>
  <si>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</si>
  <si>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</si>
  <si>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</si>
  <si>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</si>
  <si>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</si>
  <si>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</si>
  <si>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</si>
  <si>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</si>
  <si>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</si>
  <si>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</si>
  <si>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</si>
  <si>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</si>
  <si>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</si>
  <si>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</si>
  <si>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</si>
  <si>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</si>
  <si>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</si>
  <si>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</si>
  <si>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</si>
  <si>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</si>
  <si>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</si>
  <si>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</si>
  <si>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</si>
  <si>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</si>
  <si>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</si>
  <si>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</si>
  <si>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</si>
  <si>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</si>
  <si>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</si>
  <si>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</si>
  <si>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</si>
  <si>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</si>
  <si>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</si>
  <si>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</si>
  <si>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</si>
  <si>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</si>
  <si>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</si>
  <si>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</si>
  <si>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</si>
  <si>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</si>
  <si>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</si>
  <si>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</si>
  <si>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</si>
  <si>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</si>
  <si>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</si>
  <si>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</si>
  <si>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</si>
  <si>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</si>
  <si>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</si>
  <si>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</si>
  <si>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</si>
  <si>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</si>
  <si>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</si>
  <si>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</si>
  <si>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</si>
  <si>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</si>
  <si>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</si>
  <si>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</si>
  <si>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</si>
  <si>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</si>
  <si>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</si>
  <si>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</si>
  <si>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</si>
  <si>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</si>
  <si>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</si>
  <si>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</si>
  <si>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</si>
  <si>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</si>
  <si>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</si>
  <si>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</si>
  <si>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</si>
  <si>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</si>
  <si>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</si>
  <si>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</si>
  <si>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</si>
  <si>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</si>
  <si>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</si>
  <si>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</si>
  <si>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</si>
  <si>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</si>
  <si>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</si>
  <si>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</si>
  <si>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</si>
  <si>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</si>
  <si>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</si>
  <si>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</si>
  <si>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</si>
  <si>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</si>
  <si>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</si>
  <si>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</si>
  <si>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</si>
  <si>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</si>
  <si>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</si>
  <si>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</si>
  <si>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</si>
  <si>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</si>
  <si>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</si>
  <si>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</si>
  <si>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</si>
  <si>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</si>
  <si>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</si>
  <si>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</si>
  <si>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</si>
  <si>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</si>
  <si>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</si>
  <si>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</si>
  <si>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</si>
  <si>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</si>
  <si>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</si>
  <si>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</si>
  <si>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</si>
  <si>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</si>
  <si>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</si>
  <si>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</si>
  <si>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</si>
  <si>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</si>
  <si>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</si>
  <si>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</si>
  <si>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</si>
  <si>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</si>
  <si>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</si>
  <si>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</si>
  <si>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</si>
  <si>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</si>
  <si>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</si>
  <si>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</si>
  <si>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</si>
  <si>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</si>
  <si>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</si>
  <si>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</si>
  <si>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</si>
  <si>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</si>
  <si>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</si>
  <si>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</si>
  <si>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</si>
  <si>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</si>
  <si>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</si>
  <si>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</si>
  <si>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</si>
  <si>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</si>
  <si>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</si>
  <si>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</si>
  <si>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</si>
  <si>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</si>
  <si>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</si>
  <si>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</si>
  <si>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</si>
  <si>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</si>
  <si>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</si>
  <si>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</si>
  <si>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</si>
  <si>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</si>
  <si>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</si>
  <si>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</si>
  <si>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</si>
  <si>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</si>
  <si>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</si>
  <si>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</si>
  <si>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</si>
  <si>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</si>
  <si>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</si>
  <si>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</si>
  <si>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</si>
  <si>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</si>
  <si>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</si>
  <si>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</si>
  <si>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</si>
  <si>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</si>
  <si>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</si>
  <si>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</si>
  <si>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</si>
  <si>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</si>
  <si>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</si>
  <si>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</si>
  <si>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</si>
  <si>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</si>
  <si>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</si>
  <si>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</si>
  <si>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</si>
  <si>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</si>
  <si>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</si>
  <si>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</si>
  <si>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</si>
  <si>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</si>
  <si>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</si>
  <si>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</si>
  <si>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</si>
  <si>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</si>
  <si>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</si>
  <si>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</si>
  <si>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</si>
  <si>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</si>
  <si>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</si>
  <si>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</si>
  <si>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</si>
  <si>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</si>
  <si>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</si>
  <si>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</si>
  <si>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</si>
  <si>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</si>
  <si>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</si>
  <si>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</si>
  <si>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</si>
  <si>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</si>
  <si>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</si>
  <si>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</si>
  <si>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</si>
  <si>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</si>
  <si>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</si>
  <si>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</si>
  <si>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</si>
  <si>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</si>
  <si>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</si>
  <si>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</si>
  <si>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</si>
  <si>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</si>
  <si>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</si>
  <si>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</si>
  <si>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</si>
  <si>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</si>
  <si>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</si>
  <si>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</si>
  <si>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</si>
  <si>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</si>
  <si>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</si>
  <si>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</si>
  <si>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</si>
  <si>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</si>
  <si>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</si>
  <si>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</si>
  <si>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</si>
  <si>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</si>
  <si>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</si>
  <si>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</si>
  <si>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</si>
  <si>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</si>
  <si>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</si>
  <si>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</si>
  <si>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</si>
  <si>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</si>
  <si>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</si>
  <si>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</si>
  <si>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</si>
  <si>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</si>
  <si>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</si>
  <si>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</si>
  <si>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</si>
  <si>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</si>
  <si>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</si>
  <si>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</si>
  <si>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</si>
  <si>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</si>
  <si>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</si>
  <si>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</si>
  <si>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</si>
  <si>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</si>
  <si>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</si>
  <si>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</si>
  <si>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</si>
  <si>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</si>
  <si>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</si>
  <si>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</si>
  <si>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</si>
  <si>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</si>
  <si>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</si>
  <si>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</si>
  <si>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</si>
  <si>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</si>
  <si>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</si>
  <si>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</si>
  <si>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</si>
  <si>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</si>
  <si>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</si>
  <si>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</si>
  <si>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</si>
  <si>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</si>
  <si>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</si>
  <si>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</si>
  <si>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</si>
  <si>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</si>
  <si>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</si>
  <si>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</si>
  <si>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</si>
  <si>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</si>
  <si>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</si>
  <si>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</si>
  <si>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</si>
  <si>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</si>
  <si>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</si>
  <si>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</si>
  <si>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</si>
  <si>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</si>
  <si>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</si>
  <si>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</si>
  <si>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</si>
  <si>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</si>
  <si>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</si>
  <si>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</si>
  <si>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</si>
  <si>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</si>
  <si>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</si>
  <si>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</si>
  <si>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</si>
  <si>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</si>
  <si>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</si>
  <si>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</si>
  <si>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</si>
  <si>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</si>
  <si>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</si>
  <si>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</si>
  <si>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</si>
  <si>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</si>
  <si>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</si>
  <si>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</si>
  <si>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</si>
  <si>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</si>
  <si>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</si>
  <si>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</si>
  <si>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</si>
  <si>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</si>
  <si>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</si>
  <si>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</si>
  <si>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</si>
  <si>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</si>
  <si>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</si>
  <si>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</si>
  <si>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</si>
  <si>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</si>
  <si>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</si>
  <si>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</si>
  <si>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</si>
  <si>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</si>
  <si>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</si>
  <si>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</si>
  <si>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</si>
  <si>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</si>
  <si>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</si>
  <si>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</si>
  <si>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</si>
  <si>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</si>
  <si>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</si>
  <si>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</si>
  <si>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</si>
  <si>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</si>
  <si>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</si>
  <si>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</si>
  <si>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</si>
  <si>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</si>
  <si>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</si>
  <si>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</si>
  <si>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</si>
  <si>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</si>
  <si>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</si>
  <si>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</si>
  <si>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</si>
  <si>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</si>
  <si>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</si>
  <si>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</si>
  <si>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</si>
  <si>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</si>
  <si>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</si>
  <si>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</si>
  <si>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</si>
  <si>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</si>
  <si>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</si>
  <si>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</si>
  <si>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</si>
  <si>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</si>
  <si>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</si>
  <si>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</si>
  <si>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</si>
  <si>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</si>
  <si>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</si>
  <si>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</si>
  <si>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</si>
  <si>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</si>
  <si>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</si>
  <si>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</si>
  <si>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</si>
  <si>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</si>
  <si>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</si>
  <si>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</si>
  <si>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</si>
  <si>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</si>
  <si>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</si>
  <si>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</si>
  <si>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</si>
  <si>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</si>
  <si>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</si>
  <si>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</si>
  <si>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</si>
  <si>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</si>
  <si>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</si>
  <si>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</si>
  <si>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</si>
  <si>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</si>
  <si>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</si>
  <si>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</si>
  <si>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</si>
  <si>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</si>
  <si>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</si>
  <si>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</si>
  <si>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</si>
  <si>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</si>
  <si>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</si>
  <si>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</si>
  <si>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</si>
  <si>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</si>
  <si>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</si>
  <si>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</si>
  <si>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</si>
  <si>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</si>
  <si>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</si>
  <si>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</si>
  <si>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</si>
  <si>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</si>
  <si>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</si>
  <si>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</si>
  <si>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</si>
  <si>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</si>
  <si>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</si>
  <si>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</si>
  <si>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</si>
  <si>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</si>
  <si>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</si>
  <si>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</si>
  <si>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</si>
  <si>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</si>
  <si>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</si>
  <si>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</si>
  <si>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</si>
  <si>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</si>
  <si>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</si>
  <si>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</si>
  <si>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</si>
  <si>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</si>
  <si>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</si>
  <si>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</si>
  <si>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</si>
  <si>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</si>
  <si>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</si>
  <si>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</si>
  <si>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</si>
  <si>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</si>
  <si>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</si>
  <si>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</si>
  <si>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</si>
  <si>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</si>
  <si>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</si>
  <si>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</si>
  <si>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</si>
  <si>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</si>
  <si>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</si>
  <si>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</si>
  <si>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</si>
  <si>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</si>
  <si>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</si>
  <si>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</si>
  <si>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</si>
  <si>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</si>
  <si>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</si>
  <si>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</si>
  <si>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</si>
  <si>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</si>
  <si>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</si>
  <si>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</si>
  <si>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</si>
  <si>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</si>
  <si>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</si>
  <si>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</si>
  <si>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</si>
  <si>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</si>
  <si>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</si>
  <si>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</si>
  <si>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</si>
  <si>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</si>
  <si>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</si>
  <si>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</si>
  <si>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</si>
  <si>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</si>
  <si>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</si>
  <si>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</si>
  <si>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</si>
  <si>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</si>
  <si>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</si>
  <si>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</si>
  <si>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</si>
  <si>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</si>
  <si>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</si>
  <si>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</si>
  <si>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</si>
  <si>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</si>
  <si>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</si>
  <si>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</si>
  <si>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</si>
  <si>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</si>
  <si>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</si>
  <si>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</si>
  <si>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</si>
  <si>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</si>
  <si>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</si>
  <si>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</si>
  <si>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</si>
  <si>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</si>
  <si>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</si>
  <si>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</si>
  <si>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</si>
  <si>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</si>
  <si>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</si>
  <si>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</si>
  <si>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</si>
  <si>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</si>
  <si>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</si>
  <si>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</si>
  <si>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</si>
  <si>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</si>
  <si>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</si>
  <si>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</si>
  <si>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</si>
  <si>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</si>
  <si>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</si>
  <si>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</si>
  <si>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</si>
  <si>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</si>
  <si>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</si>
  <si>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</si>
  <si>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</si>
  <si>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</si>
  <si>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</si>
  <si>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</si>
  <si>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</si>
  <si>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</si>
  <si>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</si>
  <si>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</si>
  <si>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</si>
  <si>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</si>
  <si>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</si>
  <si>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</si>
  <si>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</si>
  <si>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</si>
  <si>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</si>
  <si>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</si>
  <si>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</si>
  <si>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</si>
  <si>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</si>
  <si>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</si>
  <si>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</si>
  <si>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</si>
  <si>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</si>
  <si>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</si>
  <si>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</si>
  <si>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</si>
  <si>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</si>
  <si>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</si>
  <si>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</si>
  <si>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</si>
  <si>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</si>
  <si>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</si>
  <si>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</si>
  <si>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</si>
  <si>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</si>
  <si>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</si>
  <si>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</si>
  <si>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</si>
  <si>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</si>
  <si>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</si>
  <si>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</si>
  <si>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</si>
  <si>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</si>
  <si>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</si>
  <si>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</si>
  <si>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</si>
  <si>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</si>
  <si>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</si>
  <si>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</si>
  <si>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</si>
  <si>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</si>
  <si>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</si>
  <si>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</si>
  <si>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</si>
  <si>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</si>
  <si>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</si>
  <si>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</si>
  <si>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</si>
  <si>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</si>
  <si>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</si>
  <si>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</si>
  <si>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</si>
  <si>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</si>
  <si>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</si>
  <si>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</si>
  <si>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</si>
  <si>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</si>
  <si>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</si>
  <si>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</si>
  <si>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</si>
  <si>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</si>
  <si>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</si>
  <si>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</si>
  <si>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</si>
  <si>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</si>
  <si>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</si>
  <si>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</si>
  <si>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</si>
  <si>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</si>
  <si>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</si>
  <si>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</si>
  <si>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</si>
  <si>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</si>
  <si>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</si>
  <si>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</si>
  <si>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</si>
  <si>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</si>
  <si>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</si>
  <si>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</si>
  <si>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</si>
  <si>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</si>
  <si>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</si>
  <si>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</si>
  <si>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</si>
  <si>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</si>
  <si>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</si>
  <si>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</si>
  <si>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</si>
  <si>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</si>
  <si>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</si>
  <si>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</si>
  <si>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</si>
  <si>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</si>
  <si>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</si>
  <si>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</si>
  <si>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</si>
  <si>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</si>
  <si>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</si>
  <si>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</si>
  <si>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</si>
  <si>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</si>
  <si>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</si>
  <si>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</si>
  <si>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</si>
  <si>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</si>
  <si>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</si>
  <si>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</si>
  <si>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</si>
  <si>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</si>
  <si>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</si>
  <si>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</si>
  <si>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</si>
  <si>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</si>
  <si>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</si>
  <si>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</si>
  <si>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</si>
  <si>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</si>
  <si>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</si>
  <si>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</si>
  <si>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</si>
  <si>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</si>
  <si>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</si>
  <si>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</si>
  <si>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</si>
  <si>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</si>
  <si>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</si>
  <si>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</si>
  <si>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</si>
  <si>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</si>
  <si>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</si>
  <si>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</si>
  <si>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</si>
  <si>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</si>
  <si>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</si>
  <si>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</si>
  <si>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</si>
  <si>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</si>
  <si>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</si>
  <si>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</si>
  <si>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</si>
  <si>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</si>
  <si>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</si>
  <si>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</si>
  <si>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</si>
  <si>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</si>
  <si>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</si>
  <si>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</si>
  <si>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</si>
  <si>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</si>
  <si>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</si>
  <si>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</si>
  <si>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</si>
  <si>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</si>
  <si>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</si>
  <si>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</si>
  <si>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</si>
  <si>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</si>
  <si>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</si>
  <si>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</si>
  <si>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</si>
  <si>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</si>
  <si>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</si>
  <si>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</si>
  <si>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</si>
  <si>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</si>
  <si>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</si>
  <si>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</si>
  <si>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</si>
  <si>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</si>
  <si>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</si>
  <si>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</si>
  <si>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</si>
  <si>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</si>
  <si>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</si>
  <si>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</si>
  <si>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</si>
  <si>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</si>
  <si>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</si>
  <si>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</si>
  <si>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</si>
  <si>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</si>
  <si>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</si>
  <si>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</si>
  <si>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</si>
  <si>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</si>
  <si>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</si>
  <si>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</si>
  <si>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</si>
  <si>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</si>
  <si>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</si>
  <si>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</si>
  <si>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</si>
  <si>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</si>
  <si>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</si>
  <si>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</si>
  <si>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</si>
  <si>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</si>
  <si>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</si>
  <si>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</si>
  <si>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</si>
  <si>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</si>
  <si>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</si>
  <si>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</si>
  <si>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</si>
  <si>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</si>
  <si>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</si>
  <si>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</si>
  <si>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</si>
  <si>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</si>
  <si>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</si>
  <si>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</si>
  <si>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</si>
  <si>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</si>
  <si>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</si>
  <si>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</si>
  <si>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</si>
  <si>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</si>
  <si>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</si>
  <si>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</si>
  <si>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</si>
  <si>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</si>
  <si>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</si>
  <si>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</si>
  <si>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</si>
  <si>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</si>
  <si>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</si>
  <si>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</si>
  <si>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</si>
  <si>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</si>
  <si>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</si>
  <si>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</si>
  <si>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</si>
  <si>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</si>
  <si>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</si>
  <si>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</si>
  <si>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</si>
  <si>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</si>
  <si>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</si>
  <si>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</si>
  <si>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</si>
  <si>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</si>
  <si>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</si>
  <si>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</si>
  <si>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</si>
  <si>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</si>
  <si>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</si>
  <si>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</si>
  <si>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</si>
  <si>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</si>
  <si>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</si>
  <si>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</si>
  <si>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</si>
  <si>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</si>
  <si>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</si>
  <si>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</si>
  <si>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</si>
  <si>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</si>
  <si>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</si>
  <si>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</si>
  <si>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</si>
  <si>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</si>
  <si>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</si>
  <si>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</si>
  <si>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</si>
  <si>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</si>
  <si>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</si>
  <si>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</si>
  <si>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</si>
  <si>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</si>
  <si>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</si>
  <si>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</si>
  <si>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</si>
  <si>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</si>
  <si>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</si>
  <si>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</si>
  <si>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</si>
  <si>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</si>
  <si>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</si>
  <si>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</si>
  <si>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</si>
  <si>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</si>
  <si>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</si>
  <si>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</si>
  <si>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</si>
  <si>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</si>
  <si>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</si>
  <si>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</si>
  <si>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</si>
  <si>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</si>
  <si>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</si>
  <si>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</si>
  <si>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</si>
  <si>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</si>
  <si>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</si>
  <si>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</si>
  <si>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</si>
  <si>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</si>
  <si>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</si>
  <si>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</si>
  <si>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</si>
  <si>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</si>
  <si>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</si>
  <si>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</si>
  <si>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</si>
  <si>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</si>
  <si>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</si>
  <si>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</si>
  <si>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</si>
  <si>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</si>
  <si>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</si>
  <si>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</si>
  <si>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</si>
  <si>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</si>
  <si>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</si>
  <si>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</si>
  <si>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</si>
  <si>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</si>
  <si>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</si>
  <si>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</si>
  <si>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</si>
  <si>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</si>
  <si>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</si>
  <si>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</si>
  <si>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</si>
  <si>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</si>
  <si>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</si>
  <si>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</si>
  <si>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</si>
  <si>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</si>
  <si>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</si>
  <si>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</si>
  <si>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</si>
  <si>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</si>
  <si>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</si>
  <si>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</si>
  <si>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</si>
  <si>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</si>
  <si>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</si>
  <si>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</si>
  <si>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</si>
  <si>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</si>
  <si>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</si>
  <si>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</si>
  <si>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</si>
  <si>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</si>
  <si>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</si>
  <si>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</si>
  <si>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</si>
  <si>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</si>
  <si>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</si>
  <si>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</si>
  <si>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</si>
  <si>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</si>
  <si>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</si>
  <si>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</si>
  <si>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</si>
  <si>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</si>
  <si>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</si>
  <si>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</si>
  <si>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</si>
  <si>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</si>
  <si>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</si>
  <si>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</si>
  <si>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</si>
  <si>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</si>
  <si>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</si>
  <si>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</si>
  <si>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</si>
  <si>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</si>
  <si>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</si>
  <si>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</si>
  <si>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</si>
  <si>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</si>
  <si>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</si>
  <si>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</si>
  <si>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</si>
  <si>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</si>
  <si>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</si>
  <si>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</si>
  <si>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</si>
  <si>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</si>
  <si>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</si>
  <si>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</si>
  <si>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</si>
  <si>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</si>
  <si>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</si>
  <si>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</si>
  <si>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</si>
  <si>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</si>
  <si>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</si>
  <si>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</si>
  <si>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</si>
  <si>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</si>
  <si>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</si>
  <si>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</si>
  <si>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</si>
  <si>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</si>
  <si>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</si>
  <si>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</si>
  <si>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</si>
  <si>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</si>
  <si>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</si>
  <si>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</si>
  <si>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</si>
  <si>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</si>
  <si>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</si>
  <si>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</si>
  <si>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</si>
  <si>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</si>
  <si>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</si>
  <si>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</si>
  <si>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</si>
  <si>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</si>
  <si>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</si>
  <si>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</si>
  <si>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</si>
  <si>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</si>
  <si>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</si>
  <si>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</si>
  <si>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</si>
  <si>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</si>
  <si>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</si>
  <si>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</si>
  <si>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</si>
  <si>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</si>
  <si>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</si>
  <si>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</si>
  <si>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</si>
  <si>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</si>
  <si>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</si>
  <si>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</si>
  <si>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</si>
  <si>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</si>
  <si>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</si>
  <si>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</si>
  <si>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</si>
  <si>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</si>
  <si>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</si>
  <si>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</si>
  <si>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</si>
  <si>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</si>
  <si>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</si>
  <si>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</si>
  <si>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</si>
  <si>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</si>
  <si>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</si>
  <si>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</si>
  <si>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</si>
  <si>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</si>
  <si>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</si>
  <si>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</si>
  <si>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</si>
  <si>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</si>
  <si>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</si>
  <si>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</si>
  <si>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</si>
  <si>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</si>
  <si>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</si>
  <si>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</si>
  <si>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</si>
  <si>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</si>
  <si>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</si>
  <si>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</si>
  <si>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</si>
  <si>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</si>
  <si>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</si>
  <si>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</si>
  <si>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</si>
  <si>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</si>
  <si>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</si>
  <si>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</si>
  <si>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</si>
  <si>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</si>
  <si>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</si>
  <si>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</si>
  <si>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</si>
  <si>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</si>
  <si>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</si>
  <si>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</si>
  <si>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</si>
  <si>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</si>
  <si>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</si>
  <si>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</si>
  <si>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</si>
  <si>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</si>
  <si>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</si>
  <si>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</si>
  <si>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</si>
  <si>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</si>
  <si>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</si>
  <si>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</si>
  <si>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</si>
  <si>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</si>
  <si>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</si>
  <si>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</si>
  <si>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</si>
  <si>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</si>
  <si>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</si>
  <si>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</si>
  <si>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</si>
  <si>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</si>
  <si>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</si>
  <si>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</si>
  <si>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</si>
  <si>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</si>
  <si>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</si>
  <si>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</si>
  <si>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</si>
  <si>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</si>
  <si>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</si>
  <si>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</si>
  <si>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</si>
  <si>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</si>
  <si>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</si>
  <si>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</si>
  <si>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</si>
  <si>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</si>
  <si>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</si>
  <si>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</si>
  <si>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</si>
  <si>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</si>
  <si>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</si>
  <si>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</si>
  <si>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</si>
  <si>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</si>
  <si>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</si>
  <si>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</si>
  <si>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</si>
  <si>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</si>
  <si>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</si>
  <si>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</si>
  <si>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</si>
  <si>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</si>
  <si>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</si>
  <si>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</si>
  <si>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</si>
  <si>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</si>
  <si>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</si>
  <si>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</si>
  <si>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</si>
  <si>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</si>
  <si>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</si>
  <si>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</si>
  <si>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</si>
  <si>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</si>
  <si>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</si>
  <si>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</si>
  <si>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</si>
  <si>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</si>
  <si>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</si>
  <si>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</si>
  <si>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</si>
  <si>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</si>
  <si>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</si>
  <si>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</si>
  <si>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</si>
  <si>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</si>
  <si>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</si>
  <si>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</si>
  <si>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</si>
  <si>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</si>
  <si>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</si>
  <si>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</si>
  <si>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</si>
  <si>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</si>
  <si>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</si>
  <si>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</si>
  <si>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</si>
  <si>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</si>
  <si>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</si>
  <si>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</si>
  <si>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</si>
  <si>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</si>
  <si>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</si>
  <si>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</si>
  <si>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</si>
  <si>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</si>
  <si>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</si>
  <si>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</si>
  <si>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</si>
  <si>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</si>
  <si>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</si>
  <si>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</si>
  <si>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</si>
  <si>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</si>
  <si>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</si>
  <si>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</si>
  <si>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</si>
  <si>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</si>
  <si>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</si>
  <si>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</si>
  <si>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</si>
  <si>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</si>
  <si>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</si>
  <si>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</si>
  <si>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</si>
  <si>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</si>
  <si>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</si>
  <si>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</si>
  <si>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</si>
  <si>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</si>
  <si>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</si>
  <si>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</si>
  <si>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</si>
  <si>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</si>
  <si>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</si>
  <si>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</si>
  <si>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</si>
  <si>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</si>
  <si>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</si>
  <si>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</si>
  <si>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</si>
  <si>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</si>
  <si>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</si>
  <si>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</si>
  <si>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</si>
  <si>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</si>
  <si>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</si>
  <si>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</si>
  <si>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</si>
  <si>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</si>
  <si>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</si>
  <si>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</si>
  <si>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</si>
  <si>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</si>
  <si>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</si>
  <si>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</si>
  <si>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</si>
  <si>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</si>
  <si>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</si>
  <si>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</si>
  <si>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</si>
  <si>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</si>
  <si>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</si>
  <si>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</si>
  <si>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</si>
  <si>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</si>
  <si>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</si>
  <si>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</si>
  <si>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</si>
  <si>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</si>
  <si>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</si>
  <si>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</si>
  <si>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</si>
  <si>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</si>
  <si>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</si>
  <si>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</si>
  <si>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</si>
  <si>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</si>
  <si>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</si>
  <si>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</si>
  <si>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</si>
  <si>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</si>
  <si>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</si>
  <si>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</si>
  <si>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</si>
  <si>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</si>
  <si>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</si>
  <si>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</si>
  <si>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</si>
  <si>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</si>
  <si>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</si>
  <si>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</si>
  <si>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</si>
  <si>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</si>
  <si>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</si>
  <si>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</si>
  <si>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</si>
  <si>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</si>
  <si>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</si>
  <si>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</si>
  <si>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</si>
  <si>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</si>
  <si>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</si>
  <si>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</si>
  <si>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</si>
  <si>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</si>
  <si>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</si>
  <si>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</si>
  <si>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</si>
  <si>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</si>
  <si>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</si>
  <si>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</si>
  <si>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</si>
  <si>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</si>
  <si>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</si>
  <si>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</si>
  <si>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</si>
  <si>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</si>
  <si>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</si>
  <si>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</si>
  <si>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</si>
  <si>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</si>
  <si>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</si>
  <si>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</si>
  <si>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</si>
  <si>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</si>
  <si>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</si>
  <si>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</si>
  <si>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</si>
  <si>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</si>
  <si>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</si>
  <si>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</si>
  <si>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</si>
  <si>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</si>
  <si>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</si>
  <si>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</si>
  <si>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</si>
  <si>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</si>
  <si>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</si>
  <si>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</si>
  <si>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</si>
  <si>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</si>
  <si>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</si>
  <si>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</si>
  <si>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</si>
  <si>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</si>
  <si>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</si>
  <si>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</si>
  <si>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</si>
  <si>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</si>
  <si>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</si>
  <si>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</si>
  <si>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</si>
  <si>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</si>
  <si>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</si>
  <si>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</si>
  <si>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</si>
  <si>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</si>
  <si>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</si>
  <si>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</si>
  <si>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</si>
  <si>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</si>
  <si>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</si>
  <si>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</si>
  <si>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</si>
  <si>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</si>
  <si>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</si>
  <si>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</si>
  <si>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</si>
  <si>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</si>
  <si>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</si>
  <si>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</si>
  <si>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</si>
  <si>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</si>
  <si>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</si>
  <si>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</si>
  <si>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</si>
  <si>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</si>
  <si>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</si>
  <si>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</si>
  <si>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</si>
  <si>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</si>
  <si>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</si>
  <si>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</si>
  <si>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</si>
  <si>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</si>
  <si>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</si>
  <si>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</si>
  <si>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</si>
  <si>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</si>
  <si>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</si>
  <si>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</si>
  <si>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</si>
  <si>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</si>
  <si>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</si>
  <si>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</si>
  <si>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</si>
  <si>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</si>
  <si>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</si>
  <si>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</si>
  <si>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</si>
  <si>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</si>
  <si>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</si>
  <si>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</si>
  <si>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</si>
  <si>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</si>
  <si>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</si>
  <si>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</si>
  <si>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</si>
  <si>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</si>
  <si>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</si>
  <si>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</si>
  <si>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</si>
  <si>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</si>
  <si>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</si>
  <si>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</si>
  <si>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</si>
  <si>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</si>
  <si>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</si>
  <si>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</si>
  <si>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</si>
  <si>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</si>
  <si>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</si>
  <si>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</si>
  <si>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</si>
  <si>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</si>
  <si>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</si>
  <si>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</si>
  <si>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</si>
  <si>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</si>
  <si>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</si>
  <si>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</si>
  <si>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</si>
  <si>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</si>
  <si>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</si>
  <si>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</si>
  <si>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</si>
  <si>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</si>
  <si>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</si>
  <si>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</si>
  <si>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</si>
  <si>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</si>
  <si>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</si>
  <si>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</si>
  <si>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</si>
  <si>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</si>
  <si>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</si>
  <si>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</si>
  <si>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</si>
  <si>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</si>
  <si>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</si>
  <si>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</si>
  <si>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</si>
  <si>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</si>
  <si>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</si>
  <si>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</si>
  <si>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</si>
  <si>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</si>
  <si>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</si>
  <si>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</si>
  <si>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</si>
  <si>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</si>
  <si>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</si>
  <si>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</si>
  <si>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</si>
  <si>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</si>
  <si>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</si>
  <si>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</si>
  <si>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</si>
  <si>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</si>
  <si>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</si>
  <si>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</si>
  <si>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</si>
  <si>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</si>
  <si>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</si>
  <si>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</si>
  <si>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</si>
  <si>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</si>
  <si>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</si>
  <si>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</si>
  <si>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</si>
  <si>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</si>
  <si>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</si>
  <si>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</si>
  <si>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</si>
  <si>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</si>
  <si>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</si>
  <si>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</si>
  <si>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</si>
  <si>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</si>
  <si>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</si>
  <si>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</si>
  <si>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</si>
  <si>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</si>
  <si>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</si>
  <si>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</si>
  <si>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</si>
  <si>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</si>
  <si>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</si>
  <si>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</si>
  <si>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</si>
  <si>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</si>
  <si>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</si>
  <si>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</si>
  <si>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</si>
  <si>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</si>
  <si>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</si>
  <si>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</si>
  <si>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</si>
  <si>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</si>
  <si>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</si>
  <si>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</si>
  <si>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</si>
  <si>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</si>
  <si>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</si>
  <si>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</si>
  <si>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</si>
  <si>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</si>
  <si>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</si>
  <si>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</si>
  <si>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</si>
  <si>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</si>
  <si>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</si>
  <si>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</si>
  <si>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</si>
  <si>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</si>
  <si>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</si>
  <si>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</si>
  <si>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</si>
  <si>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</si>
  <si>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</si>
  <si>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</si>
  <si>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</si>
  <si>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</si>
  <si>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</si>
  <si>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</si>
  <si>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</si>
  <si>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</si>
  <si>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</si>
  <si>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</si>
  <si>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</si>
  <si>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</si>
  <si>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</si>
  <si>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</si>
  <si>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</si>
  <si>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</si>
  <si>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</si>
  <si>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</si>
  <si>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</si>
  <si>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</si>
  <si>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</si>
  <si>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</si>
  <si>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</si>
  <si>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</si>
  <si>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</si>
  <si>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</si>
  <si>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</si>
  <si>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</si>
  <si>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</si>
  <si>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</si>
  <si>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</si>
  <si>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</si>
  <si>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</si>
  <si>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</si>
  <si>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</si>
  <si>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</si>
  <si>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</si>
  <si>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</si>
  <si>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</si>
  <si>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</si>
  <si>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</si>
  <si>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</si>
  <si>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</si>
  <si>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</si>
  <si>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</si>
  <si>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</si>
  <si>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</si>
  <si>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</si>
  <si>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</si>
  <si>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</si>
  <si>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</si>
  <si>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</si>
  <si>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</si>
  <si>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</si>
  <si>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</si>
  <si>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</si>
  <si>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</si>
  <si>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</si>
  <si>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</si>
  <si>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</si>
  <si>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</si>
  <si>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</si>
  <si>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</si>
  <si>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</si>
  <si>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</si>
  <si>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</si>
  <si>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</si>
  <si>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</si>
  <si>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</si>
  <si>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</si>
  <si>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</si>
  <si>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</si>
  <si>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</si>
  <si>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</si>
  <si>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</si>
  <si>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</si>
  <si>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</si>
  <si>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</si>
  <si>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</si>
  <si>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</si>
  <si>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</si>
  <si>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</si>
  <si>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</si>
  <si>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</si>
  <si>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</si>
  <si>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</si>
  <si>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</si>
  <si>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</si>
  <si>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</si>
  <si>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</si>
  <si>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</si>
  <si>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</si>
  <si>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</si>
  <si>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</si>
  <si>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</si>
  <si>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</si>
  <si>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</si>
  <si>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</si>
  <si>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</si>
  <si>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</si>
  <si>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</si>
  <si>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</si>
  <si>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</si>
  <si>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</si>
  <si>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</si>
  <si>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</si>
  <si>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</si>
  <si>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</si>
  <si>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</si>
  <si>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</si>
  <si>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</si>
  <si>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</si>
  <si>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</si>
  <si>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</si>
  <si>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</si>
  <si>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</si>
  <si>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</si>
  <si>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</si>
  <si>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</si>
  <si>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</si>
  <si>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</si>
  <si>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</si>
  <si>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</si>
  <si>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</si>
  <si>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</si>
  <si>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</si>
  <si>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</si>
  <si>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</si>
  <si>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</si>
  <si>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</si>
  <si>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</si>
  <si>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</si>
  <si>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</si>
  <si>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</si>
  <si>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</si>
  <si>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</si>
  <si>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</si>
  <si>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</si>
  <si>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</si>
  <si>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</si>
  <si>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</si>
  <si>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</si>
  <si>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</si>
  <si>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</si>
  <si>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</si>
  <si>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</si>
  <si>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</si>
  <si>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</si>
  <si>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</si>
  <si>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</si>
  <si>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</si>
  <si>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</si>
  <si>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</si>
  <si>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</si>
  <si>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</si>
  <si>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</si>
  <si>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</si>
  <si>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</si>
  <si>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</si>
  <si>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</si>
  <si>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</si>
  <si>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</si>
  <si>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</si>
  <si>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</si>
  <si>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</si>
  <si>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</si>
  <si>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</si>
  <si>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</si>
  <si>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</si>
  <si>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</si>
  <si>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</si>
  <si>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</si>
  <si>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</si>
  <si>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</si>
  <si>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</si>
  <si>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</si>
  <si>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</si>
  <si>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</si>
  <si>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</si>
  <si>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</si>
  <si>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</si>
  <si>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</si>
  <si>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</si>
  <si>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</si>
  <si>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</si>
  <si>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</si>
  <si>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</si>
  <si>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</si>
  <si>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</si>
  <si>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</si>
  <si>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</si>
  <si>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</si>
  <si>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</si>
  <si>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</si>
  <si>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</si>
  <si>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</si>
  <si>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</si>
  <si>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</si>
  <si>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</si>
  <si>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</si>
  <si>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</si>
  <si>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</si>
  <si>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</si>
  <si>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</si>
  <si>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</si>
  <si>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</si>
  <si>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</si>
  <si>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</si>
  <si>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</si>
  <si>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</si>
  <si>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</si>
  <si>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</si>
  <si>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</si>
  <si>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</si>
  <si>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</si>
  <si>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</si>
  <si>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</si>
  <si>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</si>
  <si>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</si>
  <si>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</si>
  <si>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</si>
  <si>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</si>
  <si>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</si>
  <si>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</si>
  <si>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</si>
  <si>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</si>
  <si>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</si>
  <si>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</si>
  <si>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</si>
  <si>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</si>
  <si>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</si>
  <si>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</si>
  <si>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</si>
  <si>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</si>
  <si>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</si>
  <si>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</si>
  <si>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</si>
  <si>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</si>
  <si>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</si>
  <si>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</si>
  <si>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</si>
  <si>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</si>
  <si>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</si>
  <si>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</si>
  <si>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</si>
  <si>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</si>
  <si>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</si>
  <si>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</si>
  <si>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</si>
  <si>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</si>
  <si>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</si>
  <si>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</si>
  <si>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</si>
  <si>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</si>
  <si>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</si>
  <si>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</si>
  <si>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</si>
  <si>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</si>
  <si>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</si>
  <si>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</si>
  <si>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</si>
  <si>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</si>
  <si>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</si>
  <si>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</si>
  <si>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</si>
  <si>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</si>
  <si>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</si>
  <si>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</si>
  <si>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</si>
  <si>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</si>
  <si>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</si>
  <si>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</si>
  <si>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</si>
  <si>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</si>
  <si>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</si>
  <si>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</si>
  <si>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</si>
  <si>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</si>
  <si>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</si>
  <si>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</si>
  <si>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</si>
  <si>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</si>
  <si>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</si>
  <si>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</si>
  <si>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</si>
  <si>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</si>
  <si>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</si>
  <si>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</si>
  <si>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</si>
  <si>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</si>
  <si>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</si>
  <si>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</si>
  <si>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</si>
  <si>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</si>
  <si>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</si>
  <si>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</si>
  <si>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</si>
  <si>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</si>
  <si>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</si>
  <si>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</si>
  <si>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</si>
  <si>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</si>
  <si>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</si>
  <si>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</si>
  <si>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</si>
  <si>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</si>
  <si>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</si>
  <si>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</si>
  <si>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</si>
  <si>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</si>
  <si>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</si>
  <si>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</si>
  <si>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</si>
  <si>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</si>
  <si>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</si>
  <si>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</si>
  <si>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</si>
  <si>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</si>
  <si>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</si>
  <si>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</si>
  <si>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</si>
  <si>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</si>
  <si>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</si>
  <si>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</si>
  <si>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</si>
  <si>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</si>
  <si>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</si>
  <si>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</si>
  <si>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</si>
  <si>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</si>
  <si>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</si>
  <si>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</si>
  <si>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</si>
  <si>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</si>
  <si>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</si>
  <si>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</si>
  <si>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</si>
  <si>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</si>
  <si>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</si>
  <si>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</si>
  <si>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</si>
  <si>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</si>
  <si>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</si>
  <si>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</si>
  <si>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</si>
  <si>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</si>
  <si>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</si>
  <si>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</si>
  <si>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</si>
  <si>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</si>
  <si>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</si>
  <si>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</si>
  <si>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</si>
  <si>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</si>
  <si>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</si>
  <si>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</si>
  <si>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</si>
  <si>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</si>
  <si>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</si>
  <si>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</si>
  <si>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</si>
  <si>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</si>
  <si>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</si>
  <si>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</si>
  <si>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</si>
  <si>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</si>
  <si>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</si>
  <si>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</si>
  <si>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</si>
  <si>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</si>
  <si>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</si>
  <si>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</si>
  <si>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</si>
  <si>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</si>
  <si>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</si>
  <si>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</si>
  <si>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</si>
  <si>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</si>
  <si>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</si>
  <si>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</si>
  <si>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</si>
  <si>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</si>
  <si>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</si>
  <si>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</si>
  <si>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</si>
  <si>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</si>
  <si>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</si>
  <si>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</si>
  <si>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</si>
  <si>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</si>
  <si>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</si>
  <si>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</si>
  <si>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</si>
  <si>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</si>
  <si>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</si>
  <si>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</si>
  <si>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</si>
  <si>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</si>
  <si>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</si>
  <si>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</si>
  <si>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</si>
  <si>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</si>
  <si>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</si>
  <si>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</si>
  <si>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</si>
  <si>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</si>
  <si>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</si>
  <si>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</si>
  <si>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</si>
  <si>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</si>
  <si>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</si>
  <si>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</si>
  <si>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</si>
  <si>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</si>
  <si>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</si>
  <si>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</si>
  <si>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</si>
  <si>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</si>
  <si>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</si>
  <si>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</si>
  <si>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</si>
  <si>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</si>
  <si>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</si>
  <si>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</si>
  <si>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</si>
  <si>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</si>
  <si>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</si>
  <si>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</si>
  <si>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</si>
  <si>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</si>
  <si>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</si>
  <si>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</si>
  <si>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</si>
  <si>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</si>
  <si>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</si>
  <si>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</si>
  <si>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</si>
  <si>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</si>
  <si>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</si>
  <si>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</si>
  <si>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</si>
  <si>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</si>
  <si>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</si>
  <si>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</si>
  <si>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</si>
  <si>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</si>
  <si>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</si>
  <si>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</si>
  <si>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</si>
  <si>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</si>
  <si>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</si>
  <si>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</si>
  <si>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</si>
  <si>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</si>
  <si>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</si>
  <si>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</si>
  <si>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</si>
  <si>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</si>
  <si>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</si>
  <si>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</si>
  <si>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</si>
  <si>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</si>
  <si>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</si>
  <si>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</si>
  <si>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</si>
  <si>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</si>
  <si>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</si>
  <si>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</si>
  <si>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</si>
  <si>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</si>
  <si>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</si>
  <si>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</si>
  <si>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</si>
  <si>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</si>
  <si>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</si>
  <si>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</si>
  <si>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</si>
  <si>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</si>
  <si>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</si>
  <si>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</si>
  <si>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</si>
  <si>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</si>
  <si>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</si>
  <si>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</si>
  <si>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</si>
  <si>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</si>
  <si>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</si>
  <si>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</si>
  <si>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</si>
  <si>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</si>
  <si>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</si>
  <si>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</si>
  <si>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</si>
  <si>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</si>
  <si>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</si>
  <si>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</si>
  <si>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</si>
  <si>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</si>
  <si>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</si>
  <si>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</si>
  <si>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</si>
  <si>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</si>
  <si>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</si>
  <si>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</si>
  <si>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</si>
  <si>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</si>
  <si>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</si>
  <si>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</si>
  <si>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</si>
  <si>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</si>
  <si>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</si>
  <si>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</si>
  <si>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</si>
  <si>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</si>
  <si>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</si>
  <si>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</si>
  <si>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</si>
  <si>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</si>
  <si>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</si>
  <si>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</si>
  <si>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</si>
  <si>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</si>
  <si>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</si>
  <si>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</si>
  <si>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</si>
  <si>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</si>
  <si>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</si>
  <si>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</si>
  <si>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</si>
  <si>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</si>
  <si>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</si>
  <si>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</si>
  <si>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</si>
  <si>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</si>
  <si>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</si>
  <si>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</si>
  <si>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</si>
  <si>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</si>
  <si>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</si>
  <si>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</si>
  <si>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</si>
  <si>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</si>
  <si>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</si>
  <si>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</si>
  <si>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</si>
  <si>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</si>
  <si>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</si>
  <si>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</si>
  <si>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</si>
  <si>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</si>
  <si>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</si>
  <si>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</si>
  <si>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</si>
  <si>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</si>
  <si>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</si>
  <si>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</si>
  <si>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</si>
  <si>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</si>
  <si>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</si>
  <si>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</si>
  <si>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</si>
  <si>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</si>
  <si>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</si>
  <si>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</si>
  <si>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</si>
  <si>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</si>
  <si>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土地面积</t>
    <phoneticPr fontId="143" type="noConversion"/>
  </si>
  <si>
    <t>总建筑面积</t>
    <phoneticPr fontId="143" type="noConversion"/>
  </si>
  <si>
    <t>地上建筑面积</t>
    <phoneticPr fontId="143" type="noConversion"/>
  </si>
  <si>
    <t>办公</t>
    <phoneticPr fontId="143" type="noConversion"/>
  </si>
  <si>
    <t>商业</t>
    <phoneticPr fontId="143" type="noConversion"/>
  </si>
  <si>
    <t>人行通道</t>
    <phoneticPr fontId="143" type="noConversion"/>
  </si>
  <si>
    <t>地面出入口</t>
    <phoneticPr fontId="143" type="noConversion"/>
  </si>
  <si>
    <t>地下商业</t>
    <phoneticPr fontId="143" type="noConversion"/>
  </si>
  <si>
    <t>地下建筑面积</t>
    <phoneticPr fontId="143" type="noConversion"/>
  </si>
  <si>
    <t>人行通道</t>
    <phoneticPr fontId="143" type="noConversion"/>
  </si>
  <si>
    <t>车库、设备用房</t>
    <phoneticPr fontId="143" type="noConversion"/>
  </si>
  <si>
    <r>
      <t>1</t>
    </r>
    <r>
      <rPr>
        <sz val="11"/>
        <color theme="1"/>
        <rFont val="宋体"/>
        <family val="3"/>
        <charset val="134"/>
        <scheme val="minor"/>
      </rPr>
      <t>#办公楼</t>
    </r>
    <phoneticPr fontId="143" type="noConversion"/>
  </si>
  <si>
    <r>
      <t>2</t>
    </r>
    <r>
      <rPr>
        <sz val="11"/>
        <color theme="1"/>
        <rFont val="宋体"/>
        <family val="3"/>
        <charset val="134"/>
        <scheme val="minor"/>
      </rPr>
      <t>#办公楼</t>
    </r>
    <phoneticPr fontId="143" type="noConversion"/>
  </si>
  <si>
    <r>
      <t>8</t>
    </r>
    <r>
      <rPr>
        <sz val="11"/>
        <color theme="1"/>
        <rFont val="宋体"/>
        <family val="3"/>
        <charset val="134"/>
        <scheme val="minor"/>
      </rPr>
      <t>#商业楼</t>
    </r>
    <phoneticPr fontId="143" type="noConversion"/>
  </si>
  <si>
    <t>9#办公楼</t>
    <phoneticPr fontId="143" type="noConversion"/>
  </si>
  <si>
    <t>办公</t>
    <phoneticPr fontId="143" type="noConversion"/>
  </si>
  <si>
    <t>地上商业</t>
    <phoneticPr fontId="143" type="noConversion"/>
  </si>
  <si>
    <t>地下商业</t>
    <phoneticPr fontId="143" type="noConversion"/>
  </si>
  <si>
    <t>车库</t>
  </si>
  <si>
    <t>车库</t>
    <phoneticPr fontId="143" type="noConversion"/>
  </si>
  <si>
    <t>设备</t>
    <phoneticPr fontId="143" type="noConversion"/>
  </si>
  <si>
    <r>
      <t>1</t>
    </r>
    <r>
      <rPr>
        <sz val="11"/>
        <color theme="1"/>
        <rFont val="宋体"/>
        <family val="3"/>
        <charset val="134"/>
        <scheme val="minor"/>
      </rPr>
      <t>#楼</t>
    </r>
    <phoneticPr fontId="143" type="noConversion"/>
  </si>
  <si>
    <r>
      <t>2</t>
    </r>
    <r>
      <rPr>
        <sz val="11"/>
        <color theme="1"/>
        <rFont val="宋体"/>
        <family val="3"/>
        <charset val="134"/>
        <scheme val="minor"/>
      </rPr>
      <t>#楼</t>
    </r>
    <phoneticPr fontId="143" type="noConversion"/>
  </si>
  <si>
    <r>
      <t>8</t>
    </r>
    <r>
      <rPr>
        <sz val="11"/>
        <color theme="1"/>
        <rFont val="宋体"/>
        <family val="3"/>
        <charset val="134"/>
        <scheme val="minor"/>
      </rPr>
      <t>#楼</t>
    </r>
    <phoneticPr fontId="143" type="noConversion"/>
  </si>
  <si>
    <t>9#楼</t>
    <phoneticPr fontId="143" type="noConversion"/>
  </si>
  <si>
    <t>一期</t>
    <phoneticPr fontId="143" type="noConversion"/>
  </si>
  <si>
    <t>二期</t>
    <phoneticPr fontId="143" type="noConversion"/>
  </si>
  <si>
    <t>土地</t>
    <phoneticPr fontId="143" type="noConversion"/>
  </si>
  <si>
    <t>地上商业</t>
    <phoneticPr fontId="143" type="noConversion"/>
  </si>
  <si>
    <t>地下商业</t>
    <phoneticPr fontId="143" type="noConversion"/>
  </si>
  <si>
    <t>人防</t>
    <phoneticPr fontId="143" type="noConversion"/>
  </si>
  <si>
    <t>汇总</t>
    <phoneticPr fontId="143" type="noConversion"/>
  </si>
  <si>
    <t>合计</t>
    <phoneticPr fontId="143" type="noConversion"/>
  </si>
  <si>
    <t>其中</t>
    <phoneticPr fontId="143" type="noConversion"/>
  </si>
  <si>
    <t>总设备用房</t>
    <phoneticPr fontId="143" type="noConversion"/>
  </si>
  <si>
    <t>是</t>
  </si>
  <si>
    <t>否</t>
  </si>
  <si>
    <t>地上</t>
  </si>
  <si>
    <t>地下</t>
  </si>
  <si>
    <t>办公</t>
    <phoneticPr fontId="7" type="noConversion"/>
  </si>
  <si>
    <t>抵押</t>
  </si>
  <si>
    <t>房地产抵押价值</t>
  </si>
  <si>
    <t>北京市</t>
  </si>
  <si>
    <t>企业</t>
  </si>
  <si>
    <t>出让</t>
  </si>
  <si>
    <t>Ⅷ-顺1</t>
  </si>
  <si>
    <t>与级别开发程度不一致</t>
  </si>
  <si>
    <t>通路</t>
  </si>
  <si>
    <t>通电</t>
  </si>
  <si>
    <t>通上水</t>
  </si>
  <si>
    <t>容积率修正</t>
  </si>
  <si>
    <t>一般</t>
  </si>
  <si>
    <t>较好</t>
  </si>
  <si>
    <t>好</t>
  </si>
  <si>
    <t>未包含在土地购买价格中</t>
  </si>
  <si>
    <t>已包含在土地取得成本中</t>
  </si>
  <si>
    <t>全部缴纳</t>
  </si>
  <si>
    <t>在建（套用方法）</t>
  </si>
  <si>
    <t>钢混</t>
  </si>
  <si>
    <t>非生产用房</t>
  </si>
  <si>
    <t>收益法</t>
  </si>
  <si>
    <t>成本法</t>
  </si>
  <si>
    <t>假设开发法</t>
  </si>
  <si>
    <t>按房产原值计税</t>
  </si>
  <si>
    <t>地下面积</t>
    <phoneticPr fontId="143" type="noConversion"/>
  </si>
  <si>
    <t>地上面积</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</si>
  <si>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</si>
  <si>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</si>
  <si>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</si>
  <si>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</si>
  <si>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</si>
  <si>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</si>
  <si>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</si>
  <si>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</si>
  <si>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</si>
  <si>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</si>
  <si>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</si>
  <si>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</si>
  <si>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</si>
  <si>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</si>
  <si>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</si>
  <si>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</si>
  <si>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</si>
  <si>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</si>
  <si>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</si>
  <si>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</si>
  <si>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</si>
  <si>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</si>
  <si>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</si>
  <si>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</si>
  <si>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</si>
  <si>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</si>
  <si>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</si>
  <si>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</si>
  <si>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</si>
  <si>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</si>
  <si>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</si>
  <si>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</si>
  <si>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</si>
  <si>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</si>
  <si>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</si>
  <si>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</si>
  <si>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</si>
  <si>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</si>
  <si>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</si>
  <si>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</si>
  <si>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</si>
  <si>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</si>
  <si>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</si>
  <si>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</si>
  <si>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</si>
  <si>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</si>
  <si>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</si>
  <si>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</si>
  <si>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</si>
  <si>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</si>
  <si>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</si>
  <si>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</si>
  <si>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</si>
  <si>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</si>
  <si>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</si>
  <si>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</si>
  <si>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</si>
  <si>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</si>
  <si>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</si>
  <si>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</si>
  <si>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</si>
  <si>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</si>
  <si>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</si>
  <si>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</si>
  <si>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</si>
  <si>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</si>
  <si>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</si>
  <si>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</si>
  <si>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</si>
  <si>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</si>
  <si>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</si>
  <si>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</si>
  <si>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</si>
  <si>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</si>
  <si>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</si>
  <si>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</si>
  <si>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</si>
  <si>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</si>
  <si>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</si>
  <si>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</si>
  <si>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</si>
  <si>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</si>
  <si>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</si>
  <si>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</si>
  <si>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</si>
  <si>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</si>
  <si>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</si>
  <si>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</si>
  <si>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</si>
  <si>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</si>
  <si>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</si>
  <si>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</si>
  <si>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</si>
  <si>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</si>
  <si>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</si>
  <si>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</si>
  <si>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</si>
  <si>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</si>
  <si>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</si>
  <si>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</si>
  <si>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</si>
  <si>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</si>
  <si>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</si>
  <si>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</si>
  <si>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</si>
  <si>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</si>
  <si>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</si>
  <si>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</si>
  <si>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</si>
  <si>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</si>
  <si>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</si>
  <si>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</si>
  <si>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</si>
  <si>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</si>
  <si>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</si>
  <si>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</si>
  <si>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</si>
  <si>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</si>
  <si>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</si>
  <si>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</si>
  <si>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</si>
  <si>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</si>
  <si>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</si>
  <si>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</si>
  <si>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</si>
  <si>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</si>
  <si>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</si>
  <si>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</si>
  <si>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</si>
  <si>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</si>
  <si>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</si>
  <si>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</si>
  <si>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</si>
  <si>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</si>
  <si>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</si>
  <si>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</si>
  <si>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</si>
  <si>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</si>
  <si>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</si>
  <si>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</si>
  <si>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</si>
  <si>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</si>
  <si>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</si>
  <si>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</si>
  <si>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</si>
  <si>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</si>
  <si>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</si>
  <si>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</si>
  <si>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</si>
  <si>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</si>
  <si>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</si>
  <si>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</si>
  <si>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</si>
  <si>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</si>
  <si>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</si>
  <si>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</si>
  <si>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</si>
  <si>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</si>
  <si>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</si>
  <si>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住宅</t>
  </si>
  <si>
    <t>期号</t>
  </si>
  <si>
    <t>楼号  Building No.</t>
  </si>
  <si>
    <t>户型                                                                                                                                                                          Room Type</t>
  </si>
  <si>
    <t>总计 Total</t>
  </si>
  <si>
    <t>独立2K （57.3㎡）</t>
  </si>
  <si>
    <t>独立3K   (90.6㎡）</t>
  </si>
  <si>
    <t xml:space="preserve"> 协护1K （36.6/39.3㎡）  </t>
  </si>
  <si>
    <t>一期</t>
  </si>
  <si>
    <t>1#</t>
  </si>
  <si>
    <t>2#</t>
  </si>
  <si>
    <t>9#</t>
  </si>
  <si>
    <t>总计</t>
  </si>
  <si>
    <t>二期</t>
  </si>
  <si>
    <t>3#</t>
  </si>
  <si>
    <t>4#</t>
  </si>
  <si>
    <t>5#</t>
  </si>
  <si>
    <t>6#</t>
  </si>
  <si>
    <t>7#</t>
  </si>
  <si>
    <t>10#</t>
  </si>
  <si>
    <t>11#</t>
  </si>
  <si>
    <t>一期二期总计</t>
  </si>
  <si>
    <t>独立1K （36.6/39.3㎡）</t>
    <phoneticPr fontId="143" type="noConversion"/>
  </si>
  <si>
    <t>独立1K</t>
    <phoneticPr fontId="3" type="noConversion"/>
  </si>
  <si>
    <t>独立2K</t>
    <phoneticPr fontId="3" type="noConversion"/>
  </si>
  <si>
    <t>失智照护</t>
    <phoneticPr fontId="143" type="noConversion"/>
  </si>
  <si>
    <t>失智照护</t>
    <phoneticPr fontId="3" type="noConversion"/>
  </si>
  <si>
    <t>医卫慈善用地</t>
  </si>
  <si>
    <t>自定义</t>
  </si>
  <si>
    <t>押金</t>
    <phoneticPr fontId="143" type="noConversion"/>
  </si>
  <si>
    <t>成本比率</t>
  </si>
  <si>
    <t>养老</t>
    <phoneticPr fontId="31" type="noConversion"/>
  </si>
  <si>
    <t>办公</t>
    <phoneticPr fontId="31" type="noConversion"/>
  </si>
  <si>
    <t>王鹏</t>
  </si>
  <si>
    <t>郑燚</t>
  </si>
  <si>
    <t>溢价率</t>
    <phoneticPr fontId="31" type="noConversion"/>
  </si>
  <si>
    <t>0-20</t>
    <phoneticPr fontId="31" type="noConversion"/>
  </si>
  <si>
    <t>20-40</t>
    <phoneticPr fontId="31" type="noConversion"/>
  </si>
  <si>
    <t>20-40</t>
    <phoneticPr fontId="31" type="noConversion"/>
  </si>
  <si>
    <t>40-60</t>
    <phoneticPr fontId="31" type="noConversion"/>
  </si>
  <si>
    <t>0-20</t>
    <phoneticPr fontId="31" type="noConversion"/>
  </si>
  <si>
    <t>20-40</t>
    <phoneticPr fontId="31" type="noConversion"/>
  </si>
  <si>
    <t>朝阳区金盏乡楼梓庄村1113-602地块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</si>
</sst>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scheme val="minor"/>
    </font>
    <font>
      <b/>
      <sz val="14"/>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8"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197" fontId="170" fillId="0" borderId="6" xfId="17" applyNumberFormat="1" applyBorder="1" applyAlignment="1">
      <alignment horizontal="center" vertical="center" wrapText="1"/>
    </xf>
    <xf numFmtId="197" fontId="170" fillId="0" borderId="9" xfId="17" applyNumberFormat="1" applyBorder="1" applyAlignment="1">
      <alignment horizontal="center" vertical="center" wrapText="1"/>
    </xf>
    <xf numFmtId="197" fontId="170" fillId="0" borderId="10" xfId="17" applyNumberFormat="1" applyBorder="1" applyAlignment="1">
      <alignment horizontal="center" vertical="center" wrapText="1"/>
    </xf>
    <xf numFmtId="0" fontId="170" fillId="0" borderId="23" xfId="17" applyBorder="1" applyAlignment="1">
      <alignment horizontal="center" vertical="center"/>
    </xf>
    <xf numFmtId="0" fontId="170" fillId="0" borderId="1" xfId="17" applyBorder="1" applyAlignment="1">
      <alignment horizontal="center" vertical="center"/>
    </xf>
    <xf numFmtId="197" fontId="170" fillId="17" borderId="1" xfId="17" applyNumberFormat="1" applyFill="1" applyBorder="1" applyAlignment="1">
      <alignment horizontal="center" vertical="center" wrapText="1"/>
    </xf>
    <xf numFmtId="197" fontId="170" fillId="18" borderId="1" xfId="17" applyNumberFormat="1" applyFill="1" applyBorder="1" applyAlignment="1">
      <alignment horizontal="center" vertical="center" wrapText="1"/>
    </xf>
    <xf numFmtId="0" fontId="170" fillId="0" borderId="24" xfId="17" applyBorder="1" applyAlignment="1">
      <alignment horizontal="center" vertical="center"/>
    </xf>
    <xf numFmtId="0" fontId="170" fillId="0" borderId="1" xfId="17" applyBorder="1" applyAlignment="1">
      <alignment horizontal="center"/>
    </xf>
    <xf numFmtId="0" fontId="170" fillId="0" borderId="1" xfId="17" applyFill="1" applyBorder="1" applyAlignment="1">
      <alignment horizontal="center" vertical="center"/>
    </xf>
    <xf numFmtId="0" fontId="254" fillId="0" borderId="24" xfId="17" applyFont="1" applyFill="1" applyBorder="1" applyAlignment="1">
      <alignment horizontal="center" vertical="center"/>
    </xf>
    <xf numFmtId="0" fontId="170"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70" fillId="0" borderId="23" xfId="17" applyBorder="1" applyAlignment="1">
      <alignment vertical="center"/>
    </xf>
    <xf numFmtId="0" fontId="170" fillId="0" borderId="1" xfId="17" applyBorder="1" applyAlignment="1">
      <alignment vertical="center"/>
    </xf>
    <xf numFmtId="0" fontId="170" fillId="0" borderId="24" xfId="17" applyBorder="1" applyAlignment="1">
      <alignment vertical="center"/>
    </xf>
    <xf numFmtId="0" fontId="170" fillId="0" borderId="23" xfId="17" applyFill="1" applyBorder="1" applyAlignment="1">
      <alignment horizontal="center" vertical="center"/>
    </xf>
    <xf numFmtId="0" fontId="170"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9" fillId="19" borderId="0" xfId="17" applyFont="1" applyFill="1" applyBorder="1" applyAlignment="1">
      <alignment horizontal="center" vertical="center"/>
    </xf>
    <xf numFmtId="0" fontId="19" fillId="0" borderId="0" xfId="0" applyFont="1" applyFill="1" applyBorder="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8" fillId="20" borderId="82" xfId="0" applyFont="1" applyFill="1" applyBorder="1" applyAlignment="1" applyProtection="1">
      <alignment horizontal="center" vertical="center"/>
    </xf>
    <xf numFmtId="0" fontId="55" fillId="20" borderId="1" xfId="0" applyFont="1" applyFill="1" applyBorder="1" applyAlignment="1" applyProtection="1">
      <alignment horizontal="right" vertical="center"/>
    </xf>
    <xf numFmtId="0" fontId="55" fillId="20" borderId="1" xfId="0" applyFont="1" applyFill="1" applyBorder="1" applyAlignment="1" applyProtection="1">
      <alignment horizontal="center" vertical="center"/>
      <protection locked="0"/>
    </xf>
    <xf numFmtId="0" fontId="0" fillId="20" borderId="0" xfId="0" applyFill="1">
      <alignment vertical="center"/>
    </xf>
    <xf numFmtId="0" fontId="50" fillId="20" borderId="1" xfId="0" applyFont="1" applyFill="1" applyBorder="1" applyAlignment="1" applyProtection="1">
      <alignment horizontal="center" vertical="center"/>
    </xf>
    <xf numFmtId="181" fontId="55" fillId="20" borderId="79" xfId="0" applyNumberFormat="1"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99" fillId="5" borderId="0" xfId="0" applyFont="1"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197" fontId="170" fillId="0" borderId="29" xfId="17" applyNumberFormat="1" applyBorder="1" applyAlignment="1">
      <alignment horizontal="center" vertical="center" wrapText="1"/>
    </xf>
    <xf numFmtId="197" fontId="170" fillId="0" borderId="19" xfId="17" applyNumberFormat="1" applyBorder="1" applyAlignment="1">
      <alignment horizontal="center" vertical="center" wrapText="1"/>
    </xf>
    <xf numFmtId="197" fontId="170"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10</xdr:col>
      <xdr:colOff>246805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2124075</xdr:colOff>
      <xdr:row>49</xdr:row>
      <xdr:rowOff>9524</xdr:rowOff>
    </xdr:from>
    <xdr:to>
      <xdr:col>9</xdr:col>
      <xdr:colOff>504825</xdr:colOff>
      <xdr:row>85</xdr:row>
      <xdr:rowOff>152959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124075" y="8410574"/>
          <a:ext cx="7143750" cy="631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338-P02DYGJ2&#22303;&#22320;&#37096;&#20998;&#65288;24&#2015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105258.64000000001</v>
          </cell>
          <cell r="C14">
            <v>33856.980000000003</v>
          </cell>
          <cell r="D14">
            <v>121118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北京市出让国有建设用地使用权及在建建筑物房地产抵押价值预评估</v>
      </c>
    </row>
    <row r="3" spans="1:2" s="1593" customFormat="1">
      <c r="A3" s="1591" t="s">
        <v>1211</v>
      </c>
      <c r="B3" s="1592">
        <f>'预评函-封皮'!B40</f>
        <v>0</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受贵公司委托，我公司对北京市出让国有建设用地使用权及在建建筑物房地产抵押价值进行了预评估。</v>
      </c>
    </row>
    <row r="7" spans="1:2" s="1593" customFormat="1">
      <c r="A7" s="1591" t="s">
        <v>1254</v>
      </c>
      <c r="B7" s="1592" t="str">
        <f>'预评函-1'!A7</f>
        <v>估价对象为北京市出让国有建设用地使用权及在建建筑物房地产，为所有。根据《国有土地使用证》[]，估价对象（分摊）出让国有建设用地使用权面积为15620.22平方米，建筑面积为48562.03平方米。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北京市出让国有建设用地使用权及在建建筑物房地产,属开发建设的，该项目尚在开发建设中。根据《国有土地使用证》[]，估价对象（分摊）出让国有建设用地使用权面积为15620.22平方米，规划建筑面积为48562.03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2019年5月18日</v>
      </c>
    </row>
    <row r="13" spans="1:2" s="1593" customFormat="1">
      <c r="A13" s="1591" t="s">
        <v>1217</v>
      </c>
      <c r="B13" s="1592" t="str">
        <f>'预评函-1'!A18</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4" spans="1:2" s="1593" customFormat="1">
      <c r="A14" s="1591" t="s">
        <v>1218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本次评估采用的主估价方法为成本法和假设开发法。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121774</v>
      </c>
    </row>
    <row r="21" spans="1:2" s="1593" customFormat="1">
      <c r="A21" s="1591" t="s">
        <v>1225</v>
      </c>
      <c r="B21" s="1592">
        <f ca="1">'预评函-2'!D7</f>
        <v>25076</v>
      </c>
    </row>
    <row r="22" spans="1:2" s="1593" customFormat="1">
      <c r="A22" s="1591" t="s">
        <v>1226</v>
      </c>
      <c r="B22" s="1592" t="str">
        <f ca="1">'预评函-2'!D6</f>
        <v>壹拾贰亿壹仟柒佰柒拾肆万元整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121774</v>
      </c>
    </row>
    <row r="31" spans="1:2" s="1593" customFormat="1">
      <c r="A31" s="1591" t="s">
        <v>1264</v>
      </c>
      <c r="B31" s="1592">
        <f ca="1">'预评函-2'!D15</f>
        <v>25076</v>
      </c>
    </row>
    <row r="32" spans="1:2" s="1593" customFormat="1">
      <c r="A32" s="1591" t="s">
        <v>1231</v>
      </c>
      <c r="B32" s="1592" t="str">
        <f ca="1">'预评函-2'!D14</f>
        <v>壹拾贰亿壹仟柒佰柒拾肆万元整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北京市出让国有建设用地使用权及在建建筑物房地产</v>
      </c>
    </row>
    <row r="42" spans="1:2" s="1593" customFormat="1">
      <c r="A42" s="1591" t="s">
        <v>1278</v>
      </c>
      <c r="B42" s="1592" t="str">
        <f>'预评函-3'!B2</f>
        <v>建筑面积</v>
      </c>
    </row>
    <row r="43" spans="1:2" s="1593" customFormat="1">
      <c r="A43" s="1591" t="s">
        <v>1279</v>
      </c>
      <c r="B43" s="1592">
        <f>'预评函-3'!B4</f>
        <v>48562.030000000006</v>
      </c>
    </row>
    <row r="44" spans="1:2" s="1593" customFormat="1">
      <c r="A44" s="1591" t="s">
        <v>1263</v>
      </c>
      <c r="B44" s="1592" t="str">
        <f>'预评函-3'!C2</f>
        <v>(分摊)土地面积</v>
      </c>
    </row>
    <row r="45" spans="1:2" s="1593" customFormat="1">
      <c r="A45" s="1591" t="s">
        <v>1235</v>
      </c>
      <c r="B45" s="1592">
        <f>'预评函-3'!C4</f>
        <v>15620.22</v>
      </c>
    </row>
    <row r="46" spans="1:2" s="1593" customFormat="1">
      <c r="A46" s="1591" t="s">
        <v>1261</v>
      </c>
      <c r="B46" s="1592" t="str">
        <f>'预评函-3'!D2</f>
        <v>出让国有建设用地使用权价值</v>
      </c>
    </row>
    <row r="47" spans="1:2" s="1593" customFormat="1">
      <c r="A47" s="1591" t="s">
        <v>1236</v>
      </c>
      <c r="B47" s="1592">
        <f ca="1">'预评函-3'!D4</f>
        <v>109597</v>
      </c>
    </row>
    <row r="48" spans="1:2" s="1593" customFormat="1">
      <c r="A48" s="1591" t="s">
        <v>1237</v>
      </c>
      <c r="B48" s="1592">
        <f ca="1">'预评函-3'!E4</f>
        <v>22568</v>
      </c>
    </row>
    <row r="49" spans="1:2" s="1593" customFormat="1">
      <c r="A49" s="1591" t="s">
        <v>1238</v>
      </c>
      <c r="B49" s="1592" t="str">
        <f ca="1">'预评函-3'!D5</f>
        <v>壹拾亿玖仟伍佰玖拾柒万元整</v>
      </c>
    </row>
    <row r="50" spans="1:2" s="1593" customFormat="1">
      <c r="A50" s="1591" t="s">
        <v>1262</v>
      </c>
      <c r="B50" s="1592" t="str">
        <f>'预评函-3'!F2</f>
        <v>在建建筑物价值</v>
      </c>
    </row>
    <row r="51" spans="1:2" s="1593" customFormat="1">
      <c r="A51" s="1591" t="s">
        <v>1239</v>
      </c>
      <c r="B51" s="1592">
        <f ca="1">'预评函-3'!F4</f>
        <v>12177</v>
      </c>
    </row>
    <row r="52" spans="1:2" s="1593" customFormat="1">
      <c r="A52" s="1591" t="s">
        <v>1240</v>
      </c>
      <c r="B52" s="1592">
        <f ca="1">'预评函-3'!G4</f>
        <v>2508</v>
      </c>
    </row>
    <row r="53" spans="1:2" s="1593" customFormat="1">
      <c r="A53" s="1591" t="s">
        <v>1268</v>
      </c>
      <c r="B53" s="1592" t="str">
        <f ca="1">'预评函-3'!F5</f>
        <v>壹亿贰仟壹佰柒拾柒万元整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1259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5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861</v>
      </c>
      <c r="C54" s="2019" t="s">
        <v>1271</v>
      </c>
    </row>
    <row r="55" spans="1:4">
      <c r="A55" s="3050"/>
      <c r="B55" s="2022" t="s">
        <v>862</v>
      </c>
      <c r="C55" s="2019" t="s">
        <v>1272</v>
      </c>
    </row>
    <row r="56" spans="1:4">
      <c r="A56" s="3050"/>
      <c r="B56" s="2022" t="s">
        <v>863</v>
      </c>
      <c r="C56" s="2019" t="s">
        <v>1276</v>
      </c>
    </row>
    <row r="57" spans="1:4">
      <c r="A57" s="3050"/>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1766</v>
      </c>
      <c r="B1" s="305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2"/>
      <c r="D1" s="3052"/>
      <c r="E1" s="3052"/>
      <c r="F1" s="3052"/>
      <c r="G1" s="3052"/>
      <c r="H1" s="3052"/>
      <c r="I1" s="305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1768</v>
      </c>
      <c r="B3" s="2036"/>
      <c r="C3" s="2037" t="s">
        <v>1769</v>
      </c>
      <c r="D3" s="2036">
        <v>43603</v>
      </c>
      <c r="E3" s="2026"/>
      <c r="F3" s="2026"/>
      <c r="G3" s="2026"/>
      <c r="H3" s="2026"/>
      <c r="I3" s="2026"/>
      <c r="J3" s="2026"/>
      <c r="K3" s="2027"/>
      <c r="L3" s="2028"/>
      <c r="M3" s="2028"/>
      <c r="N3" s="2029"/>
      <c r="O3" s="2030"/>
      <c r="P3" s="2029"/>
      <c r="Q3" s="2029"/>
      <c r="R3" s="2029"/>
      <c r="S3" s="2031"/>
    </row>
    <row r="4" spans="1:19" ht="18" customHeight="1" thickBot="1">
      <c r="A4" s="2038" t="s">
        <v>1770</v>
      </c>
      <c r="B4" s="2039" t="s">
        <v>3306</v>
      </c>
      <c r="C4" s="1037">
        <f ca="1">SUMIF(注册房地产估价师,B4,估价师及机构信息!B3:B24)</f>
        <v>1120050019</v>
      </c>
      <c r="D4" s="2039" t="s">
        <v>3307</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1773</v>
      </c>
      <c r="B7" s="2053"/>
      <c r="C7" s="2050"/>
      <c r="D7" s="2051"/>
      <c r="E7" s="2034"/>
      <c r="F7" s="2042"/>
      <c r="G7" s="2042"/>
      <c r="H7" s="2042"/>
      <c r="I7" s="2042"/>
      <c r="J7" s="2042"/>
      <c r="K7" s="2054"/>
      <c r="L7" s="2028"/>
      <c r="M7" s="2028"/>
      <c r="N7" s="2029"/>
      <c r="O7" s="2030"/>
      <c r="P7" s="2029"/>
      <c r="Q7" s="2029"/>
      <c r="R7" s="2029"/>
    </row>
    <row r="8" spans="1:19" ht="18" customHeight="1">
      <c r="A8" s="2048" t="s">
        <v>1774</v>
      </c>
      <c r="B8" s="2055" t="s">
        <v>3088</v>
      </c>
      <c r="C8" s="2056"/>
      <c r="D8" s="3054" t="s">
        <v>1775</v>
      </c>
      <c r="E8" s="2057" t="s">
        <v>3089</v>
      </c>
      <c r="F8" s="2058"/>
      <c r="G8" s="2026"/>
      <c r="H8" s="2026"/>
      <c r="I8" s="2026"/>
      <c r="J8" s="2042"/>
      <c r="K8" s="2043"/>
      <c r="L8" s="2028"/>
      <c r="M8" s="2028"/>
      <c r="N8" s="2029"/>
      <c r="O8" s="2030"/>
      <c r="P8" s="2029"/>
      <c r="Q8" s="2029"/>
      <c r="R8" s="2029"/>
    </row>
    <row r="9" spans="1:19" ht="18" customHeight="1" thickBot="1">
      <c r="A9" s="2040" t="s">
        <v>1776</v>
      </c>
      <c r="B9" s="2059" t="s">
        <v>3089</v>
      </c>
      <c r="C9" s="2060"/>
      <c r="D9" s="3055"/>
      <c r="E9" s="2059"/>
      <c r="F9" s="2061"/>
      <c r="G9" s="2062"/>
      <c r="H9" s="2062"/>
      <c r="I9" s="2062"/>
      <c r="J9" s="2042"/>
      <c r="K9" s="2054"/>
      <c r="L9" s="2028"/>
      <c r="M9" s="2028"/>
      <c r="N9" s="2029"/>
      <c r="O9" s="2030"/>
      <c r="P9" s="2029"/>
      <c r="Q9" s="2029"/>
      <c r="R9" s="2029"/>
    </row>
    <row r="10" spans="1:19" ht="18" customHeight="1" thickTop="1">
      <c r="A10" s="2063" t="s">
        <v>1777</v>
      </c>
      <c r="B10" s="2064" t="s">
        <v>3090</v>
      </c>
      <c r="C10" s="2065"/>
      <c r="D10" s="2047"/>
      <c r="E10" s="2066" t="s">
        <v>1778</v>
      </c>
      <c r="F10" s="2067"/>
      <c r="G10" s="2068"/>
      <c r="H10" s="2069"/>
      <c r="I10" s="2047"/>
      <c r="J10" s="2042"/>
      <c r="K10" s="2054"/>
      <c r="L10" s="2028"/>
      <c r="M10" s="2028"/>
      <c r="N10" s="2029"/>
      <c r="O10" s="2030"/>
      <c r="P10" s="2029"/>
      <c r="Q10" s="2029"/>
      <c r="R10" s="2029"/>
    </row>
    <row r="11" spans="1:19" ht="18" customHeight="1">
      <c r="A11" s="2070" t="s">
        <v>1779</v>
      </c>
      <c r="B11" s="2071" t="s">
        <v>3091</v>
      </c>
      <c r="C11" s="2072"/>
      <c r="D11" s="2073"/>
      <c r="E11" s="2042"/>
      <c r="F11" s="2042"/>
      <c r="G11" s="2042"/>
      <c r="H11" s="2042"/>
      <c r="I11" s="2042"/>
      <c r="J11" s="2042"/>
      <c r="K11" s="2054"/>
      <c r="L11" s="2028"/>
      <c r="M11" s="2028"/>
      <c r="N11" s="2029"/>
      <c r="O11" s="2030"/>
      <c r="P11" s="2029"/>
      <c r="Q11" s="2029"/>
      <c r="R11" s="2029"/>
    </row>
    <row r="12" spans="1:19" ht="18" customHeight="1">
      <c r="A12" s="2074" t="s">
        <v>1780</v>
      </c>
      <c r="B12" s="2071" t="s">
        <v>3092</v>
      </c>
      <c r="C12" s="2075" t="s">
        <v>1781</v>
      </c>
      <c r="D12" s="2076" t="s">
        <v>1782</v>
      </c>
      <c r="E12" s="2076" t="s">
        <v>1783</v>
      </c>
      <c r="F12" s="2076" t="s">
        <v>1784</v>
      </c>
      <c r="G12" s="2076" t="s">
        <v>1785</v>
      </c>
      <c r="H12" s="2076" t="s">
        <v>1786</v>
      </c>
      <c r="I12" s="2076" t="s">
        <v>1787</v>
      </c>
      <c r="J12" s="2042"/>
      <c r="K12" s="2054"/>
      <c r="L12" s="2028"/>
      <c r="M12" s="2028"/>
      <c r="N12" s="2029"/>
      <c r="O12" s="2030"/>
      <c r="P12" s="2029"/>
      <c r="Q12" s="2029"/>
      <c r="R12" s="2029"/>
    </row>
    <row r="13" spans="1:19" ht="18" customHeight="1">
      <c r="A13" s="2077"/>
      <c r="B13" s="2078"/>
      <c r="C13" s="2079" t="s">
        <v>1788</v>
      </c>
      <c r="D13" s="2080"/>
      <c r="E13" s="2080">
        <v>57056</v>
      </c>
      <c r="F13" s="2080">
        <v>60708</v>
      </c>
      <c r="G13" s="2080">
        <v>60708</v>
      </c>
      <c r="H13" s="2080"/>
      <c r="I13" s="1047"/>
      <c r="J13" s="2042"/>
      <c r="K13" s="2054"/>
      <c r="L13" s="2028"/>
      <c r="M13" s="2028"/>
      <c r="N13" s="2029"/>
      <c r="O13" s="2030"/>
      <c r="P13" s="2029"/>
      <c r="Q13" s="2029"/>
      <c r="R13" s="2029"/>
    </row>
    <row r="14" spans="1:19" ht="18" customHeight="1">
      <c r="A14" s="2077"/>
      <c r="B14" s="2078"/>
      <c r="C14" s="2079" t="s">
        <v>1789</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1790</v>
      </c>
      <c r="D15" s="1049" t="str">
        <f>IF(B12="出让",IF(D13="","",ROUNDDOWN(MIN((D13-$D$3)/365,D14),2)),D14)</f>
        <v/>
      </c>
      <c r="E15" s="1049">
        <f>IF(B12="出让",IF(E13="","",ROUNDDOWN(MIN((E13-$D$3)/365,E14),2)),E14)</f>
        <v>36.85</v>
      </c>
      <c r="F15" s="1049">
        <f>IF(B12="出让",IF(F13="","",ROUNDDOWN(MIN((F13-$D$3)/365,F14),2)),F14)</f>
        <v>46.86</v>
      </c>
      <c r="G15" s="1049">
        <f>IF(B12="出让",IF(G13="","",ROUNDDOWN(MIN((G13-$D$3)/365,G14),2)),G14)</f>
        <v>46.86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1791</v>
      </c>
      <c r="B16" s="3061"/>
      <c r="C16" s="3062"/>
      <c r="D16" s="3063"/>
      <c r="E16" s="2086" t="s">
        <v>1792</v>
      </c>
      <c r="F16" s="3064"/>
      <c r="G16" s="3065"/>
      <c r="H16" s="3065"/>
      <c r="I16" s="3066"/>
      <c r="J16" s="2029"/>
      <c r="K16" s="2083"/>
      <c r="L16" s="2084"/>
      <c r="M16" s="2084"/>
      <c r="N16" s="2085"/>
      <c r="O16" s="2084"/>
      <c r="P16" s="2085"/>
      <c r="Q16" s="2029"/>
      <c r="R16" s="2029"/>
    </row>
    <row r="17" spans="1:22" ht="18" customHeight="1">
      <c r="A17" s="2087" t="s">
        <v>1793</v>
      </c>
      <c r="B17" s="2035" t="s">
        <v>1794</v>
      </c>
      <c r="C17" s="1054">
        <f>'数据-汇总表'!E3</f>
        <v>48562.030000000006</v>
      </c>
      <c r="D17" s="2088" t="s">
        <v>1795</v>
      </c>
      <c r="E17" s="3067" t="s">
        <v>1796</v>
      </c>
      <c r="F17" s="3068"/>
      <c r="G17" s="3068"/>
      <c r="H17" s="3068"/>
      <c r="I17" s="3069"/>
      <c r="J17" s="2029"/>
      <c r="K17" s="2089"/>
      <c r="L17" s="2084"/>
      <c r="M17" s="2084"/>
      <c r="N17" s="2085"/>
      <c r="O17" s="2084"/>
      <c r="P17" s="2085"/>
      <c r="Q17" s="2029"/>
      <c r="R17" s="2029"/>
      <c r="S17" s="2029"/>
      <c r="T17" s="2029"/>
      <c r="U17" s="2029"/>
      <c r="V17" s="2029"/>
    </row>
    <row r="18" spans="1:22" ht="36" customHeight="1" thickBot="1">
      <c r="A18" s="2090" t="s">
        <v>1797</v>
      </c>
      <c r="B18" s="2038" t="s">
        <v>1798</v>
      </c>
      <c r="C18" s="1444">
        <f>'数据-汇总表'!D3</f>
        <v>15620.22</v>
      </c>
      <c r="D18" s="2091" t="s">
        <v>1795</v>
      </c>
      <c r="E18" s="3070" t="s">
        <v>1799</v>
      </c>
      <c r="F18" s="3071"/>
      <c r="G18" s="3071"/>
      <c r="H18" s="3071"/>
      <c r="I18" s="3072"/>
      <c r="J18" s="2029"/>
      <c r="K18" s="2089"/>
      <c r="L18" s="2084"/>
      <c r="M18" s="2084"/>
      <c r="N18" s="2085"/>
      <c r="O18" s="2084"/>
      <c r="P18" s="2085"/>
      <c r="Q18" s="2029"/>
      <c r="R18" s="2029"/>
      <c r="S18" s="2029"/>
      <c r="T18" s="2029"/>
      <c r="U18" s="2029"/>
      <c r="V18" s="2029"/>
    </row>
    <row r="19" spans="1:22" ht="37.5" customHeight="1" thickTop="1" thickBot="1">
      <c r="A19" s="373" t="s">
        <v>1800</v>
      </c>
      <c r="B19" s="352" t="s">
        <v>1801</v>
      </c>
      <c r="C19" s="2092"/>
      <c r="D19" s="2093" t="s">
        <v>1802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1803</v>
      </c>
      <c r="B20" s="3057" t="s">
        <v>1804</v>
      </c>
      <c r="C20" s="3058"/>
      <c r="D20" s="3059" t="s">
        <v>1805</v>
      </c>
      <c r="E20" s="3060"/>
      <c r="F20" s="2098" t="s">
        <v>1806</v>
      </c>
      <c r="G20" s="2042"/>
      <c r="H20" s="2042"/>
      <c r="I20" s="2042"/>
      <c r="J20" s="2042"/>
      <c r="K20" s="3056"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1808</v>
      </c>
      <c r="C21" s="2100" t="s">
        <v>1809</v>
      </c>
      <c r="D21" s="2101" t="s">
        <v>1810</v>
      </c>
      <c r="E21" s="2102" t="s">
        <v>1809</v>
      </c>
      <c r="F21" s="2103"/>
      <c r="G21" s="2042"/>
      <c r="H21" s="2042"/>
      <c r="I21" s="2042"/>
      <c r="J21" s="2042"/>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1811</v>
      </c>
      <c r="C22" s="2100" t="s">
        <v>1812</v>
      </c>
      <c r="D22" s="2026"/>
      <c r="E22" s="2026"/>
      <c r="F22" s="2105"/>
      <c r="G22" s="2042"/>
      <c r="H22" s="2042"/>
      <c r="I22" s="2042"/>
      <c r="J22" s="2042"/>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74"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74"/>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74"/>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75"/>
      <c r="B30" s="2035" t="s">
        <v>1823</v>
      </c>
      <c r="C30" s="3076"/>
      <c r="D30" s="3077"/>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8" t="s">
        <v>1824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9"/>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9"/>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c r="C34" s="2134"/>
      <c r="D34" s="2134"/>
      <c r="E34" s="2134"/>
      <c r="F34" s="2134"/>
      <c r="G34" s="2134"/>
      <c r="H34" s="2134"/>
      <c r="I34" s="2042"/>
      <c r="J34" s="2042"/>
      <c r="K34" s="1795">
        <f>COUNTIF(B34:H34,"——")</f>
        <v>0</v>
      </c>
      <c r="L34" s="2075" t="s">
        <v>1826</v>
      </c>
      <c r="M34" s="2075" t="s">
        <v>1827</v>
      </c>
      <c r="N34" s="2075" t="s">
        <v>1828</v>
      </c>
      <c r="O34" s="2075" t="s">
        <v>1829</v>
      </c>
      <c r="P34" s="2075" t="s">
        <v>1830</v>
      </c>
      <c r="Q34" s="2075" t="s">
        <v>1831</v>
      </c>
      <c r="R34" s="2075" t="s">
        <v>1832</v>
      </c>
      <c r="S34" s="3073" t="s">
        <v>1833</v>
      </c>
      <c r="T34" s="2135" t="str">
        <f>NUMBERSTRING(7-K34,1)&amp;"通"</f>
        <v>七通</v>
      </c>
      <c r="U34" s="2029"/>
      <c r="V34" s="2029"/>
    </row>
    <row r="35" spans="1:22" ht="18" customHeight="1">
      <c r="A35" s="2136"/>
      <c r="B35" s="3080" t="s">
        <v>1834</v>
      </c>
      <c r="C35" s="3080"/>
      <c r="D35" s="3080"/>
      <c r="E35" s="3080"/>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3"/>
      <c r="T35" s="48" t="str">
        <f>IF(T34="一通",L35,IF(T34="二通",M35,IF(T34="三通",N35,IF(T34="四通",O35,IF(T34="五通",P35,IF(T34="六通",Q35,R35))))))</f>
        <v>、、、、、、</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528</v>
      </c>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c r="C38" s="2143" t="s">
        <v>3093</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面积!$D$3</f>
        <v>49477.2</v>
      </c>
      <c r="B3" s="14">
        <f>IF(C3="否",G5-AT5,G5)</f>
        <v>153820.67000000001</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3"/>
      <c r="C5" s="1803"/>
      <c r="D5" s="1806"/>
      <c r="E5" s="16" t="s">
        <v>1</v>
      </c>
      <c r="F5" s="16">
        <f>SUM(F13:F587)</f>
        <v>0</v>
      </c>
      <c r="G5" s="16">
        <f>SUM(G13:G587)</f>
        <v>168937.67</v>
      </c>
      <c r="H5" s="16">
        <f t="shared" ref="H5:AT5" si="0">SUM(H13:H656)</f>
        <v>141515.38</v>
      </c>
      <c r="I5" s="16">
        <f t="shared" si="0"/>
        <v>119316.69</v>
      </c>
      <c r="J5" s="16">
        <f t="shared" si="0"/>
        <v>0</v>
      </c>
      <c r="K5" s="16">
        <f t="shared" si="0"/>
        <v>3464.95</v>
      </c>
      <c r="L5" s="16">
        <f t="shared" si="0"/>
        <v>0</v>
      </c>
      <c r="M5" s="16">
        <f t="shared" si="0"/>
        <v>1895.3900000000006</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12305.290000000008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12305.290000000008</v>
      </c>
      <c r="AO5" s="16">
        <f t="shared" si="0"/>
        <v>0</v>
      </c>
      <c r="AP5" s="16">
        <f t="shared" si="0"/>
        <v>0</v>
      </c>
      <c r="AQ5" s="16">
        <f t="shared" si="0"/>
        <v>0</v>
      </c>
      <c r="AR5" s="16">
        <f t="shared" si="0"/>
        <v>0</v>
      </c>
      <c r="AS5" s="16">
        <f t="shared" si="0"/>
        <v>0</v>
      </c>
      <c r="AT5" s="16">
        <f t="shared" si="0"/>
        <v>15117</v>
      </c>
      <c r="AU5" s="1802"/>
      <c r="AV5" s="15" t="s">
        <v>1870</v>
      </c>
      <c r="AW5" s="1803"/>
      <c r="AX5" s="1803"/>
      <c r="AY5" s="17" t="s">
        <v>3</v>
      </c>
      <c r="AZ5" s="18">
        <f t="shared" ref="AZ5:BT5" si="1">SUM(AZ13:AZ656)</f>
        <v>48562.030000000006</v>
      </c>
      <c r="BA5" s="18">
        <f t="shared" si="1"/>
        <v>48562.030000000006</v>
      </c>
      <c r="BB5" s="18">
        <f t="shared" si="1"/>
        <v>44781.41</v>
      </c>
      <c r="BC5" s="18">
        <f t="shared" si="1"/>
        <v>2723.12</v>
      </c>
      <c r="BD5" s="18">
        <f t="shared" si="1"/>
        <v>1057.5000000000005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1871</v>
      </c>
      <c r="B6" s="2175"/>
      <c r="C6" s="2175"/>
      <c r="D6" s="2176"/>
      <c r="E6" s="16">
        <f>H6+AC6+AT6</f>
        <v>49477.2</v>
      </c>
      <c r="F6" s="16" t="s">
        <v>1</v>
      </c>
      <c r="G6" s="16" t="s">
        <v>2</v>
      </c>
      <c r="H6" s="20">
        <f>SUMIF(I$12:AB$12,"总值",I6:AB6)</f>
        <v>45519.14</v>
      </c>
      <c r="I6" s="16">
        <f t="shared" ref="I6:AB6" si="2">ROUND($A$3*I5/$B$3,2)</f>
        <v>38378.82</v>
      </c>
      <c r="J6" s="16">
        <f t="shared" si="2"/>
        <v>0</v>
      </c>
      <c r="K6" s="16">
        <f t="shared" si="2"/>
        <v>1114.52</v>
      </c>
      <c r="L6" s="16">
        <f t="shared" si="2"/>
        <v>0</v>
      </c>
      <c r="M6" s="16">
        <f t="shared" si="2"/>
        <v>609.66</v>
      </c>
      <c r="N6" s="16">
        <f t="shared" si="2"/>
        <v>0</v>
      </c>
      <c r="O6" s="16">
        <f t="shared" si="2"/>
        <v>5416.14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3958.06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3958.06</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15620.22</v>
      </c>
      <c r="AZ6" s="16" t="s">
        <v>3</v>
      </c>
      <c r="BA6" s="16">
        <f>ROUND($AY$6*BA5/$AZ$5,2)</f>
        <v>15620.22</v>
      </c>
      <c r="BB6" s="16">
        <f>ROUND($AY$6*BB5/$AZ$5,2)</f>
        <v>14404.16</v>
      </c>
      <c r="BC6" s="16">
        <f t="shared" ref="BC6:BH6" si="4">ROUND($AY$6*BC5/$AZ$5,2)</f>
        <v>875.91</v>
      </c>
      <c r="BD6" s="16">
        <f t="shared" si="4"/>
        <v>340.15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1879</v>
      </c>
      <c r="AV7" s="23" t="s">
        <v>1880</v>
      </c>
      <c r="AW7" s="2167" t="s">
        <v>1881</v>
      </c>
      <c r="AX7" s="23" t="s">
        <v>1874</v>
      </c>
      <c r="AY7" s="1803"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18"/>
      <c r="K8" s="1818"/>
      <c r="L8" s="1818"/>
      <c r="M8" s="1818"/>
      <c r="N8" s="1818"/>
      <c r="O8" s="1818"/>
      <c r="P8" s="1818"/>
      <c r="Q8" s="1818"/>
      <c r="R8" s="1818"/>
      <c r="S8" s="1818"/>
      <c r="T8" s="1818"/>
      <c r="U8" s="1818"/>
      <c r="V8" s="2187"/>
      <c r="W8" s="1818"/>
      <c r="X8" s="1818"/>
      <c r="Y8" s="1818"/>
      <c r="Z8" s="1818"/>
      <c r="AA8" s="2187"/>
      <c r="AB8" s="2188"/>
      <c r="AC8" s="981" t="s">
        <v>1885</v>
      </c>
      <c r="AD8" s="2189"/>
      <c r="AE8" s="2181"/>
      <c r="AF8" s="1818"/>
      <c r="AG8" s="1818"/>
      <c r="AH8" s="1818"/>
      <c r="AI8" s="1818"/>
      <c r="AJ8" s="1818"/>
      <c r="AK8" s="1818"/>
      <c r="AL8" s="1818"/>
      <c r="AM8" s="1818"/>
      <c r="AN8" s="1818"/>
      <c r="AO8" s="1818"/>
      <c r="AP8" s="1818"/>
      <c r="AQ8" s="1818"/>
      <c r="AR8" s="1818"/>
      <c r="AS8" s="1818"/>
      <c r="AT8" s="1292" t="s">
        <v>1886</v>
      </c>
      <c r="AU8" s="2183" t="s">
        <v>1887</v>
      </c>
      <c r="AV8" s="1292"/>
      <c r="AW8" s="2166"/>
      <c r="AX8" s="1292"/>
      <c r="AY8" s="2167"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1890</v>
      </c>
      <c r="I9" s="2192" t="s">
        <v>3085</v>
      </c>
      <c r="J9" s="981"/>
      <c r="K9" s="2192" t="s">
        <v>3085</v>
      </c>
      <c r="L9" s="981"/>
      <c r="M9" s="2192" t="s">
        <v>3086</v>
      </c>
      <c r="N9" s="981"/>
      <c r="O9" s="2192" t="s">
        <v>3086</v>
      </c>
      <c r="P9" s="981"/>
      <c r="Q9" s="2192"/>
      <c r="R9" s="981"/>
      <c r="S9" s="2192"/>
      <c r="T9" s="981"/>
      <c r="U9" s="2192"/>
      <c r="V9" s="981"/>
      <c r="W9" s="2192"/>
      <c r="X9" s="2193"/>
      <c r="Y9" s="2192"/>
      <c r="Z9" s="981"/>
      <c r="AA9" s="2192"/>
      <c r="AB9" s="981"/>
      <c r="AC9" s="2184"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4"/>
      <c r="AT9" s="2183"/>
      <c r="AU9" s="2183" t="s">
        <v>1893</v>
      </c>
      <c r="AV9" s="1292"/>
      <c r="AW9" s="2166"/>
      <c r="AX9" s="1292"/>
      <c r="AY9" s="28"/>
      <c r="AZ9" s="28" t="s">
        <v>1883</v>
      </c>
      <c r="BA9" s="2195" t="s">
        <v>1894</v>
      </c>
      <c r="BB9" s="2196"/>
      <c r="BC9" s="1338"/>
      <c r="BD9" s="1338"/>
      <c r="BE9" s="1338"/>
      <c r="BF9" s="1338"/>
      <c r="BG9" s="1338"/>
      <c r="BH9" s="1338"/>
      <c r="BI9" s="1338"/>
      <c r="BJ9" s="1338"/>
      <c r="BK9" s="2197"/>
      <c r="BL9" s="15" t="s">
        <v>1895</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1367</v>
      </c>
      <c r="L10" s="981"/>
      <c r="M10" s="2198" t="s">
        <v>1367</v>
      </c>
      <c r="N10" s="981"/>
      <c r="O10" s="2198" t="s">
        <v>3066</v>
      </c>
      <c r="P10" s="981"/>
      <c r="Q10" s="2198"/>
      <c r="R10" s="981"/>
      <c r="S10" s="2198"/>
      <c r="T10" s="981"/>
      <c r="U10" s="2198"/>
      <c r="V10" s="981"/>
      <c r="W10" s="2198"/>
      <c r="X10" s="981"/>
      <c r="Y10" s="2198"/>
      <c r="Z10" s="981"/>
      <c r="AA10" s="2198"/>
      <c r="AB10" s="981"/>
      <c r="AC10" s="1292"/>
      <c r="AD10" s="15" t="s">
        <v>1896</v>
      </c>
      <c r="AE10" s="2199"/>
      <c r="AF10" s="15" t="s">
        <v>1896</v>
      </c>
      <c r="AG10" s="2199"/>
      <c r="AH10" s="15" t="s">
        <v>1897</v>
      </c>
      <c r="AI10" s="2199"/>
      <c r="AJ10" s="15" t="s">
        <v>1897</v>
      </c>
      <c r="AK10" s="2199"/>
      <c r="AL10" s="15" t="s">
        <v>1898</v>
      </c>
      <c r="AM10" s="1298"/>
      <c r="AN10" s="15" t="s">
        <v>1898</v>
      </c>
      <c r="AO10" s="1298"/>
      <c r="AP10" s="15" t="s">
        <v>1899</v>
      </c>
      <c r="AQ10" s="1298"/>
      <c r="AR10" s="15" t="s">
        <v>1899</v>
      </c>
      <c r="AS10" s="1298"/>
      <c r="AT10" s="2183"/>
      <c r="AU10" s="2183"/>
      <c r="AV10" s="1292"/>
      <c r="AW10" s="2166"/>
      <c r="AX10" s="1292"/>
      <c r="AY10" s="28"/>
      <c r="AZ10" s="28"/>
      <c r="BA10" s="2200" t="s">
        <v>1890</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1900</v>
      </c>
      <c r="AE11" s="1819"/>
      <c r="AF11" s="2205" t="s">
        <v>1900</v>
      </c>
      <c r="AG11" s="1819"/>
      <c r="AH11" s="2205" t="s">
        <v>1901</v>
      </c>
      <c r="AI11" s="2206"/>
      <c r="AJ11" s="2205" t="s">
        <v>1901</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10"/>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tr">
        <f>面积!$F$1</f>
        <v>一期</v>
      </c>
      <c r="D13" s="2214" t="s">
        <v>3083</v>
      </c>
      <c r="E13" s="16">
        <f>IF($C$3="是",ROUND($A$3*G13/$B$3,2),ROUND($A$3*(G13-AT13)/$B$3,2))</f>
        <v>15620.22</v>
      </c>
      <c r="F13" s="32"/>
      <c r="G13" s="33">
        <f>H13+AC13+AT13</f>
        <v>48562.030000000006</v>
      </c>
      <c r="H13" s="20">
        <f>SUMIF(I$12:AB$12,"总值",I13:AB13)</f>
        <v>48562.030000000006</v>
      </c>
      <c r="I13" s="2215">
        <f>面积!$G$7</f>
        <v>44781.41</v>
      </c>
      <c r="J13" s="2215"/>
      <c r="K13" s="2215">
        <f>面积!$H$7</f>
        <v>2723.12</v>
      </c>
      <c r="L13" s="2215"/>
      <c r="M13" s="2215">
        <f>面积!$I$7</f>
        <v>1057.5000000000005</v>
      </c>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一期</v>
      </c>
      <c r="AY13" s="1806">
        <f>ROUND($AY$6*AZ13/$AZ$5,2)</f>
        <v>15620.22</v>
      </c>
      <c r="AZ13" s="16">
        <f>BA13+BL13</f>
        <v>48562.030000000006</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t="str">
        <f>面积!$F$11</f>
        <v>二期</v>
      </c>
      <c r="D14" s="2214" t="s">
        <v>3084</v>
      </c>
      <c r="E14" s="16">
        <f>IF($C$3="是",ROUND($A$3*G14/$B$3,2),ROUND($A$3*(G14-AT14)/$B$3,2))</f>
        <v>33856.980000000003</v>
      </c>
      <c r="F14" s="32"/>
      <c r="G14" s="33">
        <f>H14+AC14+AT14</f>
        <v>120375.64000000001</v>
      </c>
      <c r="H14" s="20">
        <f>SUMIF(I$12:AB$12,"总值",I14:AB14)</f>
        <v>92953.35</v>
      </c>
      <c r="I14" s="2215">
        <f>面积!$G$13</f>
        <v>74535.28</v>
      </c>
      <c r="J14" s="2215"/>
      <c r="K14" s="2215">
        <f>面积!$H$13</f>
        <v>741.82999999999993</v>
      </c>
      <c r="L14" s="2215"/>
      <c r="M14" s="2215">
        <f>面积!$I$13</f>
        <v>837.8900000000001</v>
      </c>
      <c r="N14" s="2215"/>
      <c r="O14" s="2215">
        <f>面积!$J$13</f>
        <v>16838.349999999999</v>
      </c>
      <c r="P14" s="2215"/>
      <c r="Q14" s="2215"/>
      <c r="R14" s="2215"/>
      <c r="S14" s="2215"/>
      <c r="T14" s="2215"/>
      <c r="U14" s="2215"/>
      <c r="V14" s="2215"/>
      <c r="W14" s="2215"/>
      <c r="X14" s="2215"/>
      <c r="Y14" s="2215"/>
      <c r="Z14" s="2215"/>
      <c r="AA14" s="2215"/>
      <c r="AB14" s="2215"/>
      <c r="AC14" s="16">
        <f>SUMIF(AD$12:AS$12,"总值",AD14:AS14)</f>
        <v>12305.290000000008</v>
      </c>
      <c r="AD14" s="2216"/>
      <c r="AE14" s="2216"/>
      <c r="AF14" s="2216"/>
      <c r="AG14" s="2216"/>
      <c r="AH14" s="2216"/>
      <c r="AI14" s="2216"/>
      <c r="AJ14" s="2216"/>
      <c r="AK14" s="2216"/>
      <c r="AL14" s="2216"/>
      <c r="AM14" s="2216"/>
      <c r="AN14" s="2216">
        <f>面积!$K$13</f>
        <v>12305.290000000008</v>
      </c>
      <c r="AO14" s="2216"/>
      <c r="AP14" s="2216"/>
      <c r="AQ14" s="2216"/>
      <c r="AR14" s="2216"/>
      <c r="AS14" s="2216"/>
      <c r="AT14" s="2217">
        <f>面积!$L$13</f>
        <v>15117</v>
      </c>
      <c r="AU14" s="2218"/>
      <c r="AV14" s="11">
        <f t="shared" si="6"/>
        <v>0</v>
      </c>
      <c r="AW14" s="11">
        <f t="shared" si="6"/>
        <v>0</v>
      </c>
      <c r="AX14" s="11" t="str">
        <f t="shared" si="6"/>
        <v>二期</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1"/>
  <sheetViews>
    <sheetView topLeftCell="E1" zoomScale="90" zoomScaleNormal="90" workbookViewId="0">
      <selection activeCell="G13" sqref="G13:J13"/>
    </sheetView>
  </sheetViews>
  <sheetFormatPr defaultRowHeight="13.5"/>
  <cols>
    <col min="1" max="1" width="5.125" customWidth="1"/>
    <col min="2" max="2" width="5.875" customWidth="1"/>
    <col min="3" max="3" width="16.125" customWidth="1"/>
    <col min="4" max="4" width="15.375" customWidth="1"/>
    <col min="10" max="10" width="10.5" customWidth="1"/>
    <col min="11" max="11" width="9.375" customWidth="1"/>
    <col min="12" max="12" width="11.5" customWidth="1"/>
    <col min="13" max="13" width="11.875" customWidth="1"/>
  </cols>
  <sheetData>
    <row r="1" spans="1:13">
      <c r="F1" s="3083" t="s">
        <v>3073</v>
      </c>
      <c r="G1" s="3084"/>
      <c r="H1" s="3084"/>
      <c r="I1" s="3084"/>
      <c r="J1" s="3084"/>
      <c r="K1" s="3085"/>
    </row>
    <row r="2" spans="1:13">
      <c r="F2" s="2955"/>
      <c r="G2" s="2955" t="s">
        <v>3063</v>
      </c>
      <c r="H2" s="2955" t="s">
        <v>3064</v>
      </c>
      <c r="I2" s="2955" t="s">
        <v>3065</v>
      </c>
      <c r="J2" s="2956" t="s">
        <v>3079</v>
      </c>
    </row>
    <row r="3" spans="1:13">
      <c r="A3" s="3086" t="s">
        <v>3048</v>
      </c>
      <c r="B3" s="3086"/>
      <c r="C3" s="3086"/>
      <c r="D3" s="2954">
        <v>49477.2</v>
      </c>
      <c r="F3" s="2955" t="s">
        <v>3059</v>
      </c>
      <c r="G3" s="2954">
        <v>21934.42</v>
      </c>
      <c r="H3" s="2954">
        <f>614.7-I3</f>
        <v>261.3</v>
      </c>
      <c r="I3" s="2954">
        <f>SUM(预测绘!B2:B8)</f>
        <v>353.40000000000003</v>
      </c>
      <c r="J3" s="2954">
        <f>SUM(G3:I3)</f>
        <v>22549.119999999999</v>
      </c>
    </row>
    <row r="4" spans="1:13">
      <c r="A4" s="3086" t="s">
        <v>3081</v>
      </c>
      <c r="B4" s="3086" t="s">
        <v>3049</v>
      </c>
      <c r="C4" s="3086"/>
      <c r="D4" s="2954">
        <v>176601.82</v>
      </c>
      <c r="F4" s="2955" t="s">
        <v>3060</v>
      </c>
      <c r="G4" s="2954">
        <v>19035.13</v>
      </c>
      <c r="H4" s="2954">
        <f>410.75-I4</f>
        <v>212</v>
      </c>
      <c r="I4" s="2954">
        <f>SUM(预测绘!C2:C5)</f>
        <v>198.75</v>
      </c>
      <c r="J4" s="2954">
        <f>SUM(G4:I4)</f>
        <v>19445.88</v>
      </c>
    </row>
    <row r="5" spans="1:13">
      <c r="A5" s="3087"/>
      <c r="B5" s="3086" t="s">
        <v>3081</v>
      </c>
      <c r="C5" s="2955" t="s">
        <v>3050</v>
      </c>
      <c r="D5" s="2954">
        <v>123693</v>
      </c>
      <c r="F5" s="2955" t="s">
        <v>3061</v>
      </c>
      <c r="G5" s="2954"/>
      <c r="H5" s="2954">
        <v>1115.73</v>
      </c>
      <c r="I5" s="2954">
        <f>1178.49-H5</f>
        <v>62.759999999999991</v>
      </c>
      <c r="J5" s="2954">
        <f>SUM(G5:I5)</f>
        <v>1178.49</v>
      </c>
    </row>
    <row r="6" spans="1:13">
      <c r="A6" s="3087"/>
      <c r="B6" s="3087"/>
      <c r="C6" s="2955" t="s">
        <v>3051</v>
      </c>
      <c r="D6" s="2957">
        <v>119034.73</v>
      </c>
      <c r="F6" s="2955" t="s">
        <v>3062</v>
      </c>
      <c r="G6" s="2954">
        <v>3811.86</v>
      </c>
      <c r="H6" s="2954">
        <f>预测绘!E28-面积!G6</f>
        <v>1134.0899999999997</v>
      </c>
      <c r="I6" s="2954">
        <f>1576.68-H6</f>
        <v>442.59000000000037</v>
      </c>
      <c r="J6" s="2954">
        <f>SUM(G6:I6)</f>
        <v>5388.54</v>
      </c>
    </row>
    <row r="7" spans="1:13">
      <c r="A7" s="3087"/>
      <c r="B7" s="3087"/>
      <c r="C7" s="2955" t="s">
        <v>3052</v>
      </c>
      <c r="D7" s="2957">
        <v>3438.87</v>
      </c>
      <c r="F7" s="2956" t="s">
        <v>3080</v>
      </c>
      <c r="G7" s="2954">
        <f>SUM(G3:G6)</f>
        <v>44781.41</v>
      </c>
      <c r="H7" s="2954">
        <f t="shared" ref="H7:J7" si="0">SUM(H3:H6)</f>
        <v>2723.12</v>
      </c>
      <c r="I7" s="2954">
        <f t="shared" si="0"/>
        <v>1057.5000000000005</v>
      </c>
      <c r="J7" s="2954">
        <f t="shared" si="0"/>
        <v>48562.03</v>
      </c>
    </row>
    <row r="8" spans="1:13">
      <c r="A8" s="3087"/>
      <c r="B8" s="3087"/>
      <c r="C8" s="2955" t="s">
        <v>3053</v>
      </c>
      <c r="D8" s="2954">
        <v>603.53</v>
      </c>
    </row>
    <row r="9" spans="1:13">
      <c r="A9" s="3087"/>
      <c r="B9" s="3087"/>
      <c r="C9" s="2955" t="s">
        <v>3054</v>
      </c>
      <c r="D9" s="2954">
        <v>615.87</v>
      </c>
    </row>
    <row r="10" spans="1:13">
      <c r="A10" s="3087"/>
      <c r="B10" s="3086" t="s">
        <v>3056</v>
      </c>
      <c r="C10" s="3086"/>
      <c r="D10" s="2954">
        <v>52908.82</v>
      </c>
    </row>
    <row r="11" spans="1:13">
      <c r="A11" s="3087"/>
      <c r="B11" s="3086" t="s">
        <v>3081</v>
      </c>
      <c r="C11" s="2955" t="s">
        <v>3055</v>
      </c>
      <c r="D11" s="2957">
        <v>1800.63</v>
      </c>
      <c r="F11" s="3086" t="s">
        <v>3074</v>
      </c>
      <c r="G11" s="3086"/>
      <c r="H11" s="3086"/>
      <c r="I11" s="3086"/>
      <c r="J11" s="3086"/>
      <c r="K11" s="3086"/>
      <c r="L11" s="3086"/>
      <c r="M11" s="3086"/>
    </row>
    <row r="12" spans="1:13">
      <c r="A12" s="3087"/>
      <c r="B12" s="3087"/>
      <c r="C12" s="2955" t="s">
        <v>3057</v>
      </c>
      <c r="D12" s="2954">
        <v>2293.9</v>
      </c>
      <c r="F12" s="2954"/>
      <c r="G12" s="2955" t="s">
        <v>3063</v>
      </c>
      <c r="H12" s="2955" t="s">
        <v>3076</v>
      </c>
      <c r="I12" s="2955" t="s">
        <v>3077</v>
      </c>
      <c r="J12" s="2955" t="s">
        <v>3067</v>
      </c>
      <c r="K12" s="2955" t="s">
        <v>3068</v>
      </c>
      <c r="L12" s="2956" t="s">
        <v>3078</v>
      </c>
      <c r="M12" s="2956" t="s">
        <v>3079</v>
      </c>
    </row>
    <row r="13" spans="1:13" ht="16.5" customHeight="1">
      <c r="A13" s="3087"/>
      <c r="B13" s="3087"/>
      <c r="C13" s="2955" t="s">
        <v>3058</v>
      </c>
      <c r="D13" s="2954">
        <v>48814.29</v>
      </c>
      <c r="F13" s="2955" t="s">
        <v>3075</v>
      </c>
      <c r="G13" s="2954">
        <f>D6-G21</f>
        <v>74535.28</v>
      </c>
      <c r="H13" s="2954">
        <f>D7-H21</f>
        <v>741.82999999999993</v>
      </c>
      <c r="I13" s="2954">
        <f>D11-I21</f>
        <v>837.8900000000001</v>
      </c>
      <c r="J13" s="2954">
        <v>16838.349999999999</v>
      </c>
      <c r="K13" s="2954">
        <f>D16-K21-L13-J13</f>
        <v>12305.290000000008</v>
      </c>
      <c r="L13" s="2954">
        <f>14961+156</f>
        <v>15117</v>
      </c>
      <c r="M13" s="2954">
        <f>SUM(G13:L13)</f>
        <v>120375.64000000001</v>
      </c>
    </row>
    <row r="16" spans="1:13">
      <c r="C16" s="2953" t="s">
        <v>3082</v>
      </c>
      <c r="D16">
        <f>D8+D9+D12+D13</f>
        <v>52327.590000000004</v>
      </c>
      <c r="F16" s="2955"/>
      <c r="G16" s="2955" t="s">
        <v>3051</v>
      </c>
      <c r="H16" s="2955" t="s">
        <v>3064</v>
      </c>
      <c r="I16" s="2955" t="s">
        <v>3055</v>
      </c>
      <c r="J16" s="2955" t="s">
        <v>3067</v>
      </c>
      <c r="K16" s="2955" t="s">
        <v>3068</v>
      </c>
      <c r="L16" s="2956" t="s">
        <v>3078</v>
      </c>
      <c r="M16" s="2956" t="s">
        <v>3079</v>
      </c>
    </row>
    <row r="17" spans="6:13">
      <c r="F17" s="2955" t="s">
        <v>3059</v>
      </c>
      <c r="G17" s="2954">
        <v>21819.18</v>
      </c>
      <c r="H17" s="2954">
        <v>239.28</v>
      </c>
      <c r="I17" s="2954">
        <v>338.66</v>
      </c>
      <c r="J17" s="2954"/>
      <c r="K17" s="2954">
        <f>227.89+2412.46</f>
        <v>2640.35</v>
      </c>
      <c r="L17" s="2954"/>
      <c r="M17" s="2954">
        <f>SUM(G17:L17)</f>
        <v>25037.469999999998</v>
      </c>
    </row>
    <row r="18" spans="6:13">
      <c r="F18" s="2955" t="s">
        <v>3060</v>
      </c>
      <c r="G18" s="2954">
        <v>18948.23</v>
      </c>
      <c r="H18" s="2954">
        <v>194.54</v>
      </c>
      <c r="I18" s="2954">
        <v>193.87</v>
      </c>
      <c r="J18" s="2954"/>
      <c r="K18" s="2954">
        <f>1216.49+2048.37</f>
        <v>3264.8599999999997</v>
      </c>
      <c r="L18" s="2954"/>
      <c r="M18" s="2954">
        <f t="shared" ref="M18:M20" si="1">SUM(G18:L18)</f>
        <v>22601.5</v>
      </c>
    </row>
    <row r="19" spans="6:13">
      <c r="F19" s="2955" t="s">
        <v>3061</v>
      </c>
      <c r="G19" s="2954"/>
      <c r="H19" s="2954">
        <v>1115.73</v>
      </c>
      <c r="I19" s="2954"/>
      <c r="J19" s="2954"/>
      <c r="K19" s="2954">
        <v>540.45000000000005</v>
      </c>
      <c r="L19" s="2954"/>
      <c r="M19" s="2954">
        <f t="shared" si="1"/>
        <v>1656.18</v>
      </c>
    </row>
    <row r="20" spans="6:13">
      <c r="F20" s="2955" t="s">
        <v>3062</v>
      </c>
      <c r="G20" s="2954">
        <v>3732.04</v>
      </c>
      <c r="H20" s="2954">
        <v>1147.49</v>
      </c>
      <c r="I20" s="2954">
        <v>430.21</v>
      </c>
      <c r="J20" s="2954"/>
      <c r="K20" s="2954">
        <f>112.53+237.84+1270.92</f>
        <v>1621.29</v>
      </c>
      <c r="L20" s="2954"/>
      <c r="M20" s="2954">
        <f t="shared" si="1"/>
        <v>6931.03</v>
      </c>
    </row>
    <row r="21" spans="6:13">
      <c r="F21" s="2956" t="s">
        <v>3080</v>
      </c>
      <c r="G21" s="2954">
        <f>SUM(G17:G20)</f>
        <v>44499.450000000004</v>
      </c>
      <c r="H21" s="2954">
        <f t="shared" ref="H21:M21" si="2">SUM(H17:H20)</f>
        <v>2697.04</v>
      </c>
      <c r="I21" s="2954">
        <f t="shared" si="2"/>
        <v>962.74</v>
      </c>
      <c r="J21" s="2954">
        <f t="shared" si="2"/>
        <v>0</v>
      </c>
      <c r="K21" s="2954">
        <f>SUM(K17:K20)</f>
        <v>8066.9499999999989</v>
      </c>
      <c r="L21" s="2954">
        <f t="shared" si="2"/>
        <v>0</v>
      </c>
      <c r="M21" s="2954">
        <f t="shared" si="2"/>
        <v>56226.18</v>
      </c>
    </row>
  </sheetData>
  <mergeCells count="8">
    <mergeCell ref="F1:K1"/>
    <mergeCell ref="A3:C3"/>
    <mergeCell ref="B4:C4"/>
    <mergeCell ref="B10:C10"/>
    <mergeCell ref="B11:B13"/>
    <mergeCell ref="B5:B9"/>
    <mergeCell ref="A4:A13"/>
    <mergeCell ref="F11:M11"/>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C23" sqref="C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2"/>
      <c r="C1" s="1392"/>
      <c r="D1" s="1392"/>
      <c r="E1" s="1392"/>
      <c r="F1" s="1392"/>
      <c r="G1" s="1392"/>
      <c r="H1" s="1392"/>
      <c r="I1" s="1392"/>
      <c r="J1" s="1392"/>
      <c r="K1" s="1392"/>
      <c r="L1" s="1392"/>
      <c r="M1" s="1392"/>
      <c r="N1" s="1392"/>
      <c r="O1" s="1392"/>
      <c r="P1" s="1392"/>
    </row>
    <row r="2" spans="1:16" ht="15">
      <c r="A2" s="3097" t="s">
        <v>1930</v>
      </c>
      <c r="B2" s="3097"/>
      <c r="C2" s="3097"/>
      <c r="D2" s="967" t="s">
        <v>1906</v>
      </c>
      <c r="E2" s="2228" t="s">
        <v>1907</v>
      </c>
      <c r="F2" s="1392"/>
      <c r="G2" s="2229"/>
      <c r="H2" s="2230"/>
      <c r="I2" s="2231" t="s">
        <v>1931</v>
      </c>
      <c r="J2" s="1392"/>
      <c r="K2" s="1392"/>
      <c r="L2" s="1392"/>
      <c r="M2" s="1392"/>
      <c r="N2" s="1427"/>
      <c r="O2" s="1392"/>
      <c r="P2" s="1392"/>
    </row>
    <row r="3" spans="1:16" ht="15.75" thickBot="1">
      <c r="A3" s="3098" t="s">
        <v>1904</v>
      </c>
      <c r="B3" s="3098"/>
      <c r="C3" s="3098"/>
      <c r="D3" s="46">
        <f>'数据-基础表'!AY6</f>
        <v>15620.22</v>
      </c>
      <c r="E3" s="46">
        <f>'数据-基础表'!AZ5</f>
        <v>48562.030000000006</v>
      </c>
      <c r="F3" s="1392"/>
      <c r="G3" s="1399"/>
      <c r="H3" s="1247" t="s">
        <v>1905</v>
      </c>
      <c r="I3" s="55">
        <f>ROUND('数据-基础表'!B3/'数据-基础表'!A3,2)</f>
        <v>3.11</v>
      </c>
      <c r="J3" s="1392"/>
      <c r="K3" s="1392"/>
      <c r="L3" s="1392"/>
      <c r="M3" s="1392"/>
      <c r="N3" s="1427"/>
      <c r="O3" s="1392"/>
      <c r="P3" s="1392"/>
    </row>
    <row r="4" spans="1:16" ht="15">
      <c r="A4" s="3099"/>
      <c r="B4" s="3100"/>
      <c r="C4" s="3101"/>
      <c r="D4" s="2232" t="s">
        <v>1906</v>
      </c>
      <c r="E4" s="2233" t="s">
        <v>1907</v>
      </c>
      <c r="F4" s="1392"/>
      <c r="G4" s="2234" t="s">
        <v>1932</v>
      </c>
      <c r="H4" s="1247" t="s">
        <v>1912</v>
      </c>
      <c r="I4" s="55">
        <f>ROUND(SUMIF('数据-基础表'!I9:AS9,"地上",'数据-基础表'!I5:AS5)/'数据-基础表'!A3,2)</f>
        <v>2.48</v>
      </c>
      <c r="J4" s="1392"/>
      <c r="K4" s="1392"/>
      <c r="L4" s="1392"/>
      <c r="M4" s="1392"/>
      <c r="N4" s="1427"/>
      <c r="O4" s="1392"/>
      <c r="P4" s="1392"/>
    </row>
    <row r="5" spans="1:16">
      <c r="A5" s="47" t="s">
        <v>1908</v>
      </c>
      <c r="B5" s="3102" t="s">
        <v>1909</v>
      </c>
      <c r="C5" s="3102"/>
      <c r="D5" s="48">
        <f>ROUND($D$3*E5/$E$3,2)</f>
        <v>0</v>
      </c>
      <c r="E5" s="49">
        <f>SUMIF('数据-基础表'!$11:$11,"住宅",'数据-基础表'!$5:$5)</f>
        <v>0</v>
      </c>
      <c r="F5" s="1392"/>
      <c r="G5" s="1399"/>
      <c r="H5" s="1247" t="s">
        <v>1905</v>
      </c>
      <c r="I5" s="55">
        <f>ROUND(E31/D31,2)</f>
        <v>3.11</v>
      </c>
      <c r="J5" s="1392"/>
      <c r="K5" s="1392"/>
      <c r="L5" s="1392"/>
      <c r="M5" s="1392"/>
      <c r="N5" s="1392"/>
      <c r="O5" s="1392"/>
      <c r="P5" s="1392"/>
    </row>
    <row r="6" spans="1:16" ht="15" thickBot="1">
      <c r="A6" s="2235"/>
      <c r="B6" s="3102" t="s">
        <v>1910</v>
      </c>
      <c r="C6" s="3102"/>
      <c r="D6" s="48">
        <f>ROUND($D$3*E6/$E$3,2)</f>
        <v>15620.22</v>
      </c>
      <c r="E6" s="49">
        <f>E3-E5</f>
        <v>48562.030000000006</v>
      </c>
      <c r="F6" s="1392"/>
      <c r="G6" s="2236" t="s">
        <v>1911</v>
      </c>
      <c r="H6" s="1399" t="s">
        <v>1912</v>
      </c>
      <c r="I6" s="939">
        <f>ROUND(F31/D31,2)</f>
        <v>3.04</v>
      </c>
      <c r="J6" s="1392"/>
      <c r="K6" s="1392"/>
      <c r="L6" s="1392"/>
      <c r="M6" s="1392"/>
      <c r="N6" s="1392"/>
      <c r="O6" s="1392"/>
      <c r="P6" s="1392"/>
    </row>
    <row r="7" spans="1:16" ht="15">
      <c r="A7" s="3094"/>
      <c r="B7" s="3095"/>
      <c r="C7" s="3096"/>
      <c r="D7" s="2232" t="s">
        <v>1906</v>
      </c>
      <c r="E7" s="2237" t="s">
        <v>1913</v>
      </c>
      <c r="F7" s="1392"/>
      <c r="G7" s="2229" t="s">
        <v>1914</v>
      </c>
      <c r="H7" s="64"/>
      <c r="I7" s="420"/>
      <c r="J7" s="1392"/>
      <c r="K7" s="1392"/>
      <c r="L7" s="1392"/>
      <c r="M7" s="1392"/>
      <c r="N7" s="1392"/>
      <c r="O7" s="1392"/>
      <c r="P7" s="1392"/>
    </row>
    <row r="8" spans="1:16">
      <c r="A8" s="47" t="s">
        <v>1915</v>
      </c>
      <c r="B8" s="50" t="s">
        <v>1916</v>
      </c>
      <c r="C8" s="48" t="s">
        <v>1917</v>
      </c>
      <c r="D8" s="48">
        <f t="shared" ref="D8:D15" si="0">ROUND($D$3*E8/$E$3,2)</f>
        <v>15280.07</v>
      </c>
      <c r="E8" s="51">
        <f>SUMIF('数据-基础表'!BB10:BK10,"地上",'数据-基础表'!BB5:BK5)</f>
        <v>47504.530000000006</v>
      </c>
      <c r="F8" s="1392"/>
      <c r="G8" s="2238"/>
      <c r="H8" s="2238"/>
      <c r="I8" s="1392"/>
      <c r="J8" s="1392"/>
      <c r="K8" s="1392"/>
      <c r="L8" s="1392"/>
      <c r="M8" s="1392"/>
      <c r="N8" s="1392"/>
      <c r="O8" s="1392"/>
      <c r="P8" s="1392"/>
    </row>
    <row r="9" spans="1:16">
      <c r="A9" s="2239"/>
      <c r="B9" s="2240"/>
      <c r="C9" s="48" t="s">
        <v>1918</v>
      </c>
      <c r="D9" s="48">
        <f t="shared" si="0"/>
        <v>0</v>
      </c>
      <c r="E9" s="52">
        <v>0</v>
      </c>
      <c r="F9" s="1392"/>
      <c r="G9" s="2238"/>
      <c r="H9" s="2238"/>
      <c r="I9" s="1392"/>
      <c r="J9" s="1392"/>
      <c r="K9" s="1392"/>
      <c r="L9" s="1392"/>
      <c r="M9" s="1392"/>
      <c r="N9" s="1392"/>
      <c r="O9" s="1392"/>
      <c r="P9" s="1392"/>
    </row>
    <row r="10" spans="1:16">
      <c r="A10" s="2239"/>
      <c r="B10" s="2240"/>
      <c r="C10" s="48" t="s">
        <v>1927</v>
      </c>
      <c r="D10" s="48">
        <f t="shared" si="0"/>
        <v>340.15</v>
      </c>
      <c r="E10" s="51">
        <f>SUMPRODUCT(('数据-基础表'!BB10:BK10="地下")*('数据-基础表'!BB11:BK11="商业")*('数据-基础表'!BB5:BK5))</f>
        <v>1057.5000000000005</v>
      </c>
      <c r="F10" s="1392"/>
      <c r="G10" s="2238"/>
      <c r="H10" s="2238"/>
      <c r="I10" s="1392"/>
      <c r="J10" s="1392"/>
      <c r="K10" s="1392"/>
      <c r="L10" s="1392"/>
      <c r="M10" s="1392"/>
      <c r="N10" s="1392"/>
      <c r="O10" s="1392"/>
      <c r="P10" s="1392"/>
    </row>
    <row r="11" spans="1:16">
      <c r="A11" s="2239"/>
      <c r="B11" s="2240"/>
      <c r="C11" s="48" t="s">
        <v>1919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1922</v>
      </c>
      <c r="D16" s="50">
        <f>SUM(D8:D15)</f>
        <v>15620.22</v>
      </c>
      <c r="E16" s="53">
        <f>SUM(E8:E15)</f>
        <v>48562.030000000006</v>
      </c>
      <c r="F16" s="1392"/>
      <c r="G16" s="2238"/>
      <c r="H16" s="2241" t="s">
        <v>1934</v>
      </c>
      <c r="I16" s="2242"/>
      <c r="J16" s="1392"/>
      <c r="K16" s="3091" t="s">
        <v>1934</v>
      </c>
      <c r="L16" s="3092"/>
      <c r="M16" s="3092"/>
      <c r="N16" s="3092"/>
      <c r="O16" s="3092"/>
      <c r="P16" s="3093"/>
    </row>
    <row r="17" spans="1:19" ht="15">
      <c r="A17" s="2243" t="s">
        <v>1935</v>
      </c>
      <c r="B17" s="2244" t="s">
        <v>1936</v>
      </c>
      <c r="C17" s="2245" t="s">
        <v>1937</v>
      </c>
      <c r="D17" s="2246" t="s">
        <v>1925</v>
      </c>
      <c r="E17" s="2247" t="s">
        <v>1926</v>
      </c>
      <c r="F17" s="2248"/>
      <c r="G17" s="2249"/>
      <c r="H17" s="2250" t="s">
        <v>1938</v>
      </c>
      <c r="I17" s="2251" t="s">
        <v>1923</v>
      </c>
      <c r="J17" s="1392"/>
      <c r="K17" s="3088" t="s">
        <v>1939</v>
      </c>
      <c r="L17" s="3089"/>
      <c r="M17" s="3090"/>
      <c r="N17" s="3088" t="s">
        <v>1940</v>
      </c>
      <c r="O17" s="3089"/>
      <c r="P17" s="3090"/>
      <c r="R17" s="2229" t="s">
        <v>1941</v>
      </c>
      <c r="S17" s="64"/>
    </row>
    <row r="18" spans="1:19" ht="15">
      <c r="A18" s="2239"/>
      <c r="B18" s="2252"/>
      <c r="C18" s="2253"/>
      <c r="D18" s="2254"/>
      <c r="E18" s="2255" t="s">
        <v>1942</v>
      </c>
      <c r="F18" s="2256" t="s">
        <v>1943</v>
      </c>
      <c r="G18" s="2257" t="s">
        <v>1944</v>
      </c>
      <c r="H18" s="1262" t="s">
        <v>1945</v>
      </c>
      <c r="I18" s="2258" t="s">
        <v>1946</v>
      </c>
      <c r="J18" s="1392"/>
      <c r="K18" s="1262" t="s">
        <v>1947</v>
      </c>
      <c r="L18" s="2259" t="s">
        <v>1948</v>
      </c>
      <c r="M18" s="1046" t="s">
        <v>1949</v>
      </c>
      <c r="N18" s="1262" t="s">
        <v>1947</v>
      </c>
      <c r="O18" s="2259" t="s">
        <v>1948</v>
      </c>
      <c r="P18" s="1046" t="s">
        <v>1949</v>
      </c>
      <c r="R18" s="1247" t="s">
        <v>1950</v>
      </c>
      <c r="S18" s="1247" t="s">
        <v>1951</v>
      </c>
    </row>
    <row r="19" spans="1:19">
      <c r="A19" s="2260"/>
      <c r="B19" s="50" t="s">
        <v>1924</v>
      </c>
      <c r="C19" s="2958" t="s">
        <v>3087</v>
      </c>
      <c r="D19" s="48">
        <f>ROUND($D$3*E19/$E$3,2)</f>
        <v>15620.22</v>
      </c>
      <c r="E19" s="56">
        <f t="shared" ref="E19:E26" si="1">SUM(F19:G19)</f>
        <v>48562.030000000006</v>
      </c>
      <c r="F19" s="57">
        <f>'数据-基础表'!I13+'数据-基础表'!K13</f>
        <v>47504.530000000006</v>
      </c>
      <c r="G19" s="58">
        <f>'数据-基础表'!M13</f>
        <v>1057.5000000000005</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15620.22</v>
      </c>
      <c r="S19" s="1248">
        <f t="shared" si="5"/>
        <v>48562.030000000006</v>
      </c>
    </row>
    <row r="20" spans="1:19">
      <c r="A20" s="2263"/>
      <c r="B20" s="50" t="s">
        <v>1952</v>
      </c>
      <c r="C20" s="29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958"/>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15620.22</v>
      </c>
      <c r="E27" s="1394">
        <f>IF(SUM(E19:E26)='数据-基础表'!BA5,SUM(E19:E26),IF(F27="地上面积有误","面积有误","地下面积有误"))</f>
        <v>48562.030000000006</v>
      </c>
      <c r="F27" s="1393">
        <f>IF(SUM(F19:F26)=E8,SUM(F19:F26),"地上面积有误")</f>
        <v>47504.530000000006</v>
      </c>
      <c r="G27" s="1395">
        <f>SUM(G19:G26)</f>
        <v>1057.5000000000005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15620.22</v>
      </c>
      <c r="S27" s="1247">
        <f>IF(SUM(S19:S26)=$E$3,SUM(S19:S26),SUM(S19:S26)&amp;"误差"&amp;ROUND(SUM(S19:S26)-E3,2))</f>
        <v>48562.030000000006</v>
      </c>
    </row>
    <row r="28" spans="1:19">
      <c r="A28" s="226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1957</v>
      </c>
      <c r="D31" s="729">
        <f>D27+D30</f>
        <v>15620.22</v>
      </c>
      <c r="E31" s="729">
        <f>E27+E30</f>
        <v>48562.030000000006</v>
      </c>
      <c r="F31" s="730">
        <f>F27+F30</f>
        <v>47504.530000000006</v>
      </c>
      <c r="G31" s="731">
        <f>G27+G30</f>
        <v>1057.5000000000005</v>
      </c>
      <c r="H31" s="1392"/>
      <c r="I31" s="1392"/>
      <c r="J31" s="1392"/>
      <c r="K31" s="1392"/>
      <c r="L31" s="1392"/>
      <c r="M31" s="1392"/>
      <c r="N31" s="1392"/>
      <c r="O31" s="1392"/>
      <c r="P31" s="1392"/>
    </row>
    <row r="32" spans="1:19">
      <c r="A32" s="2234"/>
      <c r="B32" s="2234" t="s">
        <v>1958</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M10" sqref="M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1960</v>
      </c>
      <c r="B2" s="1266">
        <f>项目基本情况!D3</f>
        <v>43603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5" t="s">
        <v>1965</v>
      </c>
      <c r="AA4" s="2245"/>
      <c r="AB4" s="2245"/>
      <c r="AC4" s="2245"/>
      <c r="AD4" s="2245"/>
      <c r="AE4" s="2243" t="s">
        <v>1966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1980</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5" t="s">
        <v>2001</v>
      </c>
      <c r="AP5" s="1249"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60708</v>
      </c>
      <c r="F6" s="72">
        <f>SUMIF(项目基本情况!D$12:I$12,C6,项目基本情况!D$15:I$15)</f>
        <v>46.86</v>
      </c>
      <c r="G6" s="73">
        <f>IF(ISERROR(ROUND(POWER(1+H6,D6-F6)*(POWER(1+H6,F6)-1)/(POWER(1+H6,D6)-1),3)),0,ROUND(POWER(1+H6,D6-F6)*(POWER(1+H6,F6)-1)/(POWER(1+H6,D6)-1),3))</f>
        <v>0.98399999999999999</v>
      </c>
      <c r="H6" s="802">
        <v>0.05</v>
      </c>
      <c r="I6" s="802">
        <v>5.5E-2</v>
      </c>
      <c r="J6" s="74">
        <v>0.08</v>
      </c>
      <c r="K6" s="1251">
        <f>SUMIF('数据-汇总表'!C$19:C$33,A6,'数据-汇总表'!E$19:E$33)</f>
        <v>48562.030000000006</v>
      </c>
      <c r="L6" s="803">
        <v>5200</v>
      </c>
      <c r="M6" s="75">
        <f t="shared" ref="M6:M14" si="0">ROUND(K6*L6/10000,0)</f>
        <v>25252</v>
      </c>
      <c r="N6" s="801">
        <v>0.5</v>
      </c>
      <c r="O6" s="75">
        <f>IF($N$5="成新度","——",ROUND(M6*N6,0))</f>
        <v>12626</v>
      </c>
      <c r="P6" s="76">
        <f>IF($N$5="成新度","——",M6-O6)</f>
        <v>12626</v>
      </c>
      <c r="Q6" s="804">
        <v>0.15</v>
      </c>
      <c r="R6" s="77">
        <f ca="1">SUMIF('数据-汇总表'!C$19:C$33,A6,'数据-汇总表'!R$19:R$27)</f>
        <v>15620.22</v>
      </c>
      <c r="S6" s="54">
        <f>IF('数据-汇总表'!$I$17="按面积比例",SUMIF('数据-汇总表'!C$19:C$33,A6,'数据-汇总表'!K$19:K$33),SUMIF('数据-汇总表'!C$19:C$33,A6,'数据-汇总表'!N$19:N$33))</f>
        <v>0</v>
      </c>
      <c r="T6" s="1443">
        <f>ROUND($L$14*S6/10000,0)</f>
        <v>0</v>
      </c>
      <c r="U6" s="78">
        <f>ROUND(酒店收入计算!E26*10000/('数据-取费表'!K6*365),2)</f>
        <v>2.6</v>
      </c>
      <c r="V6" s="79">
        <v>0.03</v>
      </c>
      <c r="W6" s="79">
        <v>0</v>
      </c>
      <c r="X6" s="1261"/>
      <c r="Y6" s="80">
        <v>1</v>
      </c>
      <c r="Z6" s="81"/>
      <c r="AA6" s="74"/>
      <c r="AB6" s="74"/>
      <c r="AC6" s="1261"/>
      <c r="AD6" s="82"/>
      <c r="AE6" s="1262">
        <f ca="1">IF(AN6="",0,SUMIF(INDIRECT("'"&amp;AN6&amp;"'"&amp;"!E:E"),$AE$5,INDIRECT("'"&amp;AN6&amp;"'"&amp;"!F:F")))</f>
        <v>45.36</v>
      </c>
      <c r="AF6" s="1804"/>
      <c r="AG6" s="147">
        <f>IF(AF6="",0,AE6-AF6)</f>
        <v>0</v>
      </c>
      <c r="AH6" s="83"/>
      <c r="AI6" s="85">
        <v>365</v>
      </c>
      <c r="AJ6" s="86"/>
      <c r="AK6" s="87">
        <v>1.4999999999999999E-2</v>
      </c>
      <c r="AL6" s="88">
        <v>1.5E-3</v>
      </c>
      <c r="AM6" s="89">
        <v>0.04</v>
      </c>
      <c r="AN6" s="2309" t="s">
        <v>3108</v>
      </c>
      <c r="AO6" s="55">
        <f ca="1">SUMIF(INDIRECT("'"&amp;AN6&amp;"'"&amp;"!A:A"),"总价",INDIRECT("'"&amp;AN6&amp;"'"&amp;"!B:B"))</f>
        <v>112878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0.98399999999999999</v>
      </c>
      <c r="H16" s="99">
        <f>ROUND(SUMPRODUCT(H6:H13,K6:K13)/SUMPRODUCT((H6:H13&gt;0)*(K6:K13)),3)</f>
        <v>0.05</v>
      </c>
      <c r="I16" s="100"/>
      <c r="J16" s="100"/>
      <c r="K16" s="101">
        <f>SUM(K6:K15)</f>
        <v>48562.030000000006</v>
      </c>
      <c r="L16" s="102">
        <f>ROUND(M16*10000/SUM(K6:K14),0)</f>
        <v>5200</v>
      </c>
      <c r="M16" s="102">
        <f>SUM(M6:M14)</f>
        <v>25252</v>
      </c>
      <c r="N16" s="103">
        <f>ROUND(SUMPRODUCT(M6:M14,N6:N14)/M16,3)</f>
        <v>0.5</v>
      </c>
      <c r="O16" s="102">
        <f>SUM(O6:O14)</f>
        <v>12626</v>
      </c>
      <c r="P16" s="102">
        <f>SUM(P6:P14)</f>
        <v>12626</v>
      </c>
      <c r="Q16" s="104">
        <f>ROUND(SUMPRODUCT(Q6:Q13,K6:K13)/SUMPRODUCT((Q6:Q13&gt;0)*(K6:K13)),2)</f>
        <v>0.15</v>
      </c>
      <c r="R16" s="1255">
        <f ca="1">SUM(R6:R13)</f>
        <v>15620.22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3</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1.5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 ca="1">成本法!C10</f>
        <v>0</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0.03</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0.05</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0.02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0.05</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56</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3" t="s">
        <v>2076</v>
      </c>
      <c r="B1" s="3104"/>
      <c r="C1" s="3104"/>
      <c r="D1" s="3104"/>
      <c r="E1" s="3104"/>
      <c r="F1" s="3104"/>
      <c r="G1" s="310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54">
      <c r="A3" s="415" t="s">
        <v>2079</v>
      </c>
      <c r="B3" s="1268" t="s">
        <v>2080</v>
      </c>
      <c r="C3" s="2370" t="s">
        <v>2081</v>
      </c>
      <c r="D3" s="2371"/>
      <c r="E3" s="431" t="s">
        <v>2079</v>
      </c>
      <c r="F3" s="2372" t="s">
        <v>2082</v>
      </c>
      <c r="G3" s="2373" t="s">
        <v>2083</v>
      </c>
      <c r="H3" s="2368"/>
      <c r="I3" s="2368"/>
      <c r="J3" s="2368"/>
      <c r="K3" s="2368"/>
      <c r="L3" s="2368"/>
      <c r="M3" s="2368"/>
      <c r="N3" s="2368"/>
      <c r="O3" s="2368"/>
      <c r="P3" s="2368"/>
      <c r="Q3" s="2368"/>
      <c r="R3" s="2368"/>
    </row>
    <row r="4" spans="1:29" ht="41.25">
      <c r="A4" s="431"/>
      <c r="B4" s="1795" t="s">
        <v>2084</v>
      </c>
      <c r="C4" s="2374" t="s">
        <v>2085</v>
      </c>
      <c r="D4" s="2371"/>
      <c r="E4" s="2375"/>
      <c r="F4" s="42" t="s">
        <v>2086</v>
      </c>
      <c r="G4" s="2376" t="s">
        <v>2087</v>
      </c>
      <c r="H4" s="2368"/>
      <c r="I4" s="2368"/>
      <c r="J4" s="2368"/>
      <c r="K4" s="2368"/>
      <c r="L4" s="2368"/>
      <c r="M4" s="2368"/>
      <c r="N4" s="2368"/>
      <c r="O4" s="2368"/>
      <c r="P4" s="2368"/>
      <c r="Q4" s="2368"/>
      <c r="R4" s="2368"/>
    </row>
    <row r="5" spans="1:29" ht="41.25">
      <c r="A5" s="431"/>
      <c r="B5" s="1795" t="s">
        <v>2088</v>
      </c>
      <c r="C5" s="2374" t="s">
        <v>2089</v>
      </c>
      <c r="D5" s="2371"/>
      <c r="E5" s="2375"/>
      <c r="F5" s="1795" t="s">
        <v>2090</v>
      </c>
      <c r="G5" s="2376" t="s">
        <v>2091</v>
      </c>
      <c r="H5" s="2368"/>
      <c r="I5" s="2368"/>
      <c r="J5" s="2368"/>
      <c r="K5" s="2368"/>
      <c r="L5" s="2368"/>
      <c r="M5" s="2368"/>
      <c r="N5" s="2368"/>
      <c r="O5" s="2368"/>
      <c r="P5" s="2368"/>
      <c r="Q5" s="2368"/>
      <c r="R5" s="2368"/>
    </row>
    <row r="6" spans="1:29" ht="54">
      <c r="A6" s="431"/>
      <c r="B6" s="1795" t="s">
        <v>2092</v>
      </c>
      <c r="C6" s="2376" t="s">
        <v>2087</v>
      </c>
      <c r="D6" s="2371"/>
      <c r="E6" s="2375"/>
      <c r="F6" s="1795" t="s">
        <v>2093</v>
      </c>
      <c r="G6" s="2376" t="s">
        <v>2094</v>
      </c>
      <c r="H6" s="2368"/>
      <c r="I6" s="2368"/>
      <c r="J6" s="2368"/>
      <c r="K6" s="2368"/>
      <c r="L6" s="2368"/>
      <c r="M6" s="2368"/>
      <c r="N6" s="2368"/>
      <c r="O6" s="2368"/>
      <c r="P6" s="2368"/>
      <c r="Q6" s="2368"/>
      <c r="R6" s="2368"/>
    </row>
    <row r="7" spans="1:29" ht="41.25" thickBot="1">
      <c r="A7" s="431"/>
      <c r="B7" s="1795" t="s">
        <v>2090</v>
      </c>
      <c r="C7" s="2376" t="s">
        <v>2091</v>
      </c>
      <c r="D7" s="2377"/>
      <c r="E7" s="2378"/>
      <c r="F7" s="2379" t="s">
        <v>2095</v>
      </c>
      <c r="G7" s="2380" t="s">
        <v>2096</v>
      </c>
      <c r="H7" s="2368"/>
      <c r="I7" s="2368"/>
      <c r="J7" s="2368"/>
      <c r="K7" s="2368"/>
      <c r="L7" s="2368"/>
      <c r="M7" s="2368"/>
      <c r="N7" s="2368"/>
      <c r="O7" s="2368"/>
      <c r="P7" s="2368"/>
      <c r="Q7" s="2368"/>
      <c r="R7" s="2368"/>
    </row>
    <row r="8" spans="1:29" ht="27">
      <c r="A8" s="431"/>
      <c r="B8" s="1795" t="s">
        <v>2093</v>
      </c>
      <c r="C8" s="2376" t="s">
        <v>2094</v>
      </c>
      <c r="D8" s="2377"/>
      <c r="E8" s="2377"/>
      <c r="F8" s="1133"/>
      <c r="G8" s="1133"/>
      <c r="H8" s="2368"/>
      <c r="I8" s="2368"/>
      <c r="J8" s="2368"/>
      <c r="K8" s="2368"/>
      <c r="L8" s="2368"/>
      <c r="M8" s="2368"/>
      <c r="N8" s="2368"/>
      <c r="O8" s="2368"/>
      <c r="P8" s="2368"/>
      <c r="Q8" s="2368"/>
      <c r="R8" s="2368"/>
    </row>
    <row r="9" spans="1:29" ht="27">
      <c r="A9" s="431"/>
      <c r="B9" s="1795" t="s">
        <v>2097</v>
      </c>
      <c r="C9" s="2374" t="s">
        <v>2098</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67" t="s">
        <v>2080</v>
      </c>
      <c r="C15" s="2403" t="str">
        <f>C3</f>
        <v>估价对象周边居住用地比例、居住小区规模和社区发展完善程度，综合评价居住社区成熟度一般</v>
      </c>
      <c r="D15" s="2371"/>
      <c r="E15" s="2404" t="s">
        <v>2104</v>
      </c>
      <c r="F15" s="1267"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69"/>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69"/>
      <c r="D19" s="2371"/>
      <c r="E19" s="2407"/>
      <c r="F19" s="1795"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5" t="s">
        <v>2109</v>
      </c>
      <c r="G20" s="136" t="str">
        <f>G6</f>
        <v>估价对象所在区域基础设施水平</v>
      </c>
    </row>
    <row r="21" spans="1:18" ht="28.5">
      <c r="A21" s="645"/>
      <c r="B21" s="1795" t="s">
        <v>2090</v>
      </c>
      <c r="C21" s="136" t="str">
        <f>C7</f>
        <v>估价对象所在区域公共配套设施齐备情况</v>
      </c>
      <c r="D21" s="2371"/>
      <c r="E21" s="2407"/>
      <c r="F21" s="2408" t="s">
        <v>2110</v>
      </c>
      <c r="G21" s="2409"/>
    </row>
    <row r="22" spans="1:18" ht="13.5" customHeight="1">
      <c r="A22" s="645"/>
      <c r="B22" s="1795" t="s">
        <v>2093</v>
      </c>
      <c r="C22" s="136" t="str">
        <f>C8</f>
        <v>估价对象所在区域基础设施水平</v>
      </c>
      <c r="D22" s="2371"/>
      <c r="E22" s="2407"/>
      <c r="F22" s="2408" t="s">
        <v>2099</v>
      </c>
      <c r="G22" s="1569"/>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153820.67000000001</v>
      </c>
      <c r="C1" s="1742"/>
      <c r="D1" s="1742"/>
      <c r="E1" s="1742"/>
      <c r="F1" s="1742"/>
      <c r="G1" s="1740"/>
    </row>
    <row r="2" spans="1:10" ht="16.5">
      <c r="A2" s="1743" t="s">
        <v>1343</v>
      </c>
      <c r="B2" s="1743">
        <f>SUM(C14:C23)</f>
        <v>49477.200000000004</v>
      </c>
      <c r="C2" s="1742"/>
      <c r="D2" s="1742"/>
      <c r="E2" s="1742"/>
      <c r="F2" s="1742"/>
      <c r="G2" s="1740"/>
    </row>
    <row r="3" spans="1:10" ht="16.5">
      <c r="A3" s="1743" t="s">
        <v>1352</v>
      </c>
      <c r="B3" s="1744">
        <f>项目基本情况!D3</f>
        <v>43603</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242892</v>
      </c>
      <c r="C5" s="1743">
        <f ca="1">ROUND(B5*10000/$B$1,0)</f>
        <v>15791</v>
      </c>
      <c r="D5" s="1743">
        <f ca="1">ROUND(B5*10000/$B$2,0)</f>
        <v>49092</v>
      </c>
      <c r="E5" s="1742"/>
      <c r="F5" s="1740"/>
      <c r="G5" s="1740"/>
    </row>
    <row r="6" spans="1:10" ht="16.5">
      <c r="A6" s="1743" t="s">
        <v>1346</v>
      </c>
      <c r="B6" s="1743">
        <f ca="1">SUM(G14:G23)</f>
        <v>242892</v>
      </c>
      <c r="C6" s="1743">
        <f ca="1">ROUND(B6*10000/$B$1,0)</f>
        <v>15791</v>
      </c>
      <c r="D6" s="1743">
        <f ca="1">ROUND(B6*10000/$B$2,0)</f>
        <v>49092</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48562.030000000006</v>
      </c>
      <c r="C14" s="1741">
        <f>结果表!C118</f>
        <v>15620.22</v>
      </c>
      <c r="D14" s="1741">
        <f ca="1">结果表!H118</f>
        <v>121774</v>
      </c>
      <c r="E14" s="1741">
        <f ca="1">ROUND(D14*10000/B14,0)</f>
        <v>25076</v>
      </c>
      <c r="F14" s="1741">
        <f ca="1">ROUND(D14*10000/C14,0)</f>
        <v>77959</v>
      </c>
      <c r="G14" s="1741">
        <f ca="1">结果表!D122</f>
        <v>121774</v>
      </c>
      <c r="H14" s="1741" t="str">
        <f>结果表!D124</f>
        <v>——</v>
      </c>
      <c r="I14" s="1741" t="str">
        <f>结果表!D126</f>
        <v>——</v>
      </c>
      <c r="J14" s="1740"/>
    </row>
    <row r="15" spans="1:10" ht="16.5">
      <c r="A15" s="1739" t="s">
        <v>1339</v>
      </c>
      <c r="B15" s="1746">
        <f>[1]系统读取表!$B$14</f>
        <v>105258.64000000001</v>
      </c>
      <c r="C15" s="1746">
        <f>[1]系统读取表!$C$14</f>
        <v>33856.980000000003</v>
      </c>
      <c r="D15" s="1746">
        <f ca="1">[1]系统读取表!$D$14</f>
        <v>121118</v>
      </c>
      <c r="E15" s="1741">
        <f t="shared" ref="E15:E23" ca="1" si="0">ROUND(D15*10000/B15,0)</f>
        <v>11507</v>
      </c>
      <c r="F15" s="1741">
        <f t="shared" ref="F15:F23" ca="1" si="1">ROUND(D15*10000/C15,0)</f>
        <v>35773</v>
      </c>
      <c r="G15" s="1747">
        <f ca="1">D15</f>
        <v>121118</v>
      </c>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3" zoomScaleNormal="100" zoomScaleSheetLayoutView="100" zoomScalePageLayoutView="80" workbookViewId="0">
      <selection activeCell="B110" sqref="B11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c r="D1" s="2419"/>
      <c r="E1" s="2419"/>
      <c r="F1" s="2421" t="s">
        <v>2114</v>
      </c>
      <c r="G1" s="2071" t="s">
        <v>2115</v>
      </c>
      <c r="H1" s="2422" t="str">
        <f>IF(G1="现房","——","估价对象范围")</f>
        <v>估价对象范围</v>
      </c>
      <c r="I1" s="2423"/>
    </row>
    <row r="2" spans="1:12" ht="21.75" customHeight="1" thickBot="1">
      <c r="A2" s="3177" t="str">
        <f>项目基本情况!S2</f>
        <v>北京市出让国有建设用地使用权及在建建筑物房地产</v>
      </c>
      <c r="B2" s="3178"/>
      <c r="C2" s="3178"/>
      <c r="D2" s="3178"/>
      <c r="E2" s="3178"/>
      <c r="F2" s="3178"/>
      <c r="G2" s="3178"/>
      <c r="H2" s="3178"/>
      <c r="I2" s="3179"/>
    </row>
    <row r="3" spans="1:12" ht="12.75">
      <c r="A3" s="3180" t="s">
        <v>2116</v>
      </c>
      <c r="B3" s="3181"/>
      <c r="C3" s="3181"/>
      <c r="D3" s="3181"/>
      <c r="E3" s="3181"/>
      <c r="F3" s="3181"/>
      <c r="G3" s="3181"/>
      <c r="H3" s="3181"/>
      <c r="I3" s="3181"/>
    </row>
    <row r="4" spans="1:12" ht="14.25">
      <c r="A4" s="2426" t="s">
        <v>2117</v>
      </c>
      <c r="B4" s="2427" t="s">
        <v>2118</v>
      </c>
      <c r="C4" s="2428" t="s">
        <v>3109</v>
      </c>
      <c r="D4" s="2428" t="s">
        <v>3110</v>
      </c>
      <c r="E4" s="3161" t="s">
        <v>2119</v>
      </c>
      <c r="F4" s="3174"/>
      <c r="G4" s="3174"/>
      <c r="H4" s="3174"/>
      <c r="I4" s="316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52" t="s">
        <v>2120</v>
      </c>
      <c r="B5" s="3073">
        <v>25</v>
      </c>
      <c r="C5" s="3182">
        <v>19</v>
      </c>
      <c r="D5" s="3170">
        <v>21</v>
      </c>
      <c r="E5" s="140" t="s">
        <v>2121</v>
      </c>
      <c r="F5" s="2430"/>
      <c r="G5" s="2430"/>
      <c r="H5" s="2430"/>
      <c r="I5" s="1831"/>
    </row>
    <row r="6" spans="1:12" ht="12.75">
      <c r="A6" s="3152"/>
      <c r="B6" s="3073"/>
      <c r="C6" s="3184"/>
      <c r="D6" s="3170"/>
      <c r="E6" s="140" t="s">
        <v>2122</v>
      </c>
      <c r="F6" s="2430"/>
      <c r="G6" s="2430"/>
      <c r="H6" s="2430"/>
      <c r="I6" s="1831"/>
    </row>
    <row r="7" spans="1:12" ht="12.75">
      <c r="A7" s="3152"/>
      <c r="B7" s="3073"/>
      <c r="C7" s="3183"/>
      <c r="D7" s="3170"/>
      <c r="E7" s="140" t="s">
        <v>2123</v>
      </c>
      <c r="F7" s="2430"/>
      <c r="G7" s="2430"/>
      <c r="H7" s="2430"/>
      <c r="I7" s="1831"/>
    </row>
    <row r="8" spans="1:12" ht="12.75">
      <c r="A8" s="3152" t="s">
        <v>2124</v>
      </c>
      <c r="B8" s="3073">
        <v>15</v>
      </c>
      <c r="C8" s="3182">
        <v>9</v>
      </c>
      <c r="D8" s="3170">
        <v>12</v>
      </c>
      <c r="E8" s="140" t="s">
        <v>2125</v>
      </c>
      <c r="F8" s="2430"/>
      <c r="G8" s="2430"/>
      <c r="H8" s="2430"/>
      <c r="I8" s="1831"/>
    </row>
    <row r="9" spans="1:12" ht="12.75">
      <c r="A9" s="3152"/>
      <c r="B9" s="3073"/>
      <c r="C9" s="3183"/>
      <c r="D9" s="3170"/>
      <c r="E9" s="140" t="s">
        <v>2126</v>
      </c>
      <c r="F9" s="2430"/>
      <c r="G9" s="2430"/>
      <c r="H9" s="2430"/>
      <c r="I9" s="1831"/>
    </row>
    <row r="10" spans="1:12" ht="12.75">
      <c r="A10" s="3152" t="s">
        <v>2127</v>
      </c>
      <c r="B10" s="3073">
        <v>15</v>
      </c>
      <c r="C10" s="3182">
        <v>9</v>
      </c>
      <c r="D10" s="3170">
        <v>12</v>
      </c>
      <c r="E10" s="140" t="s">
        <v>2128</v>
      </c>
      <c r="F10" s="2430"/>
      <c r="G10" s="2430"/>
      <c r="H10" s="2430"/>
      <c r="I10" s="1831"/>
    </row>
    <row r="11" spans="1:12" ht="12.75">
      <c r="A11" s="3152"/>
      <c r="B11" s="3073"/>
      <c r="C11" s="3183"/>
      <c r="D11" s="3170"/>
      <c r="E11" s="140" t="s">
        <v>2129</v>
      </c>
      <c r="F11" s="2430"/>
      <c r="G11" s="2430"/>
      <c r="H11" s="2430"/>
      <c r="I11" s="1831"/>
    </row>
    <row r="12" spans="1:12" ht="12.75">
      <c r="A12" s="3152" t="s">
        <v>2130</v>
      </c>
      <c r="B12" s="3073">
        <v>15</v>
      </c>
      <c r="C12" s="3182">
        <v>9</v>
      </c>
      <c r="D12" s="3170">
        <v>12</v>
      </c>
      <c r="E12" s="140" t="s">
        <v>2131</v>
      </c>
      <c r="F12" s="2430"/>
      <c r="G12" s="2430"/>
      <c r="H12" s="2430"/>
      <c r="I12" s="1831"/>
    </row>
    <row r="13" spans="1:12" ht="12.75">
      <c r="A13" s="3152"/>
      <c r="B13" s="3073"/>
      <c r="C13" s="3183"/>
      <c r="D13" s="3170"/>
      <c r="E13" s="140" t="s">
        <v>2132</v>
      </c>
      <c r="F13" s="2430"/>
      <c r="G13" s="2430"/>
      <c r="H13" s="2430"/>
      <c r="I13" s="1831"/>
    </row>
    <row r="14" spans="1:12" ht="12.75">
      <c r="A14" s="3152" t="s">
        <v>2133</v>
      </c>
      <c r="B14" s="3073">
        <v>30</v>
      </c>
      <c r="C14" s="3182">
        <v>20</v>
      </c>
      <c r="D14" s="3170">
        <v>25</v>
      </c>
      <c r="E14" s="140" t="s">
        <v>2134</v>
      </c>
      <c r="F14" s="2430"/>
      <c r="G14" s="2430"/>
      <c r="H14" s="2430"/>
      <c r="I14" s="1831"/>
    </row>
    <row r="15" spans="1:12" ht="12.75">
      <c r="A15" s="3152"/>
      <c r="B15" s="3073"/>
      <c r="C15" s="3184"/>
      <c r="D15" s="3170"/>
      <c r="E15" s="140" t="s">
        <v>2135</v>
      </c>
      <c r="F15" s="2430"/>
      <c r="G15" s="2430"/>
      <c r="H15" s="2430"/>
      <c r="I15" s="1831"/>
    </row>
    <row r="16" spans="1:12" ht="12.75">
      <c r="A16" s="3152"/>
      <c r="B16" s="3073"/>
      <c r="C16" s="3183"/>
      <c r="D16" s="3170"/>
      <c r="E16" s="140" t="s">
        <v>2136</v>
      </c>
      <c r="F16" s="2430"/>
      <c r="G16" s="2430"/>
      <c r="H16" s="2430"/>
      <c r="I16" s="1831"/>
    </row>
    <row r="17" spans="1:35" ht="15">
      <c r="A17" s="2431" t="s">
        <v>2137</v>
      </c>
      <c r="B17" s="64"/>
      <c r="C17" s="141">
        <f>SUM(C5:C16)</f>
        <v>66</v>
      </c>
      <c r="D17" s="141">
        <f>SUM(D5:D16)</f>
        <v>82</v>
      </c>
      <c r="E17" s="138"/>
      <c r="F17" s="138"/>
      <c r="G17" s="138"/>
      <c r="H17" s="138"/>
      <c r="I17" s="138"/>
      <c r="K17" s="2429"/>
      <c r="L17" s="2432" t="s">
        <v>2138</v>
      </c>
      <c r="M17" s="2432" t="s">
        <v>2139</v>
      </c>
    </row>
    <row r="18" spans="1:35" ht="15.75" thickBot="1">
      <c r="A18" s="2433" t="s">
        <v>2140</v>
      </c>
      <c r="B18" s="2434"/>
      <c r="C18" s="142">
        <f>ROUND(C17/SUM(C17:D17),2)</f>
        <v>0.45</v>
      </c>
      <c r="D18" s="142">
        <f>1-C18</f>
        <v>0.55000000000000004</v>
      </c>
      <c r="E18" s="138"/>
      <c r="F18" s="138"/>
      <c r="G18" s="138"/>
      <c r="H18" s="138"/>
      <c r="I18" s="138"/>
      <c r="K18" s="2429" t="s">
        <v>2141</v>
      </c>
      <c r="L18" s="2429">
        <f>IF(C1="",'数据-汇总表'!E3,SUMIF(项目类型,C1,'数据-汇总表'!E17:E26)+SUMIF(项目类型,C1,'数据-汇总表'!I17:I26))</f>
        <v>48562.030000000006</v>
      </c>
      <c r="M18" s="2429">
        <f>IF(C1="",'数据-汇总表'!E3,SUMIF(项目类型,C1,'数据-汇总表'!E17:E26))</f>
        <v>48562.030000000006</v>
      </c>
    </row>
    <row r="19" spans="1:35" ht="15">
      <c r="A19" s="2435" t="s">
        <v>2142</v>
      </c>
      <c r="B19" s="2436" t="s">
        <v>2143</v>
      </c>
      <c r="C19" s="143">
        <f ca="1">SUMIF(INDIRECT("'"&amp;C4&amp;"'"&amp;"!A:A"),结果表!B19,INDIRECT("'"&amp;C4&amp;"'"&amp;"!B:B"))</f>
        <v>178976</v>
      </c>
      <c r="D19" s="144">
        <f ca="1">SUMIF(INDIRECT("'"&amp;D4&amp;"'"&amp;"!A:A"),结果表!B19,INDIRECT("'"&amp;D4&amp;"'"&amp;"!B:B"))</f>
        <v>74973</v>
      </c>
      <c r="E19" s="2435" t="s">
        <v>2144</v>
      </c>
      <c r="F19" s="2436" t="s">
        <v>2143</v>
      </c>
      <c r="G19" s="145">
        <f ca="1">ROUND(C19*$C$18+D19*$D$18,0)</f>
        <v>121774</v>
      </c>
      <c r="H19" s="2437" t="s">
        <v>2145</v>
      </c>
      <c r="I19" s="138"/>
      <c r="J19" s="795">
        <v>147444</v>
      </c>
      <c r="K19" s="2429" t="s">
        <v>2146</v>
      </c>
      <c r="L19" s="2429">
        <f>IF(C1="",'数据-汇总表'!D3,SUMIF(项目类型,C1,'数据-汇总表'!D17:D26)+SUMIF(项目类型,C1,'数据-汇总表'!H17:H27))</f>
        <v>15620.22</v>
      </c>
      <c r="M19" s="2429">
        <f>IF(C1="",'数据-汇总表'!D3,SUMIF(项目类型,C1,'数据-汇总表'!D17:D26))</f>
        <v>15620.22</v>
      </c>
    </row>
    <row r="20" spans="1:35" ht="15">
      <c r="A20" s="2438"/>
      <c r="B20" s="1247" t="s">
        <v>2147</v>
      </c>
      <c r="C20" s="146">
        <f ca="1">SUMIF(INDIRECT("'"&amp;C4&amp;"'"&amp;"!A:A"),结果表!B20,INDIRECT("'"&amp;C4&amp;"'"&amp;"!B:B"))</f>
        <v>36855</v>
      </c>
      <c r="D20" s="147">
        <f ca="1">SUMIF(INDIRECT("'"&amp;D4&amp;"'"&amp;"!A:A"),结果表!B20,INDIRECT("'"&amp;D4&amp;"'"&amp;"!B:B"))</f>
        <v>15439</v>
      </c>
      <c r="E20" s="2438"/>
      <c r="F20" s="1247" t="s">
        <v>2147</v>
      </c>
      <c r="G20" s="148">
        <f ca="1">ROUND(C20*$C$18+D20*$D$18,0)</f>
        <v>25076</v>
      </c>
      <c r="H20" s="980" t="s">
        <v>2148</v>
      </c>
      <c r="I20" s="138"/>
    </row>
    <row r="21" spans="1:35" ht="15" customHeight="1" thickBot="1">
      <c r="A21" s="1000"/>
      <c r="B21" s="2439" t="s">
        <v>2149</v>
      </c>
      <c r="C21" s="789">
        <f ca="1">ROUND(C19*10000/L19,0)</f>
        <v>114580</v>
      </c>
      <c r="D21" s="790">
        <f ca="1">ROUND(D19*10000/L19,0)</f>
        <v>47997</v>
      </c>
      <c r="E21" s="1000"/>
      <c r="F21" s="2439" t="s">
        <v>2149</v>
      </c>
      <c r="G21" s="149">
        <f ca="1">ROUND(G19*10000/L19,0)</f>
        <v>77959</v>
      </c>
      <c r="H21" s="2440" t="s">
        <v>2148</v>
      </c>
      <c r="I21" s="138"/>
    </row>
    <row r="22" spans="1:35" ht="15" thickBot="1">
      <c r="A22" s="2281" t="s">
        <v>2150</v>
      </c>
      <c r="B22" s="2441"/>
      <c r="C22" s="2442"/>
      <c r="D22" s="791">
        <f ca="1">IF(C19&lt;D19,D19/C19-1,C19/D19-1)</f>
        <v>1.3872060608485723</v>
      </c>
      <c r="E22" s="138"/>
      <c r="F22" s="138"/>
      <c r="G22" s="138"/>
      <c r="H22" s="138"/>
      <c r="I22" s="138"/>
    </row>
    <row r="23" spans="1:35" ht="13.5" thickBot="1">
      <c r="A23" s="2419"/>
      <c r="B23" s="2419"/>
      <c r="C23" s="2419"/>
      <c r="D23" s="2419"/>
      <c r="E23" s="138"/>
      <c r="F23" s="138"/>
      <c r="G23" s="138"/>
      <c r="H23" s="138"/>
      <c r="I23" s="138"/>
    </row>
    <row r="24" spans="1:35" ht="14.25">
      <c r="A24" s="3191" t="s">
        <v>2151</v>
      </c>
      <c r="B24" s="2436" t="s">
        <v>2143</v>
      </c>
      <c r="C24" s="145">
        <f>IF(B30=0,0,D30)</f>
        <v>0</v>
      </c>
      <c r="D24" s="2443"/>
      <c r="E24" s="138"/>
      <c r="F24" s="138"/>
      <c r="G24" s="138"/>
      <c r="H24" s="138"/>
      <c r="I24" s="138"/>
    </row>
    <row r="25" spans="1:35" ht="14.25">
      <c r="A25" s="3192"/>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121774</v>
      </c>
      <c r="D32" s="2450" t="s">
        <v>2158</v>
      </c>
      <c r="E32" s="138"/>
      <c r="F32" s="138"/>
      <c r="G32" s="138"/>
      <c r="H32" s="138"/>
      <c r="I32" s="138"/>
    </row>
    <row r="33" spans="1:15" ht="15">
      <c r="A33" s="957" t="s">
        <v>2159</v>
      </c>
      <c r="B33" s="2451"/>
      <c r="C33" s="2452" t="s">
        <v>3303</v>
      </c>
      <c r="D33" s="2453" t="s">
        <v>3109</v>
      </c>
      <c r="E33" s="2454" t="s">
        <v>2160</v>
      </c>
      <c r="F33" s="2455" t="str">
        <f>IF(D32="楼面单价","取值（单价）","取值（总价）")</f>
        <v>取值（总价）</v>
      </c>
      <c r="G33" s="138"/>
      <c r="H33" s="138"/>
      <c r="I33" s="138"/>
    </row>
    <row r="34" spans="1:15" ht="15">
      <c r="A34" s="2456"/>
      <c r="B34" s="2457" t="s">
        <v>2161</v>
      </c>
      <c r="C34" s="157">
        <f ca="1">IF(C33="自定义",F34,C32-C35)</f>
        <v>109597</v>
      </c>
      <c r="D34" s="1055">
        <f ca="1">IF(C33="自定义",ROUND(C34/C32,3),IF(C33="收益比率",SUMIF(INDIRECT("'"&amp;D33&amp;"'"&amp;"!b:b"),"土地收益比率",INDIRECT("'"&amp;D33&amp;"'"&amp;"!c:c")),SUMIF(INDIRECT("'"&amp;D33&amp;"'"&amp;"!b:b"),"土地成本比率",INDIRECT("'"&amp;D33&amp;"'"&amp;"!c:c"))))</f>
        <v>0.9</v>
      </c>
      <c r="E34" s="2458" t="s">
        <v>2162</v>
      </c>
      <c r="F34" s="1736"/>
      <c r="G34" s="138"/>
      <c r="H34" s="138"/>
      <c r="I34" s="138"/>
    </row>
    <row r="35" spans="1:15" ht="15.75" thickBot="1">
      <c r="A35" s="2459"/>
      <c r="B35" s="2460" t="s">
        <v>2163</v>
      </c>
      <c r="C35" s="1441">
        <f ca="1">IF(C33="自定义",F35,ROUND(C32*D35,0))</f>
        <v>12177</v>
      </c>
      <c r="D35" s="1442">
        <f ca="1">IF(C33="自定义",ROUND(C35/C32,3),IF(C33="收益比率",SUMIF(INDIRECT("'"&amp;D33&amp;"'"&amp;"!b:b"),"建筑物收益比率",INDIRECT("'"&amp;D33&amp;"'"&amp;"!c:c")),SUMIF(INDIRECT("'"&amp;D33&amp;"'"&amp;"!b:b"),"建筑物成本比率",INDIRECT("'"&amp;D33&amp;"'"&amp;"!c:c"))))</f>
        <v>0.1</v>
      </c>
      <c r="E35" s="2461" t="s">
        <v>2164</v>
      </c>
      <c r="F35" s="163"/>
      <c r="G35" s="138"/>
      <c r="H35" s="138"/>
      <c r="I35" s="138"/>
    </row>
    <row r="36" spans="1:15" ht="15.75" thickBot="1">
      <c r="A36" s="3171" t="s">
        <v>2165</v>
      </c>
      <c r="B36" s="2462" t="s">
        <v>2166</v>
      </c>
      <c r="C36" s="154"/>
      <c r="D36" s="2463"/>
      <c r="E36" s="2464"/>
      <c r="F36" s="2465"/>
      <c r="G36" s="138"/>
      <c r="H36" s="138"/>
      <c r="I36" s="138"/>
    </row>
    <row r="37" spans="1:15" ht="15.75" thickBot="1">
      <c r="A37" s="3172"/>
      <c r="B37" s="2267" t="s">
        <v>2167</v>
      </c>
      <c r="C37" s="156"/>
      <c r="D37" s="1392"/>
      <c r="E37" s="1392"/>
      <c r="F37" s="2465"/>
      <c r="G37" s="138"/>
      <c r="H37" s="138"/>
      <c r="I37" s="138"/>
    </row>
    <row r="38" spans="1:15" ht="15.75" thickBot="1">
      <c r="A38" s="3173"/>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88" t="s">
        <v>2179</v>
      </c>
      <c r="B45" s="3189"/>
      <c r="C45" s="3190"/>
      <c r="D45" s="164">
        <f ca="1">ROUND(H101*F45,0)</f>
        <v>121774</v>
      </c>
      <c r="E45" s="165" t="s">
        <v>2180</v>
      </c>
      <c r="F45" s="166">
        <v>1</v>
      </c>
      <c r="G45" s="167" t="s">
        <v>2181</v>
      </c>
      <c r="H45" s="138"/>
      <c r="I45" s="138"/>
      <c r="J45" s="3107" t="s">
        <v>2182</v>
      </c>
      <c r="K45" s="3107"/>
      <c r="L45" s="3107"/>
      <c r="M45" s="3107"/>
      <c r="N45" s="3107"/>
      <c r="O45" s="3107"/>
    </row>
    <row r="46" spans="1:15" ht="14.25" customHeight="1">
      <c r="A46" s="3185" t="s">
        <v>2183</v>
      </c>
      <c r="B46" s="3186"/>
      <c r="C46" s="3186"/>
      <c r="D46" s="3186"/>
      <c r="E46" s="3186"/>
      <c r="F46" s="3186"/>
      <c r="G46" s="3187"/>
      <c r="H46" s="2481"/>
      <c r="I46" s="168"/>
      <c r="J46" s="1809">
        <v>1</v>
      </c>
      <c r="K46" s="3107" t="s">
        <v>2184</v>
      </c>
      <c r="L46" s="3107"/>
      <c r="M46" s="3108"/>
      <c r="N46" s="3108"/>
      <c r="O46" s="3108"/>
    </row>
    <row r="47" spans="1:15" ht="12" customHeight="1">
      <c r="A47" s="169" t="s">
        <v>2185</v>
      </c>
      <c r="B47" s="170"/>
      <c r="C47" s="171"/>
      <c r="D47" s="172" t="s">
        <v>2186</v>
      </c>
      <c r="E47" s="24" t="s">
        <v>2187</v>
      </c>
      <c r="F47" s="173" t="s">
        <v>2188</v>
      </c>
      <c r="G47" s="174" t="s">
        <v>2189</v>
      </c>
      <c r="H47" s="2481"/>
      <c r="I47" s="168"/>
      <c r="J47" s="1809">
        <v>2</v>
      </c>
      <c r="K47" s="3107" t="s">
        <v>2190</v>
      </c>
      <c r="L47" s="3107"/>
      <c r="M47" s="3109">
        <f>'数据-取费表'!B2</f>
        <v>43603</v>
      </c>
      <c r="N47" s="3109"/>
      <c r="O47" s="3109"/>
    </row>
    <row r="48" spans="1:15" ht="25.5">
      <c r="A48" s="3175" t="s">
        <v>2191</v>
      </c>
      <c r="B48" s="3176"/>
      <c r="C48" s="3176"/>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07" t="s">
        <v>2194</v>
      </c>
      <c r="L48" s="3107"/>
      <c r="M48" s="3110">
        <f ca="1">H101</f>
        <v>121774</v>
      </c>
      <c r="N48" s="3110"/>
      <c r="O48" s="3110"/>
    </row>
    <row r="49" spans="1:35" ht="25.5" customHeight="1">
      <c r="A49" s="176" t="s">
        <v>2195</v>
      </c>
      <c r="B49" s="3155" t="s">
        <v>2196</v>
      </c>
      <c r="C49" s="3155"/>
      <c r="D49" s="177">
        <v>0</v>
      </c>
      <c r="E49" s="23" t="s">
        <v>2197</v>
      </c>
      <c r="F49" s="28" t="s">
        <v>34</v>
      </c>
      <c r="G49" s="3136"/>
      <c r="H49" s="138"/>
      <c r="I49" s="2484"/>
      <c r="J49" s="1809">
        <v>4</v>
      </c>
      <c r="K49" s="3107" t="str">
        <f>IF(项目基本情况!E8="房地产抵押价值","房地产抵押价值","抵押担保权已注销时的房地产抵押价值")</f>
        <v>房地产抵押价值</v>
      </c>
      <c r="L49" s="3107"/>
      <c r="M49" s="3110">
        <f ca="1">IF(项目基本情况!E8="房地产抵押价值",H107,H109)</f>
        <v>121774</v>
      </c>
      <c r="N49" s="3110"/>
      <c r="O49" s="3110"/>
    </row>
    <row r="50" spans="1:35" ht="25.5" customHeight="1">
      <c r="A50" s="178"/>
      <c r="B50" s="3155" t="s">
        <v>2198</v>
      </c>
      <c r="C50" s="3155"/>
      <c r="D50" s="179"/>
      <c r="E50" s="31"/>
      <c r="F50" s="180"/>
      <c r="G50" s="3137"/>
      <c r="H50" s="138"/>
      <c r="I50" s="2484"/>
      <c r="J50" s="3107" t="s">
        <v>2199</v>
      </c>
      <c r="K50" s="3107"/>
      <c r="L50" s="3107"/>
      <c r="M50" s="3107"/>
      <c r="N50" s="3107"/>
      <c r="O50" s="3107"/>
    </row>
    <row r="51" spans="1:35" ht="12" customHeight="1">
      <c r="A51" s="181"/>
      <c r="B51" s="3155" t="s">
        <v>2200</v>
      </c>
      <c r="C51" s="3155"/>
      <c r="D51" s="182"/>
      <c r="E51" s="30"/>
      <c r="F51" s="180"/>
      <c r="G51" s="3138"/>
      <c r="H51" s="138"/>
      <c r="I51" s="2484"/>
      <c r="J51" s="2485" t="s">
        <v>2201</v>
      </c>
      <c r="K51" s="3107" t="s">
        <v>2202</v>
      </c>
      <c r="L51" s="3107"/>
      <c r="M51" s="2485" t="s">
        <v>2203</v>
      </c>
      <c r="N51" s="2485" t="s">
        <v>2204</v>
      </c>
      <c r="O51" s="2485" t="s">
        <v>2205</v>
      </c>
    </row>
    <row r="52" spans="1:35" ht="24" customHeight="1">
      <c r="A52" s="183" t="s">
        <v>2206</v>
      </c>
      <c r="B52" s="3155" t="s">
        <v>2207</v>
      </c>
      <c r="C52" s="3155"/>
      <c r="D52" s="182">
        <f ca="1">ROUND(D45*'数据-取费表'!B41/(1+'数据-取费表'!C42),0)</f>
        <v>6379</v>
      </c>
      <c r="E52" s="11" t="s">
        <v>2208</v>
      </c>
      <c r="F52" s="184">
        <f>'数据-取费表'!B41</f>
        <v>5.5000000000000007E-2</v>
      </c>
      <c r="G52" s="2486"/>
      <c r="H52" s="138"/>
      <c r="I52" s="2484"/>
      <c r="J52" s="1809">
        <v>1</v>
      </c>
      <c r="K52" s="3130" t="s">
        <v>2209</v>
      </c>
      <c r="L52" s="3130"/>
      <c r="M52" s="1751">
        <f>D48</f>
        <v>0</v>
      </c>
      <c r="N52" s="1809" t="str">
        <f>E48</f>
        <v>销售额×税（费）率</v>
      </c>
      <c r="O52" s="1752" t="str">
        <f>F48</f>
        <v>免征</v>
      </c>
    </row>
    <row r="53" spans="1:35" ht="12" customHeight="1">
      <c r="A53" s="183" t="s">
        <v>2210</v>
      </c>
      <c r="B53" s="3156" t="s">
        <v>2211</v>
      </c>
      <c r="C53" s="3157"/>
      <c r="D53" s="182">
        <f ca="1">ROUND(D45*'数据-取费表'!B41/(1+'数据-取费表'!C42),0)</f>
        <v>6379</v>
      </c>
      <c r="E53" s="11" t="s">
        <v>2208</v>
      </c>
      <c r="F53" s="184">
        <f>'数据-取费表'!B41</f>
        <v>5.5000000000000007E-2</v>
      </c>
      <c r="G53" s="2486"/>
      <c r="H53" s="138"/>
      <c r="I53" s="2484"/>
      <c r="J53" s="1809">
        <v>2</v>
      </c>
      <c r="K53" s="3130" t="s">
        <v>2212</v>
      </c>
      <c r="L53" s="3130"/>
      <c r="M53" s="1751">
        <f t="shared" ref="M53:O54" ca="1" si="0">D55</f>
        <v>61</v>
      </c>
      <c r="N53" s="1809" t="str">
        <f t="shared" si="0"/>
        <v>销售额×税（费）率</v>
      </c>
      <c r="O53" s="1752">
        <f t="shared" si="0"/>
        <v>5.0000000000000001E-4</v>
      </c>
    </row>
    <row r="54" spans="1:35" ht="12" customHeight="1">
      <c r="A54" s="183" t="s">
        <v>2213</v>
      </c>
      <c r="B54" s="3156" t="s">
        <v>2214</v>
      </c>
      <c r="C54" s="3157"/>
      <c r="D54" s="182">
        <f ca="1">C68</f>
        <v>6379</v>
      </c>
      <c r="E54" s="30" t="s">
        <v>2215</v>
      </c>
      <c r="F54" s="184">
        <f>'数据-取费表'!B41</f>
        <v>5.5000000000000007E-2</v>
      </c>
      <c r="G54" s="2486"/>
      <c r="H54" s="2487"/>
      <c r="I54" s="2484"/>
      <c r="J54" s="1809">
        <v>3</v>
      </c>
      <c r="K54" s="3130" t="s">
        <v>2216</v>
      </c>
      <c r="L54" s="3130"/>
      <c r="M54" s="1751">
        <f t="shared" ca="1" si="0"/>
        <v>69034</v>
      </c>
      <c r="N54" s="1809" t="str">
        <f t="shared" si="0"/>
        <v>增值额×税（费）率</v>
      </c>
      <c r="O54" s="1753" t="str">
        <f t="shared" si="0"/>
        <v>——</v>
      </c>
    </row>
    <row r="55" spans="1:35" ht="24" customHeight="1">
      <c r="A55" s="3194" t="s">
        <v>2217</v>
      </c>
      <c r="B55" s="3176"/>
      <c r="C55" s="3176"/>
      <c r="D55" s="185">
        <f ca="1">IF(H55="个人住宅",0,ROUND(D45*I55,0))</f>
        <v>61</v>
      </c>
      <c r="E55" s="11" t="s">
        <v>2218</v>
      </c>
      <c r="F55" s="184">
        <f>IF(H55="正常",I55,"免征")</f>
        <v>5.0000000000000001E-4</v>
      </c>
      <c r="G55" s="2486"/>
      <c r="H55" s="2483" t="s">
        <v>2219</v>
      </c>
      <c r="I55" s="186">
        <f>'数据-取费表'!B49</f>
        <v>5.0000000000000001E-4</v>
      </c>
      <c r="J55" s="1809" t="str">
        <f>IF(H59="非个人房产","",4)</f>
        <v/>
      </c>
      <c r="K55" s="3130" t="str">
        <f>IF(H59="非个人房产","——","个人所得税")</f>
        <v>——</v>
      </c>
      <c r="L55" s="3130"/>
      <c r="M55" s="1754" t="str">
        <f>D59</f>
        <v>——</v>
      </c>
      <c r="N55" s="1807" t="str">
        <f>E59</f>
        <v>——</v>
      </c>
      <c r="O55" s="1755" t="str">
        <f>F59</f>
        <v>——</v>
      </c>
    </row>
    <row r="56" spans="1:35" ht="24.75">
      <c r="A56" s="3194" t="s">
        <v>2220</v>
      </c>
      <c r="B56" s="3176"/>
      <c r="C56" s="3176"/>
      <c r="D56" s="185">
        <f ca="1">IF(H56="个人住宅",D57,D58)</f>
        <v>69034</v>
      </c>
      <c r="E56" s="11" t="s">
        <v>2221</v>
      </c>
      <c r="F56" s="184" t="str">
        <f>IF(H56="正常",F58,"免征")</f>
        <v>——</v>
      </c>
      <c r="G56" s="2488" t="s">
        <v>2222</v>
      </c>
      <c r="H56" s="2489" t="s">
        <v>2219</v>
      </c>
      <c r="I56" s="2490"/>
      <c r="J56" s="1809" t="str">
        <f>IF(项目基本情况!K6="上海银行",IF(J55="",4,J55+1),"")</f>
        <v/>
      </c>
      <c r="K56" s="3113" t="str">
        <f>IF(项目基本情况!K6="上海银行","其他处置费用","")</f>
        <v/>
      </c>
      <c r="L56" s="3114"/>
      <c r="M56" s="1751" t="str">
        <f>IF(项目基本情况!K6="上海银行",M69,"")</f>
        <v/>
      </c>
      <c r="N56" s="3116" t="str">
        <f>IF(项目基本情况!K6="上海银行","包含处置中涉及的律师、诉讼、拍卖、评估等费用","")</f>
        <v/>
      </c>
      <c r="O56" s="3117"/>
    </row>
    <row r="57" spans="1:35" ht="12.75">
      <c r="A57" s="183" t="s">
        <v>2195</v>
      </c>
      <c r="B57" s="3161" t="s">
        <v>2223</v>
      </c>
      <c r="C57" s="3162"/>
      <c r="D57" s="187">
        <v>0</v>
      </c>
      <c r="E57" s="23" t="s">
        <v>2197</v>
      </c>
      <c r="F57" s="155"/>
      <c r="G57" s="2486"/>
      <c r="H57" s="2490"/>
      <c r="I57" s="2490"/>
      <c r="J57" s="3130">
        <f>IF(AND(J55="",J56=""),4,IF(项目基本情况!K6="上海银行",结果表!J56+1,结果表!J55+1))</f>
        <v>4</v>
      </c>
      <c r="K57" s="3130" t="s">
        <v>2224</v>
      </c>
      <c r="L57" s="2491" t="s">
        <v>2225</v>
      </c>
      <c r="M57" s="1756"/>
      <c r="N57" s="1757">
        <f ca="1">SUMIF(M52:M56,"&lt;9e307")</f>
        <v>69095</v>
      </c>
      <c r="O57" s="2492"/>
      <c r="P57" s="1750">
        <f ca="1">N57/M49</f>
        <v>0.56740355084008076</v>
      </c>
    </row>
    <row r="58" spans="1:35" ht="24.75">
      <c r="A58" s="183" t="s">
        <v>2206</v>
      </c>
      <c r="B58" s="3161" t="s">
        <v>2226</v>
      </c>
      <c r="C58" s="3174"/>
      <c r="D58" s="185">
        <f ca="1">IF(H58="转让取得",C81,C97)</f>
        <v>69034</v>
      </c>
      <c r="E58" s="11" t="s">
        <v>2221</v>
      </c>
      <c r="F58" s="24" t="s">
        <v>34</v>
      </c>
      <c r="G58" s="2486"/>
      <c r="H58" s="2489" t="s">
        <v>2227</v>
      </c>
      <c r="I58" s="2490"/>
      <c r="J58" s="3130"/>
      <c r="K58" s="3130"/>
      <c r="L58" s="2491" t="s">
        <v>2228</v>
      </c>
      <c r="M58" s="1758"/>
      <c r="N58" s="2493" t="str">
        <f ca="1">NUMBERSTRING(INT(N57*10000),2)&amp;"元整"</f>
        <v>陆亿玖仟零玖拾伍万元整</v>
      </c>
      <c r="O58" s="2494"/>
    </row>
    <row r="59" spans="1:35" ht="24.75" thickBot="1">
      <c r="A59" s="3134" t="s">
        <v>2229</v>
      </c>
      <c r="B59" s="3135"/>
      <c r="C59" s="3135"/>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32">
        <f>J57+1</f>
        <v>5</v>
      </c>
      <c r="K59" s="3130" t="s">
        <v>2231</v>
      </c>
      <c r="L59" s="1809" t="s">
        <v>2225</v>
      </c>
      <c r="M59" s="1759"/>
      <c r="N59" s="1760">
        <f ca="1">M49-N57</f>
        <v>52679</v>
      </c>
      <c r="O59" s="2496"/>
    </row>
    <row r="60" spans="1:35" ht="12" customHeight="1">
      <c r="A60" s="2497"/>
      <c r="B60" s="2419"/>
      <c r="C60" s="2419"/>
      <c r="D60" s="2419"/>
      <c r="E60" s="2167"/>
      <c r="F60" s="2490"/>
      <c r="G60" s="2490"/>
      <c r="H60" s="2498"/>
      <c r="I60" s="138"/>
      <c r="J60" s="3133"/>
      <c r="K60" s="3130"/>
      <c r="L60" s="2491" t="s">
        <v>2228</v>
      </c>
      <c r="M60" s="1758"/>
      <c r="N60" s="2493" t="str">
        <f ca="1">NUMBERSTRING(INT(N59*10000),2)&amp;"元整"</f>
        <v>伍亿贰仟陆佰柒拾玖万元整</v>
      </c>
      <c r="O60" s="2494"/>
    </row>
    <row r="61" spans="1:35" ht="13.5" thickBot="1">
      <c r="A61" s="3193" t="s">
        <v>2232</v>
      </c>
      <c r="B61" s="3193"/>
      <c r="C61" s="3193"/>
      <c r="D61" s="3193"/>
      <c r="E61" s="3193"/>
      <c r="F61" s="2490"/>
      <c r="G61" s="2490"/>
      <c r="H61" s="2498"/>
      <c r="I61" s="138"/>
      <c r="J61" s="1809">
        <f>J59+1</f>
        <v>6</v>
      </c>
      <c r="K61" s="3130" t="s">
        <v>2233</v>
      </c>
      <c r="L61" s="3130"/>
      <c r="M61" s="1761"/>
      <c r="N61" s="1762">
        <f ca="1">ROUND(N59*10000/'数据-汇总表'!E3,0)</f>
        <v>10848</v>
      </c>
      <c r="O61" s="2499"/>
    </row>
    <row r="62" spans="1:35" ht="12.75">
      <c r="A62" s="3150" t="s">
        <v>2234</v>
      </c>
      <c r="B62" s="3151"/>
      <c r="C62" s="1801"/>
      <c r="D62" s="1801" t="s">
        <v>2235</v>
      </c>
      <c r="E62" s="192" t="s">
        <v>2236</v>
      </c>
      <c r="F62" s="2490"/>
      <c r="G62" s="2490"/>
      <c r="H62" s="2498"/>
      <c r="I62" s="138"/>
    </row>
    <row r="63" spans="1:35" ht="12.75">
      <c r="A63" s="203" t="s">
        <v>775</v>
      </c>
      <c r="B63" s="193" t="s">
        <v>2237</v>
      </c>
      <c r="C63" s="194">
        <f ca="1">ROUND((C64+C65)/(1+'数据-取费表'!C42),0)</f>
        <v>115975</v>
      </c>
      <c r="D63" s="195"/>
      <c r="E63" s="196"/>
      <c r="F63" s="2490"/>
      <c r="G63" s="2490"/>
      <c r="H63" s="2498"/>
      <c r="I63" s="138"/>
      <c r="J63" s="3115" t="s">
        <v>2238</v>
      </c>
      <c r="K63" s="2500" t="s">
        <v>2239</v>
      </c>
      <c r="L63" s="1749">
        <f ca="1">IF(M49&gt;10000,M49*0.5%,IF(AND(M49&gt;1000,M49&lt;=10000),M49*1%,IF(AND(M49&gt;100,M49&lt;=1000),M49*3%,IF(AND(M49&gt;10,M49&lt;=100),M49*5%,M49*8%))))</f>
        <v>608.87</v>
      </c>
      <c r="M63" s="24">
        <f ca="1">ROUND(L63,1)</f>
        <v>608.9</v>
      </c>
      <c r="Z63" s="2424"/>
      <c r="AI63" s="2425"/>
    </row>
    <row r="64" spans="1:35" ht="14.25" customHeight="1">
      <c r="A64" s="197" t="s">
        <v>770</v>
      </c>
      <c r="B64" s="198" t="s">
        <v>2240</v>
      </c>
      <c r="C64" s="199">
        <f ca="1">D45</f>
        <v>121774</v>
      </c>
      <c r="D64" s="200" t="s">
        <v>32</v>
      </c>
      <c r="E64" s="201"/>
      <c r="F64" s="2490"/>
      <c r="G64" s="2490"/>
      <c r="H64" s="2498"/>
      <c r="I64" s="138"/>
      <c r="J64" s="3115"/>
      <c r="K64" s="2500" t="s">
        <v>2241</v>
      </c>
      <c r="L64" s="1749">
        <f ca="1">IF(M49&gt;2000,M49*0.5%,IF(AND(M49&gt;1000,M49&lt;=2000),M49*0.6%,IF(AND(M49&gt;500,M49&lt;=1000),M49*0.7%,IF(AND(M49&gt;200,M49&lt;=500),M49*0.8%,IF(AND(M49&gt;100,M49&lt;=200),M49*0.9%,IF(AND(M49&gt;50,M49&lt;=100),M49*1%,IF(AND(M49&gt;20,M49&lt;=50),M49*1.5%,IF(AND(M49&gt;10,M49&lt;=20),M49*2%,IF(AND(M49&gt;1,M49&lt;=10),M49*2.5%)))))))))</f>
        <v>608.87</v>
      </c>
      <c r="M64" s="24">
        <f t="shared" ref="M64:M65" ca="1" si="1">ROUND(L64,1)</f>
        <v>608.9</v>
      </c>
      <c r="N64" s="138" t="s">
        <v>2242</v>
      </c>
      <c r="Z64" s="2424"/>
      <c r="AI64" s="2425"/>
    </row>
    <row r="65" spans="1:35" ht="14.25" customHeight="1">
      <c r="A65" s="197" t="s">
        <v>771</v>
      </c>
      <c r="B65" s="198" t="s">
        <v>2243</v>
      </c>
      <c r="C65" s="202"/>
      <c r="D65" s="200"/>
      <c r="E65" s="201"/>
      <c r="F65" s="2490"/>
      <c r="G65" s="2490"/>
      <c r="H65" s="2498"/>
      <c r="I65" s="138"/>
      <c r="J65" s="3115"/>
      <c r="K65" s="2500" t="s">
        <v>2244</v>
      </c>
      <c r="L65" s="1749">
        <f ca="1">IF(M49&gt;1000,M49*0.1%,IF(AND(M49&gt;500,M49&lt;=1000),M49*0.5%,IF(AND(M49&gt;50,M49&lt;=500),M49*1%,IF(AND(M49&gt;1,M49&lt;=50),M49*1.5%))))</f>
        <v>121.774</v>
      </c>
      <c r="M65" s="24">
        <f t="shared" ca="1" si="1"/>
        <v>121.8</v>
      </c>
      <c r="N65" s="138" t="s">
        <v>2242</v>
      </c>
      <c r="Z65" s="2424"/>
      <c r="AI65" s="2425"/>
    </row>
    <row r="66" spans="1:35" ht="14.25" customHeight="1">
      <c r="A66" s="203" t="s">
        <v>772</v>
      </c>
      <c r="B66" s="204" t="s">
        <v>2245</v>
      </c>
      <c r="C66" s="205"/>
      <c r="D66" s="206" t="s">
        <v>32</v>
      </c>
      <c r="E66" s="1773" t="s">
        <v>1361</v>
      </c>
      <c r="F66" s="2490"/>
      <c r="G66" s="2490"/>
      <c r="H66" s="2498"/>
      <c r="I66" s="138"/>
      <c r="J66" s="3115"/>
      <c r="K66" s="2500" t="s">
        <v>2246</v>
      </c>
      <c r="L66" s="1749">
        <f ca="1">M49*0.5%</f>
        <v>608.87</v>
      </c>
      <c r="M66" s="24">
        <f ca="1">IF(L66&gt;0.5,0.5,ROUND(L66,0))</f>
        <v>0.5</v>
      </c>
      <c r="N66" s="138" t="s">
        <v>2247</v>
      </c>
      <c r="Z66" s="2424"/>
      <c r="AI66" s="2425"/>
    </row>
    <row r="67" spans="1:35" ht="14.25" customHeight="1">
      <c r="A67" s="203" t="s">
        <v>773</v>
      </c>
      <c r="B67" s="204" t="s">
        <v>2248</v>
      </c>
      <c r="C67" s="207">
        <f ca="1">C63-C66</f>
        <v>115975</v>
      </c>
      <c r="D67" s="200" t="s">
        <v>32</v>
      </c>
      <c r="E67" s="201"/>
      <c r="F67" s="2490"/>
      <c r="G67" s="2490"/>
      <c r="H67" s="2498"/>
      <c r="I67" s="138"/>
      <c r="J67" s="3115"/>
      <c r="K67" s="2500" t="s">
        <v>2249</v>
      </c>
      <c r="L67" s="1749">
        <f ca="1">IF(M49&gt;=10000,(8.25+(M49-10000)*0.01%),IF(AND(M49&gt;=8000,M49&lt;10000),(7.85+(M49-8000)*0.02%),IF(AND(M49&gt;=5000,M49&lt;8000),(6.65+(M49-5000)*0.04%),IF(AND(M49&gt;=2000,M49&lt;5000),(4.25+(PM49-2000)*0.08%),IF(AND(M49&gt;=1000,M49&lt;2000),(2.75+(M49-1000)*0.15%),IF(AND(M49&gt;=100,M49&lt;1000),(0.5+(M49-100)*0.25%),IF(AND(M49&gt;0,M49&lt;100),M49*0.5%)))))))</f>
        <v>19.427399999999999</v>
      </c>
      <c r="M67" s="24">
        <f ca="1">ROUND(L67*0.9,1)</f>
        <v>17.5</v>
      </c>
      <c r="Z67" s="2424"/>
      <c r="AI67" s="2425"/>
    </row>
    <row r="68" spans="1:35" ht="14.25" customHeight="1" thickBot="1">
      <c r="A68" s="208" t="s">
        <v>774</v>
      </c>
      <c r="B68" s="209" t="s">
        <v>2250</v>
      </c>
      <c r="C68" s="210">
        <f ca="1">IF(C67&lt;=0,0,ROUND(C67*D68,0))</f>
        <v>6379</v>
      </c>
      <c r="D68" s="211">
        <f>'数据-取费表'!B41</f>
        <v>5.5000000000000007E-2</v>
      </c>
      <c r="E68" s="212"/>
      <c r="F68" s="2490"/>
      <c r="G68" s="2490"/>
      <c r="H68" s="2498"/>
      <c r="I68" s="138"/>
      <c r="J68" s="3115"/>
      <c r="K68" s="2500" t="s">
        <v>2251</v>
      </c>
      <c r="L68" s="1749">
        <f ca="1">IF(M49&gt;10000,M49*0.5%,IF(AND(M49&gt;5000,M49&lt;=10000),M49*1%,IF(AND(M49&gt;1000,M49&lt;=5000),M49*2%,IF(AND(M49&gt;200,M49&lt;=1000),M49*3%,M49*5%))))</f>
        <v>608.87</v>
      </c>
      <c r="M68" s="24">
        <f ca="1">ROUND(L68,1)</f>
        <v>608.9</v>
      </c>
      <c r="Z68" s="2424"/>
      <c r="AI68" s="2425"/>
    </row>
    <row r="69" spans="1:35" s="2447" customFormat="1" ht="16.5" customHeight="1">
      <c r="A69" s="2501"/>
      <c r="B69" s="2502"/>
      <c r="C69" s="2503"/>
      <c r="D69" s="2504"/>
      <c r="E69" s="2505"/>
      <c r="F69" s="2167"/>
      <c r="G69" s="2167"/>
      <c r="H69" s="2166"/>
      <c r="I69" s="2419"/>
      <c r="J69" s="3115"/>
      <c r="K69" s="2500" t="s">
        <v>2252</v>
      </c>
      <c r="L69" s="2506"/>
      <c r="M69" s="24">
        <f ca="1">ROUND(SUM(M63:M68),0)</f>
        <v>1967</v>
      </c>
      <c r="N69" s="1750">
        <f ca="1">M69/M49</f>
        <v>1.6152873355560302E-2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9" t="s">
        <v>2253</v>
      </c>
      <c r="B70" s="3160"/>
      <c r="C70" s="3160"/>
      <c r="D70" s="3160"/>
      <c r="E70" s="3160"/>
      <c r="F70" s="3160"/>
      <c r="G70" s="3160"/>
      <c r="H70" s="316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50" t="s">
        <v>2234</v>
      </c>
      <c r="B71" s="3151"/>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115975</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580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56" t="s">
        <v>2262</v>
      </c>
      <c r="F76" s="3155"/>
      <c r="G76" s="3155"/>
      <c r="H76" s="315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580</v>
      </c>
      <c r="D78" s="226">
        <f>'数据-取费表'!B43</f>
        <v>5.000000000000001E-3</v>
      </c>
      <c r="E78" s="3147" t="s">
        <v>2267</v>
      </c>
      <c r="F78" s="3148"/>
      <c r="G78" s="3148"/>
      <c r="H78" s="314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115395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198.95689655172413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69034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9" t="s">
        <v>2271</v>
      </c>
      <c r="B83" s="3160"/>
      <c r="C83" s="3160"/>
      <c r="D83" s="3160"/>
      <c r="E83" s="3160"/>
      <c r="F83" s="3160"/>
      <c r="G83" s="3160"/>
      <c r="H83" s="316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50" t="s">
        <v>2234</v>
      </c>
      <c r="B84" s="3151"/>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115975</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580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47" t="s">
        <v>2280</v>
      </c>
      <c r="F91" s="3148"/>
      <c r="G91" s="3148"/>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47" t="s">
        <v>2284</v>
      </c>
      <c r="F92" s="3148"/>
      <c r="G92" s="3148"/>
      <c r="H92" s="314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580</v>
      </c>
      <c r="D93" s="226">
        <f>'数据-取费表'!B43</f>
        <v>5.000000000000001E-3</v>
      </c>
      <c r="E93" s="3147" t="s">
        <v>2267</v>
      </c>
      <c r="F93" s="3148"/>
      <c r="G93" s="3148"/>
      <c r="H93" s="314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95" t="s">
        <v>2288</v>
      </c>
      <c r="F94" s="3196"/>
      <c r="G94" s="3196"/>
      <c r="H94" s="319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115395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198.95689655172413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69034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99" t="s">
        <v>2290</v>
      </c>
      <c r="B100" s="3100"/>
      <c r="C100" s="3100"/>
      <c r="D100" s="3131"/>
      <c r="E100" s="3100" t="s">
        <v>2291</v>
      </c>
      <c r="F100" s="3100"/>
      <c r="G100" s="3100"/>
      <c r="H100" s="3131"/>
      <c r="I100" s="138"/>
    </row>
    <row r="101" spans="1:35" ht="18.75" customHeight="1">
      <c r="A101" s="3139" t="s">
        <v>2292</v>
      </c>
      <c r="B101" s="3140"/>
      <c r="C101" s="736" t="str">
        <f>C4</f>
        <v>成本法</v>
      </c>
      <c r="D101" s="737" t="str">
        <f>D4</f>
        <v>假设开发法</v>
      </c>
      <c r="E101" s="3111" t="s">
        <v>2293</v>
      </c>
      <c r="F101" s="3112"/>
      <c r="G101" s="2521" t="s">
        <v>2294</v>
      </c>
      <c r="H101" s="1045">
        <f ca="1">H118</f>
        <v>121774</v>
      </c>
      <c r="I101" s="138"/>
    </row>
    <row r="102" spans="1:35" ht="18.75" customHeight="1">
      <c r="A102" s="3141" t="s">
        <v>2295</v>
      </c>
      <c r="B102" s="2521" t="s">
        <v>2294</v>
      </c>
      <c r="C102" s="736">
        <f ca="1">C19</f>
        <v>178976</v>
      </c>
      <c r="D102" s="737">
        <f ca="1">D19</f>
        <v>74973</v>
      </c>
      <c r="E102" s="3111"/>
      <c r="F102" s="3112"/>
      <c r="G102" s="2521" t="s">
        <v>2296</v>
      </c>
      <c r="H102" s="371">
        <f ca="1">I118</f>
        <v>25076</v>
      </c>
      <c r="I102" s="138"/>
    </row>
    <row r="103" spans="1:35" ht="42.75" customHeight="1">
      <c r="A103" s="3141"/>
      <c r="B103" s="2521" t="s">
        <v>2296</v>
      </c>
      <c r="C103" s="738">
        <f ca="1">C20</f>
        <v>36855</v>
      </c>
      <c r="D103" s="739">
        <f ca="1">D20</f>
        <v>15439</v>
      </c>
      <c r="E103" s="3105" t="s">
        <v>2297</v>
      </c>
      <c r="F103" s="3106"/>
      <c r="G103" s="2522" t="s">
        <v>2298</v>
      </c>
      <c r="H103" s="1045">
        <f>IF(D36="正常操作",H104+H105+H106,H105+H106)</f>
        <v>0</v>
      </c>
      <c r="I103" s="138"/>
    </row>
    <row r="104" spans="1:35" ht="18.75" customHeight="1">
      <c r="A104" s="3141" t="s">
        <v>2299</v>
      </c>
      <c r="B104" s="2523" t="s">
        <v>2294</v>
      </c>
      <c r="C104" s="740">
        <f ca="1">H118</f>
        <v>121774</v>
      </c>
      <c r="D104" s="741"/>
      <c r="E104" s="2267" t="s">
        <v>2300</v>
      </c>
      <c r="F104" s="2259"/>
      <c r="G104" s="2522" t="s">
        <v>2298</v>
      </c>
      <c r="H104" s="1046">
        <f>IF(D36="同一抵押权人同一抵押物续贷",C36&amp;"（未扣减，详见特别提示）",C36)</f>
        <v>0</v>
      </c>
      <c r="I104" s="138"/>
    </row>
    <row r="105" spans="1:35" ht="18.75" customHeight="1" thickBot="1">
      <c r="A105" s="3153"/>
      <c r="B105" s="2524" t="s">
        <v>2296</v>
      </c>
      <c r="C105" s="742">
        <f ca="1">I118</f>
        <v>25076</v>
      </c>
      <c r="D105" s="743"/>
      <c r="E105" s="2267" t="s">
        <v>2301</v>
      </c>
      <c r="F105" s="2259"/>
      <c r="G105" s="2522" t="s">
        <v>2298</v>
      </c>
      <c r="H105" s="1046">
        <f>C37</f>
        <v>0</v>
      </c>
      <c r="I105" s="138"/>
    </row>
    <row r="106" spans="1:35" ht="18.75" customHeight="1">
      <c r="A106" s="2419" t="s">
        <v>2302</v>
      </c>
      <c r="B106" s="2419"/>
      <c r="C106" s="2419"/>
      <c r="D106" s="2419"/>
      <c r="E106" s="2525" t="s">
        <v>2303</v>
      </c>
      <c r="F106" s="2259"/>
      <c r="G106" s="2522" t="s">
        <v>2298</v>
      </c>
      <c r="H106" s="1046">
        <f>C38</f>
        <v>0</v>
      </c>
      <c r="I106" s="138"/>
    </row>
    <row r="107" spans="1:35" ht="18.75" customHeight="1">
      <c r="A107" s="138"/>
      <c r="B107" s="138"/>
      <c r="C107" s="138"/>
      <c r="D107" s="138"/>
      <c r="E107" s="3142" t="str">
        <f>IF(项目基本情况!E8="已注销","——","3.房地产抵押价值")</f>
        <v>3.房地产抵押价值</v>
      </c>
      <c r="F107" s="3112"/>
      <c r="G107" s="2521" t="s">
        <v>2294</v>
      </c>
      <c r="H107" s="1045">
        <f ca="1">IF(E107="——","——",H101-H103)</f>
        <v>121774</v>
      </c>
      <c r="I107" s="138"/>
    </row>
    <row r="108" spans="1:35" ht="18.75" customHeight="1">
      <c r="A108" s="138"/>
      <c r="B108" s="138"/>
      <c r="C108" s="138"/>
      <c r="D108" s="138"/>
      <c r="E108" s="3142"/>
      <c r="F108" s="3112"/>
      <c r="G108" s="2521" t="s">
        <v>2296</v>
      </c>
      <c r="H108" s="371">
        <f ca="1">ROUND(H107*10000/'数据-汇总表'!E3,0)</f>
        <v>25076</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12"/>
      <c r="G109" s="2521" t="s">
        <v>2294</v>
      </c>
      <c r="H109" s="348" t="str">
        <f>IF(E109="——","——",H101-H105-H106)</f>
        <v>——</v>
      </c>
      <c r="I109" s="138"/>
    </row>
    <row r="110" spans="1:35" ht="18.75" customHeight="1">
      <c r="A110" s="138"/>
      <c r="B110" s="138"/>
      <c r="C110" s="138"/>
      <c r="D110" s="138"/>
      <c r="E110" s="3142"/>
      <c r="F110" s="3112"/>
      <c r="G110" s="2521" t="s">
        <v>2296</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21" t="s">
        <v>2294</v>
      </c>
      <c r="H111" s="1045" t="str">
        <f>IF(E111="——","——",N59)</f>
        <v>——</v>
      </c>
      <c r="I111" s="138"/>
    </row>
    <row r="112" spans="1:35" ht="18.75" customHeight="1" thickBot="1">
      <c r="A112" s="138"/>
      <c r="B112" s="138"/>
      <c r="C112" s="138"/>
      <c r="D112" s="138"/>
      <c r="E112" s="3145"/>
      <c r="F112" s="3146"/>
      <c r="G112" s="2526" t="s">
        <v>2296</v>
      </c>
      <c r="H112" s="790" t="str">
        <f>IF(E111="——","——",N61)</f>
        <v>——</v>
      </c>
      <c r="I112" s="138"/>
    </row>
    <row r="113" spans="1:11" ht="18.75" customHeight="1">
      <c r="A113" s="138"/>
      <c r="B113" s="138"/>
      <c r="C113" s="138"/>
      <c r="D113" s="138"/>
      <c r="E113" s="3154" t="s">
        <v>2302</v>
      </c>
      <c r="F113" s="3154"/>
      <c r="G113" s="3154"/>
      <c r="H113" s="3154"/>
      <c r="I113" s="138"/>
    </row>
    <row r="114" spans="1:11" ht="3.75" customHeight="1">
      <c r="A114" s="2419"/>
      <c r="B114" s="2419"/>
      <c r="C114" s="2419"/>
      <c r="D114" s="2419"/>
      <c r="E114" s="2497"/>
      <c r="F114" s="2497"/>
      <c r="G114" s="2497"/>
      <c r="H114" s="2497"/>
      <c r="I114" s="2419"/>
    </row>
    <row r="115" spans="1:11" ht="18.75" customHeight="1">
      <c r="A115" s="3167" t="s">
        <v>2304</v>
      </c>
      <c r="B115" s="3168"/>
      <c r="C115" s="3168"/>
      <c r="D115" s="3168"/>
      <c r="E115" s="3168"/>
      <c r="F115" s="3168"/>
      <c r="G115" s="3168"/>
      <c r="H115" s="3168"/>
      <c r="I115" s="3169"/>
    </row>
    <row r="116" spans="1:11" ht="27" customHeight="1">
      <c r="A116" s="3073" t="s">
        <v>2305</v>
      </c>
      <c r="B116" s="3121" t="s">
        <v>2306</v>
      </c>
      <c r="C116" s="3121" t="s">
        <v>2307</v>
      </c>
      <c r="D116" s="3127" t="s">
        <v>2308</v>
      </c>
      <c r="E116" s="3128"/>
      <c r="F116" s="3163" t="s">
        <v>2309</v>
      </c>
      <c r="G116" s="3163"/>
      <c r="H116" s="3073" t="s">
        <v>2310</v>
      </c>
      <c r="I116" s="3073"/>
    </row>
    <row r="117" spans="1:11" ht="18.75" customHeight="1">
      <c r="A117" s="3073"/>
      <c r="B117" s="3122"/>
      <c r="C117" s="3122"/>
      <c r="D117" s="1795" t="s">
        <v>2311</v>
      </c>
      <c r="E117" s="1795" t="s">
        <v>2312</v>
      </c>
      <c r="F117" s="1795" t="s">
        <v>2311</v>
      </c>
      <c r="G117" s="1795" t="s">
        <v>2313</v>
      </c>
      <c r="H117" s="1795" t="s">
        <v>2311</v>
      </c>
      <c r="I117" s="1795" t="s">
        <v>2313</v>
      </c>
    </row>
    <row r="118" spans="1:11" ht="24.75" customHeight="1">
      <c r="A118" s="2527" t="str">
        <f>项目基本情况!S2</f>
        <v>北京市出让国有建设用地使用权及在建建筑物房地产</v>
      </c>
      <c r="B118" s="1795">
        <f>M18</f>
        <v>48562.030000000006</v>
      </c>
      <c r="C118" s="1795">
        <f>M19</f>
        <v>15620.22</v>
      </c>
      <c r="D118" s="1795">
        <f ca="1">ROUND(IF(D32="总价",C34,E118*B118/10000),0)</f>
        <v>109597</v>
      </c>
      <c r="E118" s="1795">
        <f ca="1">ROUND(IF(C33="自定义",IF(D32="楼面单价",C34,D118*10000/B118),I118-G118),0)</f>
        <v>22568</v>
      </c>
      <c r="F118" s="1795">
        <f ca="1">ROUND(IF(D32="总价",C35,G118*B118/10000),0)</f>
        <v>12177</v>
      </c>
      <c r="G118" s="1795">
        <f ca="1">ROUND(IF(D32="楼面单价",C35,F118*10000/B118),0)</f>
        <v>2508</v>
      </c>
      <c r="H118" s="1795">
        <f ca="1">ROUND(IF(D32="总价",C32,I118*B118/10000),0)</f>
        <v>121774</v>
      </c>
      <c r="I118" s="1795">
        <f ca="1">ROUND(IF(D32="楼面单价",C32,H118*10000/B118),0)</f>
        <v>25076</v>
      </c>
    </row>
    <row r="119" spans="1:11" ht="18.75" customHeight="1">
      <c r="A119" s="3073" t="s">
        <v>2314</v>
      </c>
      <c r="B119" s="3073"/>
      <c r="C119" s="3073"/>
      <c r="D119" s="3123" t="str">
        <f ca="1">NUMBERSTRING(INT(D118*10000),2)&amp;"元整"</f>
        <v>壹拾亿玖仟伍佰玖拾柒万元整</v>
      </c>
      <c r="E119" s="3124"/>
      <c r="F119" s="3123" t="str">
        <f ca="1">NUMBERSTRING(INT(F118*10000),2)&amp;"元整"</f>
        <v>壹亿贰仟壹佰柒拾柒万元整</v>
      </c>
      <c r="G119" s="3124"/>
      <c r="H119" s="3123" t="str">
        <f ca="1">NUMBERSTRING(INT(H118*10000),2)&amp;"元整"</f>
        <v>壹拾贰亿壹仟柒佰柒拾肆万元整</v>
      </c>
      <c r="I119" s="3124"/>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424" t="str">
        <f>IF(D120=0,"故，本次评估不存在"&amp;A120,"故，本次评估"&amp;A120&amp;"为人民币"&amp;D120&amp;"万元整。")</f>
        <v>故，本次评估不存在估价师知悉的法定优先受偿款</v>
      </c>
    </row>
    <row r="121" spans="1:11" ht="18.75" customHeight="1">
      <c r="A121" s="3164" t="s">
        <v>2314</v>
      </c>
      <c r="B121" s="3165"/>
      <c r="C121" s="3166"/>
      <c r="D121" s="3123" t="str">
        <f>IF(D120=0,"零元整",NUMBERSTRING(INT(D120*10000),2)&amp;"元整")</f>
        <v>零元整</v>
      </c>
      <c r="E121" s="3125"/>
      <c r="F121" s="3125"/>
      <c r="G121" s="3125"/>
      <c r="H121" s="3125"/>
      <c r="I121" s="3124"/>
    </row>
    <row r="122" spans="1:11" ht="18.75" customHeight="1">
      <c r="A122" s="3129" t="str">
        <f>IF(项目基本情况!B9="房地产市场价值","",MID(E107,3,LEN(E107)-2))</f>
        <v>房地产抵押价值</v>
      </c>
      <c r="B122" s="3129"/>
      <c r="C122" s="3129"/>
      <c r="D122" s="3118">
        <f ca="1">H107</f>
        <v>121774</v>
      </c>
      <c r="E122" s="3119"/>
      <c r="F122" s="3119"/>
      <c r="G122" s="3119"/>
      <c r="H122" s="3119"/>
      <c r="I122" s="3120"/>
    </row>
    <row r="123" spans="1:11" ht="18.75" customHeight="1">
      <c r="A123" s="3073" t="s">
        <v>2314</v>
      </c>
      <c r="B123" s="3073"/>
      <c r="C123" s="3073"/>
      <c r="D123" s="3123" t="str">
        <f ca="1">NUMBERSTRING(INT(D122*10000),2)&amp;"元整"</f>
        <v>壹拾贰亿壹仟柒佰柒拾肆万元整</v>
      </c>
      <c r="E123" s="3125"/>
      <c r="F123" s="3125"/>
      <c r="G123" s="3125"/>
      <c r="H123" s="3125"/>
      <c r="I123" s="3124"/>
    </row>
    <row r="124" spans="1:11" ht="18.75" customHeight="1">
      <c r="A124" s="3129" t="str">
        <f>IF(项目基本情况!B9="房地产市场价值","",MID(E109,3,LEN(E109)-2))</f>
        <v/>
      </c>
      <c r="B124" s="3129"/>
      <c r="C124" s="3129"/>
      <c r="D124" s="3118" t="str">
        <f>H109</f>
        <v>——</v>
      </c>
      <c r="E124" s="3119"/>
      <c r="F124" s="3119"/>
      <c r="G124" s="3119"/>
      <c r="H124" s="3119"/>
      <c r="I124" s="3120"/>
    </row>
    <row r="125" spans="1:11" ht="18.75" customHeight="1">
      <c r="A125" s="3073" t="s">
        <v>2314</v>
      </c>
      <c r="B125" s="3073"/>
      <c r="C125" s="3073"/>
      <c r="D125" s="3123" t="e">
        <f>NUMBERSTRING(INT(D124*10000),2)&amp;"元整"</f>
        <v>#VALUE!</v>
      </c>
      <c r="E125" s="3125"/>
      <c r="F125" s="3125"/>
      <c r="G125" s="3125"/>
      <c r="H125" s="3125"/>
      <c r="I125" s="3124"/>
    </row>
    <row r="126" spans="1:11" ht="18.75" customHeight="1">
      <c r="A126" s="3129" t="str">
        <f>IF(项目基本情况!B9="房地产市场价值","",MID(E111,3,LEN(E111)-2))</f>
        <v/>
      </c>
      <c r="B126" s="3129"/>
      <c r="C126" s="3129"/>
      <c r="D126" s="3118" t="str">
        <f>H111</f>
        <v>——</v>
      </c>
      <c r="E126" s="3119"/>
      <c r="F126" s="3119"/>
      <c r="G126" s="3119"/>
      <c r="H126" s="3119"/>
      <c r="I126" s="3120"/>
    </row>
    <row r="127" spans="1:11" ht="18.75" customHeight="1">
      <c r="A127" s="3073" t="s">
        <v>2314</v>
      </c>
      <c r="B127" s="3073"/>
      <c r="C127" s="3073"/>
      <c r="D127" s="3123" t="e">
        <f>NUMBERSTRING(INT(D126*10000),2)&amp;"元整"</f>
        <v>#VALUE!</v>
      </c>
      <c r="E127" s="3125"/>
      <c r="F127" s="3125"/>
      <c r="G127" s="3125"/>
      <c r="H127" s="3125"/>
      <c r="I127" s="3124"/>
    </row>
    <row r="128" spans="1:11" ht="21.75" customHeight="1">
      <c r="A128" s="3126" t="s">
        <v>2315</v>
      </c>
      <c r="B128" s="3126"/>
      <c r="C128" s="3126"/>
      <c r="D128" s="3126"/>
      <c r="E128" s="3126"/>
      <c r="F128" s="3126"/>
      <c r="G128" s="3126"/>
      <c r="H128" s="3126"/>
      <c r="I128" s="3126"/>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7" t="str">
        <f>项目基本情况!B1</f>
        <v>北京市出让国有建设用地使用权及在建建筑物房地产抵押价值预评估</v>
      </c>
      <c r="C37" s="3007"/>
      <c r="D37" s="3007"/>
      <c r="E37" s="3007"/>
      <c r="F37" s="3007"/>
      <c r="G37" s="3007"/>
      <c r="H37" s="3007"/>
      <c r="I37" s="3007"/>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178976</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36855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127474</v>
      </c>
      <c r="D5" s="255" t="s">
        <v>2331</v>
      </c>
      <c r="E5" s="256" t="s">
        <v>2332</v>
      </c>
      <c r="F5" s="256" t="s">
        <v>2333</v>
      </c>
      <c r="G5" s="257"/>
    </row>
    <row r="6" spans="1:9" s="258" customFormat="1" ht="13.5" customHeight="1">
      <c r="A6" s="949" t="s">
        <v>2334</v>
      </c>
      <c r="B6" s="259" t="s">
        <v>2335</v>
      </c>
      <c r="C6" s="260">
        <f>'土地比较法-住宅、综合'!B2</f>
        <v>123701</v>
      </c>
      <c r="D6" s="261"/>
      <c r="E6" s="262"/>
      <c r="F6" s="262"/>
      <c r="G6" s="263"/>
    </row>
    <row r="7" spans="1:9" s="258" customFormat="1" ht="13.5" customHeight="1">
      <c r="A7" s="949" t="s">
        <v>2336</v>
      </c>
      <c r="B7" s="259" t="s">
        <v>2337</v>
      </c>
      <c r="C7" s="264">
        <f>ROUND(C6*F7,0)</f>
        <v>3773</v>
      </c>
      <c r="D7" s="264"/>
      <c r="E7" s="262"/>
      <c r="F7" s="265">
        <f>'数据-取费表'!B48+'数据-取费表'!B49</f>
        <v>3.0499999999999999E-2</v>
      </c>
      <c r="G7" s="263"/>
    </row>
    <row r="8" spans="1:9" s="267" customFormat="1">
      <c r="A8" s="949" t="s">
        <v>2338</v>
      </c>
      <c r="B8" s="259" t="s">
        <v>2339</v>
      </c>
      <c r="C8" s="264">
        <f ca="1">IF(G8="已包含在土地购买价格中","0",IF(B1="",'数据-取费表'!B29,IF(G9="全部缴纳",C9+C10,H9)))</f>
        <v>0</v>
      </c>
      <c r="D8" s="266"/>
      <c r="E8" s="264"/>
      <c r="F8" s="265"/>
      <c r="G8" s="2553" t="s">
        <v>3102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3104</v>
      </c>
      <c r="H9" s="1390"/>
      <c r="I9" s="2555" t="s">
        <v>2341</v>
      </c>
    </row>
    <row r="10" spans="1:9" s="258" customFormat="1" ht="13.5" customHeight="1">
      <c r="A10" s="950" t="s">
        <v>801</v>
      </c>
      <c r="B10" s="268" t="s">
        <v>2342</v>
      </c>
      <c r="C10" s="269">
        <f ca="1">ROUND(D10*E10/10000,0)</f>
        <v>0</v>
      </c>
      <c r="D10" s="1032">
        <f ca="1">IF(B1="",'数据-汇总表'!E6,IF(INDIRECT("'数据-取费表'!c"&amp;$G$1)="住宅",INDIRECT("'数据-取费表'!s"&amp;$G$1),INDIRECT("'数据-取费表'!k"&amp;$G$1)+INDIRECT("'数据-取费表'!s"&amp;$G$1)))</f>
        <v>48562.030000000006</v>
      </c>
      <c r="E10" s="269">
        <f>'数据-取费表'!B28</f>
        <v>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48562.030000000006</v>
      </c>
      <c r="E19" s="255">
        <f>'数据-取费表'!B31</f>
        <v>100</v>
      </c>
      <c r="F19" s="275"/>
      <c r="G19" s="2553" t="s">
        <v>3103</v>
      </c>
    </row>
    <row r="20" spans="1:7" s="258" customFormat="1" ht="13.5" customHeight="1">
      <c r="A20" s="299" t="s">
        <v>2355</v>
      </c>
      <c r="B20" s="254" t="s">
        <v>2356</v>
      </c>
      <c r="C20" s="276">
        <f ca="1">ROUND((C5+C19)*F20,0)</f>
        <v>2549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9280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9190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90</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9752</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9752</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161071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13680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12626</v>
      </c>
      <c r="D34" s="261"/>
      <c r="E34" s="264"/>
      <c r="F34" s="301">
        <f ca="1">IF('数据-取费表'!B24=0,1,IF(B1="",'数据-取费表'!N16,INDIRECT("'数据-取费表'!n"&amp;$G$1)))</f>
        <v>0.5</v>
      </c>
      <c r="G34" s="263" t="s">
        <v>2388</v>
      </c>
    </row>
    <row r="35" spans="1:7" ht="13.5" customHeight="1">
      <c r="A35" s="951" t="s">
        <v>796</v>
      </c>
      <c r="B35" s="259" t="s">
        <v>2389</v>
      </c>
      <c r="C35" s="264">
        <f ca="1">ROUND(C34*F35,0)</f>
        <v>379</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486</v>
      </c>
      <c r="D37" s="261">
        <f ca="1">D19</f>
        <v>48562.030000000006</v>
      </c>
      <c r="E37" s="293">
        <f>'数据-取费表'!B35</f>
        <v>200</v>
      </c>
      <c r="F37" s="303"/>
      <c r="G37" s="305" t="s">
        <v>2394</v>
      </c>
    </row>
    <row r="38" spans="1:7" ht="13.5" customHeight="1">
      <c r="A38" s="951" t="s">
        <v>799</v>
      </c>
      <c r="B38" s="259" t="s">
        <v>2395</v>
      </c>
      <c r="C38" s="264">
        <f ca="1">ROUND(C34*F38,0)</f>
        <v>189</v>
      </c>
      <c r="D38" s="264"/>
      <c r="E38" s="264"/>
      <c r="F38" s="303">
        <f>'数据-取费表'!B36</f>
        <v>1.4999999999999999E-2</v>
      </c>
      <c r="G38" s="263" t="s">
        <v>2390</v>
      </c>
    </row>
    <row r="39" spans="1:7" s="258" customFormat="1" ht="13.5" customHeight="1">
      <c r="A39" s="299" t="s">
        <v>2396</v>
      </c>
      <c r="B39" s="254" t="s">
        <v>2397</v>
      </c>
      <c r="C39" s="276">
        <f ca="1">ROUND(C33*F20,0)</f>
        <v>274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495</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485</v>
      </c>
      <c r="D42" s="282"/>
      <c r="E42" s="282"/>
      <c r="F42" s="283"/>
      <c r="G42" s="3198" t="s">
        <v>2406</v>
      </c>
    </row>
    <row r="43" spans="1:7" ht="13.5" customHeight="1">
      <c r="A43" s="951" t="s">
        <v>792</v>
      </c>
      <c r="B43" s="259" t="s">
        <v>2407</v>
      </c>
      <c r="C43" s="282">
        <f ca="1">ROUND(IF('数据-取费表'!B22&lt;=1,C39*F22*'数据-取费表'!B21/2,C39*(POWER((1+F22),'数据-取费表'!B21/2)-1)),0)</f>
        <v>10</v>
      </c>
      <c r="D43" s="282"/>
      <c r="E43" s="282"/>
      <c r="F43" s="283"/>
      <c r="G43" s="3199"/>
    </row>
    <row r="44" spans="1:7" ht="13.5" customHeight="1">
      <c r="A44" s="951" t="s">
        <v>793</v>
      </c>
      <c r="B44" s="259" t="s">
        <v>2408</v>
      </c>
      <c r="C44" s="282">
        <f ca="1">ROUND(IF('数据-取费表'!B22&lt;=1,C40*F22*'数据-取费表'!B21/2,C40*(POWER((1+F22),'数据-取费表'!B21/2)-1)),4)</f>
        <v>6.9999999999999999E-4</v>
      </c>
      <c r="D44" s="282"/>
      <c r="E44" s="282"/>
      <c r="F44" s="283"/>
      <c r="G44" s="3200"/>
    </row>
    <row r="45" spans="1:7" s="258" customFormat="1" ht="13.5" customHeight="1">
      <c r="A45" s="299" t="s">
        <v>2409</v>
      </c>
      <c r="B45" s="288" t="s">
        <v>2375</v>
      </c>
      <c r="C45" s="289">
        <f ca="1">C46</f>
        <v>2093</v>
      </c>
      <c r="D45" s="279">
        <f ca="1">C47</f>
        <v>3.0000000000000001E-3</v>
      </c>
      <c r="E45" s="280" t="s">
        <v>2401</v>
      </c>
      <c r="F45" s="290"/>
      <c r="G45" s="291" t="s">
        <v>2410</v>
      </c>
    </row>
    <row r="46" spans="1:7" s="258" customFormat="1" ht="13.5" customHeight="1">
      <c r="A46" s="951" t="s">
        <v>791</v>
      </c>
      <c r="B46" s="292" t="s">
        <v>2411</v>
      </c>
      <c r="C46" s="293">
        <f ca="1">ROUND((C33+C39)*F27,0)</f>
        <v>2093</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17905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17905</v>
      </c>
      <c r="D51" s="276"/>
      <c r="E51" s="276"/>
      <c r="F51" s="308"/>
      <c r="G51" s="278" t="s">
        <v>2422</v>
      </c>
    </row>
    <row r="52" spans="1:7" s="252" customFormat="1" ht="16.5" thickBot="1">
      <c r="A52" s="309" t="s">
        <v>2423</v>
      </c>
      <c r="B52" s="310"/>
      <c r="C52" s="311">
        <f ca="1">C31+C51</f>
        <v>178976</v>
      </c>
      <c r="D52" s="310"/>
      <c r="E52" s="310"/>
      <c r="F52" s="310"/>
      <c r="G52" s="312"/>
    </row>
    <row r="55" spans="1:7" ht="15">
      <c r="B55" s="314" t="s">
        <v>2424</v>
      </c>
      <c r="C55" s="315"/>
    </row>
    <row r="56" spans="1:7">
      <c r="B56" s="317" t="s">
        <v>1503</v>
      </c>
      <c r="C56" s="319">
        <f ca="1">1-C57</f>
        <v>0.9</v>
      </c>
    </row>
    <row r="57" spans="1:7">
      <c r="B57" s="317" t="s">
        <v>1504</v>
      </c>
      <c r="C57" s="318">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37638</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7750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0</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0</v>
      </c>
      <c r="D10" s="1032">
        <f ca="1">IF(B1="",'数据-汇总表'!E6,IF(INDIRECT("'数据-取费表'!c"&amp;$G$1)="住宅",INDIRECT("'数据-取费表'!s"&amp;$G$1),INDIRECT("'数据-取费表'!k"&amp;$G$1)+INDIRECT("'数据-取费表'!s"&amp;$G$1)))</f>
        <v>48562.030000000006</v>
      </c>
      <c r="E10" s="269">
        <f>'数据-取费表'!B28</f>
        <v>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4856203</v>
      </c>
      <c r="D19" s="1036">
        <f ca="1">D9+D10</f>
        <v>48562.030000000006</v>
      </c>
      <c r="E19" s="255">
        <f>'数据-取费表'!B31</f>
        <v>100</v>
      </c>
      <c r="F19" s="275"/>
      <c r="G19" s="2553"/>
    </row>
    <row r="20" spans="1:7" s="258" customFormat="1" ht="13.5" customHeight="1">
      <c r="A20" s="299" t="s">
        <v>2436</v>
      </c>
      <c r="B20" s="254" t="s">
        <v>2437</v>
      </c>
      <c r="C20" s="276">
        <f ca="1">ROUND((C5+C19)*F20,0)</f>
        <v>97124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732402</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0</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725400</v>
      </c>
      <c r="D24" s="282"/>
      <c r="E24" s="282"/>
      <c r="F24" s="283"/>
      <c r="G24" s="284" t="s">
        <v>2448</v>
      </c>
    </row>
    <row r="25" spans="1:7" s="258" customFormat="1" ht="24">
      <c r="A25" s="951" t="s">
        <v>2338</v>
      </c>
      <c r="B25" s="259" t="s">
        <v>2449</v>
      </c>
      <c r="C25" s="1381">
        <f ca="1">ROUND(IF('数据-取费表'!B22&lt;=1,C20*F22*'数据-取费表'!B22/2,C20*(POWER((1+F22),'数据-取费表'!B22/2)-1)),0)</f>
        <v>7002</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742999</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742999</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6963527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273598477</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252522556</v>
      </c>
      <c r="D34" s="261"/>
      <c r="E34" s="264"/>
      <c r="F34" s="301"/>
      <c r="G34" s="263"/>
    </row>
    <row r="35" spans="1:7" ht="13.5" customHeight="1">
      <c r="A35" s="951" t="s">
        <v>796</v>
      </c>
      <c r="B35" s="259" t="s">
        <v>2389</v>
      </c>
      <c r="C35" s="264">
        <f ca="1">ROUND(C34*F35,0)</f>
        <v>7575677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9712406</v>
      </c>
      <c r="D37" s="261">
        <f ca="1">D19</f>
        <v>48562.030000000006</v>
      </c>
      <c r="E37" s="293">
        <f>'数据-取费表'!B35</f>
        <v>200</v>
      </c>
      <c r="F37" s="303"/>
      <c r="G37" s="305"/>
    </row>
    <row r="38" spans="1:7" ht="13.5" customHeight="1">
      <c r="A38" s="951" t="s">
        <v>799</v>
      </c>
      <c r="B38" s="259" t="s">
        <v>2395</v>
      </c>
      <c r="C38" s="264">
        <f ca="1">ROUND(C34*F38,0)</f>
        <v>3787838</v>
      </c>
      <c r="D38" s="264"/>
      <c r="E38" s="264"/>
      <c r="F38" s="303">
        <f>'数据-取费表'!B36</f>
        <v>1.4999999999999999E-2</v>
      </c>
      <c r="G38" s="263" t="s">
        <v>2390</v>
      </c>
    </row>
    <row r="39" spans="1:7" s="258" customFormat="1" ht="13.5" customHeight="1">
      <c r="A39" s="299" t="s">
        <v>2396</v>
      </c>
      <c r="B39" s="254" t="s">
        <v>2397</v>
      </c>
      <c r="C39" s="276">
        <f ca="1">ROUND(C33*F20,0)</f>
        <v>5471970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20118053</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19723581</v>
      </c>
      <c r="D42" s="282"/>
      <c r="E42" s="282"/>
      <c r="F42" s="283"/>
      <c r="G42" s="3198" t="s">
        <v>2453</v>
      </c>
    </row>
    <row r="43" spans="1:7" ht="13.5" customHeight="1">
      <c r="A43" s="951" t="s">
        <v>792</v>
      </c>
      <c r="B43" s="259" t="s">
        <v>2407</v>
      </c>
      <c r="C43" s="282">
        <f ca="1">ROUND(IF('数据-取费表'!B22&lt;=1,C39*F22*'数据-取费表'!B20/2,C39*(POWER((1+F22),'数据-取费表'!B20/2)-1)),0)</f>
        <v>394472</v>
      </c>
      <c r="D43" s="282"/>
      <c r="E43" s="282"/>
      <c r="F43" s="283"/>
      <c r="G43" s="3199"/>
    </row>
    <row r="44" spans="1:7" ht="13.5" customHeight="1">
      <c r="A44" s="951" t="s">
        <v>793</v>
      </c>
      <c r="B44" s="259" t="s">
        <v>2408</v>
      </c>
      <c r="C44" s="282">
        <f ca="1">ROUND(IF('数据-取费表'!B22&lt;=1,C40*F22*'数据-取费表'!B20/2,C40*(POWER((1+F22),'数据-取费表'!B20/2)-1)),4)</f>
        <v>1.4E-3</v>
      </c>
      <c r="D44" s="282"/>
      <c r="E44" s="282"/>
      <c r="F44" s="283"/>
      <c r="G44" s="3200"/>
    </row>
    <row r="45" spans="1:7" s="258" customFormat="1" ht="13.5" customHeight="1">
      <c r="A45" s="299" t="s">
        <v>2409</v>
      </c>
      <c r="B45" s="288" t="s">
        <v>2375</v>
      </c>
      <c r="C45" s="289">
        <f ca="1">C46</f>
        <v>41860567</v>
      </c>
      <c r="D45" s="279">
        <f ca="1">C47</f>
        <v>3.0000000000000001E-3</v>
      </c>
      <c r="E45" s="280" t="s">
        <v>2401</v>
      </c>
      <c r="F45" s="290"/>
      <c r="G45" s="291" t="s">
        <v>2410</v>
      </c>
    </row>
    <row r="46" spans="1:7" s="258" customFormat="1" ht="13.5" customHeight="1">
      <c r="A46" s="951" t="s">
        <v>791</v>
      </c>
      <c r="B46" s="292" t="s">
        <v>2411</v>
      </c>
      <c r="C46" s="293">
        <f ca="1">ROUND((C33+C39)*F27,0)</f>
        <v>41860567</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369420567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369420567</v>
      </c>
      <c r="D51" s="276"/>
      <c r="E51" s="276"/>
      <c r="F51" s="308"/>
      <c r="G51" s="278" t="s">
        <v>2422</v>
      </c>
    </row>
    <row r="52" spans="1:7" s="252" customFormat="1" ht="16.5" thickBot="1">
      <c r="A52" s="309" t="s">
        <v>2423</v>
      </c>
      <c r="B52" s="310"/>
      <c r="C52" s="311">
        <f ca="1">C31+C51</f>
        <v>376384094</v>
      </c>
      <c r="D52" s="310"/>
      <c r="E52" s="310"/>
      <c r="F52" s="310"/>
      <c r="G52" s="312"/>
    </row>
    <row r="55" spans="1:7" ht="15">
      <c r="B55" s="314" t="s">
        <v>2424</v>
      </c>
      <c r="C55" s="315"/>
    </row>
    <row r="56" spans="1:7">
      <c r="B56" s="317" t="s">
        <v>1503</v>
      </c>
      <c r="C56" s="319">
        <f ca="1">1-C57</f>
        <v>1.9000000000000017E-2</v>
      </c>
    </row>
    <row r="57" spans="1:7">
      <c r="B57" s="317" t="s">
        <v>1504</v>
      </c>
      <c r="C57" s="318">
        <f ca="1">ROUND(C51/C52,3)</f>
        <v>0.98099999999999998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7" sqref="C17"/>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2797</v>
      </c>
      <c r="B1" s="241"/>
      <c r="C1" s="245" t="s">
        <v>2798</v>
      </c>
      <c r="D1" s="388">
        <f>SUM(D29:D30,D33:D39)</f>
        <v>48562.030000000006</v>
      </c>
      <c r="E1" s="2720"/>
      <c r="F1" s="2720"/>
      <c r="G1" s="2720"/>
      <c r="H1" s="2720"/>
      <c r="I1" s="2720"/>
      <c r="J1" s="2720"/>
      <c r="K1" s="1370"/>
      <c r="L1" s="2721" t="s">
        <v>2799</v>
      </c>
      <c r="M1" s="1080">
        <f>SUMPRODUCT((区片价!B5:B9=I2)*(区片价!C3:F3=E2)*(区片价!C5:F9))</f>
        <v>0</v>
      </c>
      <c r="N1" s="1083">
        <f>SUMPRODUCT((因素修正幅度!B5:B9=I2)*(因素修正幅度!C3:F3=E2)*(因素修正幅度!C5:F9))</f>
        <v>0</v>
      </c>
      <c r="O1" s="2722"/>
      <c r="P1" s="2722"/>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30149</v>
      </c>
      <c r="C2" s="2724" t="s">
        <v>2806</v>
      </c>
      <c r="D2" s="2725" t="s">
        <v>2807</v>
      </c>
      <c r="E2" s="2726" t="s">
        <v>27</v>
      </c>
      <c r="F2" s="2725" t="s">
        <v>2808</v>
      </c>
      <c r="G2" s="2727" t="str">
        <f>IF(E2="商业",项目基本情况!B37,IF(E2="办公",项目基本情况!C37,IF(E2="住宅",项目基本情况!D37,项目基本情况!E37)))</f>
        <v>八级</v>
      </c>
      <c r="H2" s="2725" t="s">
        <v>2809</v>
      </c>
      <c r="I2" s="2727" t="str">
        <f>IF(E2="商业",项目基本情况!B38,IF(E2="办公",项目基本情况!C38,IF(E2="住宅",项目基本情况!D38,项目基本情况!E38)))</f>
        <v>Ⅷ-顺1</v>
      </c>
      <c r="J2" s="2728"/>
      <c r="K2" s="1370"/>
      <c r="L2" s="2729"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13044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6208</v>
      </c>
      <c r="C3" s="2724" t="s">
        <v>2812</v>
      </c>
      <c r="D3" s="2725" t="s">
        <v>2813</v>
      </c>
      <c r="E3" s="2730" t="s">
        <v>3300</v>
      </c>
      <c r="F3" s="2731" t="s">
        <v>2814</v>
      </c>
      <c r="G3" s="916">
        <f>IF(F3="宗地容积率",'数据-汇总表'!I4,IF(F3="估价对象容积率",'数据-汇总表'!I6,'数据-汇总表'!I7))</f>
        <v>2.48</v>
      </c>
      <c r="H3" s="198" t="s">
        <v>2815</v>
      </c>
      <c r="I3" s="944"/>
      <c r="J3" s="2728" t="s">
        <v>2816</v>
      </c>
      <c r="K3" s="1370"/>
      <c r="L3" s="2729"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8597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7"/>
      <c r="B4" s="3218"/>
      <c r="C4" s="3218"/>
      <c r="D4" s="3219"/>
      <c r="E4" s="3219"/>
      <c r="F4" s="3219"/>
      <c r="G4" s="3219"/>
      <c r="H4" s="3219"/>
      <c r="I4" s="3219"/>
      <c r="J4" s="3220"/>
      <c r="K4" s="1370"/>
      <c r="L4" s="2729"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6765</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2819</v>
      </c>
      <c r="C5" s="917">
        <f>ROUND(IF(E2="商业",C6*C7+C16,(IF(E2="住宅",C6*C12+C16,C6+C16))),0)</f>
        <v>5457</v>
      </c>
      <c r="D5" s="1787">
        <f>ROUND(IF(F17="增加",C6+C16,C6-C16),0)</f>
        <v>5503</v>
      </c>
      <c r="E5" s="1787"/>
      <c r="F5" s="2734"/>
      <c r="G5" s="2735"/>
      <c r="H5" s="2735"/>
      <c r="I5" s="2735"/>
      <c r="J5" s="2736"/>
      <c r="K5" s="2737"/>
      <c r="L5" s="2729"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5054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2821</v>
      </c>
      <c r="B6" s="2743" t="s">
        <v>2822</v>
      </c>
      <c r="C6" s="918">
        <f>SUMIF(L1:L12,G2,M1:M12)</f>
        <v>5480</v>
      </c>
      <c r="D6" s="2744" t="s">
        <v>2823</v>
      </c>
      <c r="E6" s="2745"/>
      <c r="F6" s="2745"/>
      <c r="G6" s="2746"/>
      <c r="H6" s="2746"/>
      <c r="I6" s="2746"/>
      <c r="J6" s="2747"/>
      <c r="K6" s="1842"/>
      <c r="L6" s="2729"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3801</v>
      </c>
      <c r="U6" s="1603"/>
      <c r="V6" s="1602">
        <f t="shared" ca="1" si="1"/>
        <v>0</v>
      </c>
      <c r="W6" s="1606"/>
      <c r="X6" s="1606"/>
      <c r="Y6" s="1606"/>
      <c r="Z6" s="1606"/>
      <c r="AA6" s="1606"/>
      <c r="AB6" s="1606"/>
      <c r="AC6" s="2738"/>
      <c r="AD6" s="2739"/>
      <c r="AE6" s="2739"/>
      <c r="AF6" s="2739"/>
      <c r="AG6" s="2739"/>
      <c r="AH6" s="2739"/>
      <c r="AI6" s="2739"/>
      <c r="AJ6" s="2740"/>
    </row>
    <row r="7" spans="1:36" ht="24">
      <c r="A7" s="3201" t="str">
        <f>IF(E2="商业",IF(C8="不临58条商业街","",2),"")</f>
        <v/>
      </c>
      <c r="B7" s="2748" t="s">
        <v>2825</v>
      </c>
      <c r="C7" s="919" t="e">
        <f>IF(C8="不临58条商业街",1,ROUND(1+(1.6*E8+1.2*E9+0.8*E10+0.4*E11)*C9,4))</f>
        <v>#DIV/0!</v>
      </c>
      <c r="D7" s="2749" t="s">
        <v>2826</v>
      </c>
      <c r="E7" s="945"/>
      <c r="F7" s="2750"/>
      <c r="G7" s="2751"/>
      <c r="H7" s="2751"/>
      <c r="I7" s="2751"/>
      <c r="J7" s="2752"/>
      <c r="K7" s="1842"/>
      <c r="L7" s="2729"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3039</v>
      </c>
      <c r="U7" s="1603"/>
      <c r="V7" s="1602">
        <f t="shared" ca="1" si="1"/>
        <v>0</v>
      </c>
      <c r="W7" s="1816" t="s">
        <v>2828</v>
      </c>
      <c r="X7" s="1604" t="str">
        <f>G2</f>
        <v>八级</v>
      </c>
      <c r="Y7" s="1604" t="s">
        <v>2829</v>
      </c>
      <c r="Z7" s="1605">
        <f>G3</f>
        <v>2.48</v>
      </c>
      <c r="AA7" s="1606"/>
      <c r="AB7" s="1606"/>
      <c r="AC7" s="1607"/>
      <c r="AD7" s="1608"/>
      <c r="AE7" s="1608"/>
      <c r="AF7" s="1608"/>
      <c r="AG7" s="1608"/>
      <c r="AH7" s="1608"/>
      <c r="AI7" s="1608"/>
      <c r="AJ7" s="1609"/>
    </row>
    <row r="8" spans="1:36" ht="15">
      <c r="A8" s="3221"/>
      <c r="B8" s="198" t="s">
        <v>2830</v>
      </c>
      <c r="C8" s="2753"/>
      <c r="D8" s="920" t="s">
        <v>139</v>
      </c>
      <c r="E8" s="921" t="e">
        <f>ROUND(C11/E7,4)</f>
        <v>#DIV/0!</v>
      </c>
      <c r="F8" s="2754" t="s">
        <v>2831</v>
      </c>
      <c r="G8" s="2755"/>
      <c r="H8" s="2755"/>
      <c r="I8" s="2755"/>
      <c r="J8" s="2756"/>
      <c r="K8" s="1370"/>
      <c r="L8" s="2729" t="s">
        <v>2832</v>
      </c>
      <c r="M8" s="1081">
        <f>SUMPRODUCT((区片价!B206:B244=I2)*(区片价!C3:F3=E2)*(区片价!C206:F244))</f>
        <v>5480</v>
      </c>
      <c r="N8" s="1083">
        <f>SUMPRODUCT((因素修正幅度!B206:B244=I2)*(因素修正幅度!C3:F3=E2)*(因素修正幅度!C206:F244))</f>
        <v>0.15</v>
      </c>
      <c r="O8" s="1370"/>
      <c r="P8" s="1370"/>
      <c r="Q8" s="1370"/>
      <c r="R8" s="1602">
        <v>7</v>
      </c>
      <c r="S8" s="1603"/>
      <c r="T8" s="1602">
        <f t="shared" ca="1" si="0"/>
        <v>0</v>
      </c>
      <c r="U8" s="1603"/>
      <c r="V8" s="1602">
        <f t="shared" ca="1" si="1"/>
        <v>0</v>
      </c>
      <c r="W8" s="3214" t="s">
        <v>2833</v>
      </c>
      <c r="X8" s="3215"/>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21"/>
      <c r="B9" s="198" t="s">
        <v>2846</v>
      </c>
      <c r="C9" s="922">
        <f>SUMIF(修正!C59:C119,C8,修正!E59:E119)</f>
        <v>0</v>
      </c>
      <c r="D9" s="200" t="s">
        <v>140</v>
      </c>
      <c r="E9" s="200" t="e">
        <f>ROUND(C11/E7,4)</f>
        <v>#DIV/0!</v>
      </c>
      <c r="F9" s="2754" t="s">
        <v>2847</v>
      </c>
      <c r="G9" s="2755"/>
      <c r="H9" s="2755"/>
      <c r="I9" s="2755"/>
      <c r="J9" s="2756"/>
      <c r="K9" s="1370"/>
      <c r="L9" s="2729"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6"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1"/>
      <c r="B10" s="198" t="s">
        <v>2851</v>
      </c>
      <c r="C10" s="200">
        <f>SUMIF(修正!C59:C119,C8,修正!F59:F119)</f>
        <v>0</v>
      </c>
      <c r="D10" s="200" t="s">
        <v>141</v>
      </c>
      <c r="E10" s="200" t="e">
        <f>ROUND(C11/E7,4)</f>
        <v>#DIV/0!</v>
      </c>
      <c r="F10" s="2754" t="s">
        <v>2852</v>
      </c>
      <c r="G10" s="2755"/>
      <c r="H10" s="2755"/>
      <c r="I10" s="2755"/>
      <c r="J10" s="2756"/>
      <c r="K10" s="1370"/>
      <c r="L10" s="2729"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1"/>
      <c r="B11" s="2757" t="s">
        <v>2854</v>
      </c>
      <c r="C11" s="923">
        <f>C10/4</f>
        <v>0</v>
      </c>
      <c r="D11" s="923" t="s">
        <v>142</v>
      </c>
      <c r="E11" s="923" t="e">
        <f>ROUND(C11/E7,4)</f>
        <v>#DIV/0!</v>
      </c>
      <c r="F11" s="2758" t="s">
        <v>2855</v>
      </c>
      <c r="G11" s="2759"/>
      <c r="H11" s="2759"/>
      <c r="I11" s="2759"/>
      <c r="J11" s="2760"/>
      <c r="K11" s="1370"/>
      <c r="L11" s="2729"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6" t="s">
        <v>2857</v>
      </c>
      <c r="X11" s="1614" t="s">
        <v>2858</v>
      </c>
      <c r="Y11" s="1615">
        <f>$G$3</f>
        <v>2.48</v>
      </c>
      <c r="Z11" s="1615">
        <f t="shared" ref="Z11:AJ11" si="3">$G$3</f>
        <v>2.48</v>
      </c>
      <c r="AA11" s="1615">
        <f t="shared" si="3"/>
        <v>2.48</v>
      </c>
      <c r="AB11" s="1615">
        <f t="shared" si="3"/>
        <v>2.48</v>
      </c>
      <c r="AC11" s="1615">
        <f t="shared" si="3"/>
        <v>2.48</v>
      </c>
      <c r="AD11" s="1615">
        <f t="shared" si="3"/>
        <v>2.48</v>
      </c>
      <c r="AE11" s="1615">
        <f t="shared" si="3"/>
        <v>2.48</v>
      </c>
      <c r="AF11" s="1615">
        <f t="shared" si="3"/>
        <v>2.48</v>
      </c>
      <c r="AG11" s="1615">
        <f t="shared" si="3"/>
        <v>2.48</v>
      </c>
      <c r="AH11" s="1615">
        <f t="shared" si="3"/>
        <v>2.48</v>
      </c>
      <c r="AI11" s="1615">
        <f t="shared" si="3"/>
        <v>2.48</v>
      </c>
      <c r="AJ11" s="1615">
        <f t="shared" si="3"/>
        <v>2.48</v>
      </c>
    </row>
    <row r="12" spans="1:36" ht="25.5" thickBot="1">
      <c r="A12" s="3201" t="s">
        <v>2859</v>
      </c>
      <c r="B12" s="2761" t="s">
        <v>2860</v>
      </c>
      <c r="C12" s="919">
        <f>ROUND(C15*D15*E15*F15*G15*H15*I15*J15,4)</f>
        <v>1</v>
      </c>
      <c r="D12" s="2762" t="s">
        <v>2861</v>
      </c>
      <c r="E12" s="2763"/>
      <c r="F12" s="2763"/>
      <c r="G12" s="2764"/>
      <c r="H12" s="2764"/>
      <c r="I12" s="2764"/>
      <c r="J12" s="2765"/>
      <c r="K12" s="1370"/>
      <c r="L12" s="2766"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6"/>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2"/>
      <c r="B13" s="2767" t="s">
        <v>2864</v>
      </c>
      <c r="C13" s="2768" t="s">
        <v>2865</v>
      </c>
      <c r="D13" s="1808" t="s">
        <v>2866</v>
      </c>
      <c r="E13" s="1808" t="s">
        <v>2867</v>
      </c>
      <c r="F13" s="30" t="s">
        <v>2868</v>
      </c>
      <c r="G13" s="2769" t="s">
        <v>2869</v>
      </c>
      <c r="H13" s="2769" t="s">
        <v>2869</v>
      </c>
      <c r="I13" s="2769" t="s">
        <v>2869</v>
      </c>
      <c r="J13" s="2770" t="s">
        <v>2869</v>
      </c>
      <c r="K13" s="1370"/>
      <c r="L13" s="1370"/>
      <c r="M13" s="1370"/>
      <c r="N13" s="1370"/>
      <c r="O13" s="1370"/>
      <c r="P13" s="1370"/>
      <c r="Q13" s="1370"/>
      <c r="R13" s="1602">
        <v>12</v>
      </c>
      <c r="S13" s="1603"/>
      <c r="T13" s="1602">
        <f t="shared" ca="1" si="0"/>
        <v>0</v>
      </c>
      <c r="U13" s="1603"/>
      <c r="V13" s="1602">
        <f t="shared" ca="1" si="1"/>
        <v>0</v>
      </c>
      <c r="W13" s="3216"/>
      <c r="X13" s="1616"/>
      <c r="Y13" s="1613">
        <f>(-0.163*(Y12^2)-0.59*Y12+7617)*(10^(-4))/Y11</f>
        <v>0.30713709677419354</v>
      </c>
      <c r="Z13" s="1613">
        <f t="shared" ref="Z13:AJ13" si="5">(-0.163*(Z12^2)-0.59*Z12+7617)*(10^(-4))/Z11</f>
        <v>0.30713709677419354</v>
      </c>
      <c r="AA13" s="1613">
        <f t="shared" si="5"/>
        <v>0.30713709677419354</v>
      </c>
      <c r="AB13" s="1613">
        <f t="shared" si="5"/>
        <v>0.30713709677419354</v>
      </c>
      <c r="AC13" s="1613">
        <f t="shared" si="5"/>
        <v>0.30713709677419354</v>
      </c>
      <c r="AD13" s="1613">
        <f t="shared" si="5"/>
        <v>0.30713709677419354</v>
      </c>
      <c r="AE13" s="1613">
        <f t="shared" si="5"/>
        <v>0.30713709677419354</v>
      </c>
      <c r="AF13" s="1613">
        <f t="shared" si="5"/>
        <v>0.30713709677419354</v>
      </c>
      <c r="AG13" s="1613">
        <f t="shared" si="5"/>
        <v>0.30713709677419354</v>
      </c>
      <c r="AH13" s="1613">
        <f t="shared" si="5"/>
        <v>0.30713709677419354</v>
      </c>
      <c r="AI13" s="1613">
        <f t="shared" si="5"/>
        <v>0.30713709677419354</v>
      </c>
      <c r="AJ13" s="1613">
        <f t="shared" si="5"/>
        <v>0.30713709677419354</v>
      </c>
    </row>
    <row r="14" spans="1:36" ht="15">
      <c r="A14" s="3222"/>
      <c r="B14" s="2771"/>
      <c r="C14" s="2772"/>
      <c r="D14" s="2773"/>
      <c r="E14" s="2773"/>
      <c r="F14" s="2774"/>
      <c r="G14" s="2775" t="s">
        <v>2870</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3"/>
      <c r="B15" s="2779"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1" t="s">
        <v>2876</v>
      </c>
      <c r="B16" s="2748" t="s">
        <v>2877</v>
      </c>
      <c r="C16" s="2938">
        <f>ROUND(IF(F17="与级别开发程度一致",0,(G17-E17)/C17),0)</f>
        <v>-23</v>
      </c>
      <c r="D16" s="3212" t="s">
        <v>2881</v>
      </c>
      <c r="E16" s="3213"/>
      <c r="F16" s="3212" t="s">
        <v>2878</v>
      </c>
      <c r="G16" s="3213"/>
      <c r="H16" s="2782" t="s">
        <v>3095</v>
      </c>
      <c r="I16" s="2782" t="s">
        <v>3096</v>
      </c>
      <c r="J16" s="2942" t="s">
        <v>3097</v>
      </c>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2"/>
      <c r="B17" s="2949" t="s">
        <v>2880</v>
      </c>
      <c r="C17" s="2950">
        <f>SUMPRODUCT((修正!A2:A5=E2)*(修正!B1:M1=G2)*(修正!B2:M5))</f>
        <v>2</v>
      </c>
      <c r="D17" s="229" t="str">
        <f>IF(OR(G2="八级",G2="九级",G2="十级",G2="十一级",G2="十二级"),"五通一平","七通一平")</f>
        <v>五通一平</v>
      </c>
      <c r="E17" s="2939">
        <f>SUMPRODUCT((修正!B1:M1=G2)*(修正!B15:M15))</f>
        <v>155</v>
      </c>
      <c r="F17" s="2940" t="s">
        <v>3094</v>
      </c>
      <c r="G17" s="2941">
        <f>SUM(H17:O17)</f>
        <v>110</v>
      </c>
      <c r="H17" s="2950">
        <f>SUMPRODUCT((七通一平=H16)*(修正!B1:M1=G2)*(修正!B6:M14))</f>
        <v>50</v>
      </c>
      <c r="I17" s="2950">
        <f>SUMPRODUCT((七通一平=I16)*(修正!B1:M1=G2)*(修正!B6:M14))</f>
        <v>40</v>
      </c>
      <c r="J17" s="2951">
        <f>SUMPRODUCT((七通一平=J16)*(修正!B1:M1=G2)*(修正!B6:M14))</f>
        <v>20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2883</v>
      </c>
      <c r="C18" s="2945">
        <f>SUMIF(修正!C18:C39,E3,修正!E18:E39)</f>
        <v>0.9</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2884</v>
      </c>
      <c r="C19" s="924">
        <f>ROUND(IF(H19="按公示增长率计算",SUMPRODUCT((地价!A3:A26=YEAR(G19)&amp;"-"&amp;ROUNDUP(MONTH(G19)/3,0))*(地价!X2:AB2=E2)*(地价!X3:AB26)),IF(H19="地价指数",M20/M19,(1+I19)^O19)),4)</f>
        <v>1.3411</v>
      </c>
      <c r="D19" s="2792" t="s">
        <v>2885</v>
      </c>
      <c r="E19" s="925">
        <v>41640</v>
      </c>
      <c r="F19" s="2792" t="s">
        <v>2886</v>
      </c>
      <c r="G19" s="926">
        <f>'数据-取费表'!B2</f>
        <v>43603</v>
      </c>
      <c r="H19" s="2793" t="s">
        <v>2887</v>
      </c>
      <c r="I19" s="927" t="str">
        <f>IF(H19="季度增幅（自定义）",SUMIF(N21:N24,E2,O21:O24),"")</f>
        <v/>
      </c>
      <c r="J19" s="2790"/>
      <c r="K19" s="1377"/>
      <c r="L19" s="2794" t="s">
        <v>2888</v>
      </c>
      <c r="M19" s="1734">
        <f>ROUND(SUMIF(地价!B2:F2,E2,地价!B26:F26),0)</f>
        <v>258</v>
      </c>
      <c r="N19" s="2795"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2890</v>
      </c>
      <c r="C20" s="929">
        <f ca="1">ROUND(POWER(1+G20,J20-I20)*(POWER(1+G20,I20)-1)/(POWER(1+G20,J20)-1),4)</f>
        <v>0.98509999999999998</v>
      </c>
      <c r="D20" s="2801" t="s">
        <v>2891</v>
      </c>
      <c r="E20" s="1768">
        <f ca="1">存贷款利率!D4/100</f>
        <v>4.3499999999999997E-2</v>
      </c>
      <c r="F20" s="2801" t="s">
        <v>2882</v>
      </c>
      <c r="G20" s="934">
        <f ca="1">SUMIF(M26:P26,E2,M28:P28)</f>
        <v>5.1999999999999998E-2</v>
      </c>
      <c r="H20" s="2801" t="s">
        <v>2892</v>
      </c>
      <c r="I20" s="935">
        <f>SUMIF('数据-取费表'!C6:C15,E2,'数据-取费表'!F6:F15)/COUNTIF('数据-取费表'!C6:C15,E2)</f>
        <v>46.86</v>
      </c>
      <c r="J20" s="936">
        <f>IF(E2="住宅",70,IF(E2="商业",40,50))</f>
        <v>50</v>
      </c>
      <c r="K20" s="1377"/>
      <c r="L20" s="2802" t="s">
        <v>2893</v>
      </c>
      <c r="M20" s="1735">
        <f>ROUND(SUMPRODUCT((地价!A4:A26=YEAR(G19)&amp;"-"&amp;ROUNDUP(MONTH(G19)/3,0))*(地价!B2:F2=E2)*(地价!B4:F26)),0)</f>
        <v>346</v>
      </c>
      <c r="N20" s="2803" t="s">
        <v>2894</v>
      </c>
      <c r="O20" s="2804" t="s">
        <v>2895</v>
      </c>
      <c r="P20" s="2805" t="s">
        <v>2896</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3098</v>
      </c>
      <c r="C21" s="937">
        <f>IF(B21="容积率修正",IF(G3&lt;=10,D22,J22),C23)</f>
        <v>0.92989999999999995</v>
      </c>
      <c r="D21" s="2808"/>
      <c r="E21" s="2808"/>
      <c r="F21" s="2808"/>
      <c r="G21" s="2808"/>
      <c r="H21" s="2808"/>
      <c r="I21" s="2808"/>
      <c r="J21" s="2809"/>
      <c r="K21" s="1377"/>
      <c r="N21" s="2810"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2898</v>
      </c>
      <c r="B22" s="2811" t="s">
        <v>2899</v>
      </c>
      <c r="C22" s="1810" t="s">
        <v>2900</v>
      </c>
      <c r="D22" s="1810">
        <f>IF(E22=G22,F22,IF(G3&lt;=10,ROUND(F22+(H22-F22)*(G3-E22)/(G22-E22),4),"——"))</f>
        <v>0.92989999999999995</v>
      </c>
      <c r="E22" s="916">
        <f>ROUNDDOWN(G3,1)</f>
        <v>2.4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810" t="s">
        <v>155</v>
      </c>
      <c r="J22" s="938" t="str">
        <f>IF(G3&gt;10,D113,"——")</f>
        <v>——</v>
      </c>
      <c r="K22" s="1377"/>
      <c r="N22" s="2810"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2902</v>
      </c>
      <c r="B23" s="2812" t="s">
        <v>2903</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2905</v>
      </c>
      <c r="C24" s="924">
        <f>SUMIF(A45:A88,E2,B45:B88)</f>
        <v>1.0351999999999999</v>
      </c>
      <c r="D24" s="2789"/>
      <c r="E24" s="2818"/>
      <c r="F24" s="2818"/>
      <c r="G24" s="2818"/>
      <c r="H24" s="2818"/>
      <c r="I24" s="2818"/>
      <c r="J24" s="2819"/>
      <c r="K24" s="1377"/>
      <c r="N24" s="2820"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2907</v>
      </c>
      <c r="C25" s="930"/>
      <c r="D25" s="2751"/>
      <c r="E25" s="2751"/>
      <c r="F25" s="2822"/>
      <c r="G25" s="2751"/>
      <c r="H25" s="2751"/>
      <c r="I25" s="2751"/>
      <c r="J25" s="2752"/>
      <c r="K25" s="1370"/>
      <c r="N25" s="2823"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2909</v>
      </c>
      <c r="C26" s="206">
        <f ca="1">E29+SUM(E33:E39)</f>
        <v>30149</v>
      </c>
      <c r="D26" s="2825"/>
      <c r="E26" s="2776"/>
      <c r="F26" s="2826"/>
      <c r="G26" s="2776"/>
      <c r="H26" s="2776"/>
      <c r="I26" s="2776"/>
      <c r="J26" s="2827"/>
      <c r="K26" s="1370"/>
      <c r="L26" s="2780" t="s">
        <v>2807</v>
      </c>
      <c r="M26" s="920" t="s">
        <v>2872</v>
      </c>
      <c r="N26" s="920" t="s">
        <v>2873</v>
      </c>
      <c r="O26" s="920" t="s">
        <v>2874</v>
      </c>
      <c r="P26" s="2781" t="s">
        <v>2875</v>
      </c>
      <c r="R26" s="1376"/>
      <c r="S26" s="1376"/>
      <c r="T26" s="1371"/>
      <c r="U26" s="1371"/>
      <c r="V26" s="1371"/>
      <c r="W26" s="1370"/>
      <c r="X26" s="1370"/>
      <c r="Y26" s="1370"/>
      <c r="Z26" s="1377"/>
      <c r="AA26" s="1378"/>
      <c r="AB26" s="1378"/>
      <c r="AC26" s="1378"/>
      <c r="AD26" s="1378"/>
    </row>
    <row r="27" spans="1:37" ht="15.75" thickBot="1">
      <c r="A27" s="2824"/>
      <c r="B27" s="2828" t="s">
        <v>2910</v>
      </c>
      <c r="C27" s="931">
        <f ca="1">E30+SUM(I33:I39)</f>
        <v>119</v>
      </c>
      <c r="D27" s="2829"/>
      <c r="E27" s="2830"/>
      <c r="F27" s="2831"/>
      <c r="G27" s="2830"/>
      <c r="H27" s="2830"/>
      <c r="I27" s="2830"/>
      <c r="J27" s="2832"/>
      <c r="K27" s="1370"/>
      <c r="L27" s="2784"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2911</v>
      </c>
      <c r="C28" s="2835" t="s">
        <v>2912</v>
      </c>
      <c r="D28" s="2835" t="s">
        <v>2913</v>
      </c>
      <c r="E28" s="2836" t="s">
        <v>2914</v>
      </c>
      <c r="F28" s="2837"/>
      <c r="G28" s="2764"/>
      <c r="H28" s="2764"/>
      <c r="I28" s="2764"/>
      <c r="J28" s="2765"/>
      <c r="K28" s="1370"/>
      <c r="L28" s="2785"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2915</v>
      </c>
      <c r="C29" s="206">
        <f ca="1">ROUND(C5*C18*C19*C20*C21*C24,0)</f>
        <v>6246</v>
      </c>
      <c r="D29" s="2840">
        <f>'数据-汇总表'!F27</f>
        <v>47504.530000000006</v>
      </c>
      <c r="E29" s="942">
        <f ca="1">ROUND(C29*D29/10000,0)</f>
        <v>29671</v>
      </c>
      <c r="F29" s="2841" t="s">
        <v>2916</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2917</v>
      </c>
      <c r="C30" s="229">
        <f ca="1">ROUND(IF(E2="工业",C29*M39,C29*M38),0)</f>
        <v>1562</v>
      </c>
      <c r="D30" s="2846"/>
      <c r="E30" s="942">
        <f ca="1">ROUND(C30*D30/10000,0)</f>
        <v>0</v>
      </c>
      <c r="F30" s="2847" t="s">
        <v>2918</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2919</v>
      </c>
      <c r="C31" s="2852" t="s">
        <v>2920</v>
      </c>
      <c r="D31" s="2764"/>
      <c r="E31" s="2852"/>
      <c r="F31" s="2852"/>
      <c r="G31" s="2762" t="s">
        <v>2921</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2912</v>
      </c>
      <c r="D32" s="498" t="s">
        <v>2913</v>
      </c>
      <c r="E32" s="498" t="s">
        <v>2914</v>
      </c>
      <c r="F32" s="388" t="s">
        <v>2922</v>
      </c>
      <c r="G32" s="2855" t="s">
        <v>2912</v>
      </c>
      <c r="H32" s="2855" t="s">
        <v>2913</v>
      </c>
      <c r="I32" s="285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09" t="s">
        <v>2923</v>
      </c>
      <c r="B33" s="2856" t="s">
        <v>2924</v>
      </c>
      <c r="C33" s="206">
        <f ca="1">ROUND(D5*C19*C20*C24*F33,0)</f>
        <v>4516</v>
      </c>
      <c r="D33" s="2840">
        <f>'数据-基础表'!M13</f>
        <v>1057.5000000000005</v>
      </c>
      <c r="E33" s="200">
        <f ca="1">ROUND(C33*D33/10000,0)</f>
        <v>478</v>
      </c>
      <c r="F33" s="200">
        <f>SUMIF(修正!A45:A56,G2,修正!B45:B56)</f>
        <v>0.6</v>
      </c>
      <c r="G33" s="200">
        <f t="shared" ref="G33" ca="1" si="6">ROUND(IF(E2="工业",C33*$M$39,C33*$M$38),0)</f>
        <v>1129</v>
      </c>
      <c r="H33" s="200">
        <f>D33</f>
        <v>1057.5000000000005</v>
      </c>
      <c r="I33" s="200">
        <f ca="1">ROUND(G33*H33/10000,0)</f>
        <v>119</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0"/>
      <c r="B34" s="2768" t="s">
        <v>2925</v>
      </c>
      <c r="C34" s="206">
        <f ca="1">ROUND(D5*C19*C20*C24*F34,0)</f>
        <v>2258</v>
      </c>
      <c r="D34" s="2840"/>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0"/>
      <c r="B35" s="2768" t="s">
        <v>2926</v>
      </c>
      <c r="C35" s="206">
        <f ca="1">ROUND(D5*C19*C20*C24*F35,0)</f>
        <v>1505</v>
      </c>
      <c r="D35" s="2840"/>
      <c r="E35" s="200">
        <f t="shared" ca="1" si="7"/>
        <v>0</v>
      </c>
      <c r="F35" s="200">
        <f>SUMIF(修正!A45:A56,G2,修正!D45:D56)</f>
        <v>0.2</v>
      </c>
      <c r="G35" s="200">
        <f ca="1">ROUND(IF(E2="工业",C35*$M$39,C35*$M$38),0)</f>
        <v>376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11"/>
      <c r="B36" s="2768" t="s">
        <v>2927</v>
      </c>
      <c r="C36" s="206">
        <f ca="1">ROUND(D5*C19*C20*C24*F36,0)</f>
        <v>1505</v>
      </c>
      <c r="D36" s="2840"/>
      <c r="E36" s="200">
        <f t="shared" ca="1" si="7"/>
        <v>0</v>
      </c>
      <c r="F36" s="200">
        <f>SUMIF(修正!A45:A56,G2,修正!E45:E56)</f>
        <v>0.2</v>
      </c>
      <c r="G36" s="200">
        <f ca="1">ROUND(IF(E2="工业",C36*$M$39,C36*$M$38),0)</f>
        <v>376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2928</v>
      </c>
      <c r="C37" s="200">
        <f ca="1">ROUND(D5*C19*C20*C24*F37,0)</f>
        <v>1505</v>
      </c>
      <c r="D37" s="2840"/>
      <c r="E37" s="200">
        <f t="shared" ca="1" si="7"/>
        <v>0</v>
      </c>
      <c r="F37" s="206">
        <f>SUMIF(修正!A45:A56,G2,修正!F45:F56)</f>
        <v>0.2</v>
      </c>
      <c r="G37" s="200">
        <f ca="1">ROUND(IF(E2="工业",C37*$M$39,C37*$M$38),0)</f>
        <v>376</v>
      </c>
      <c r="H37" s="200">
        <f t="shared" si="8"/>
        <v>0</v>
      </c>
      <c r="I37" s="200">
        <f t="shared" ca="1" si="9"/>
        <v>0</v>
      </c>
      <c r="J37" s="2857"/>
      <c r="K37" s="1370"/>
      <c r="L37" s="2859" t="s">
        <v>2929</v>
      </c>
      <c r="M37" s="2860"/>
      <c r="N37" s="1370"/>
      <c r="O37" s="1370"/>
      <c r="P37" s="1370"/>
      <c r="Q37" s="1370"/>
      <c r="R37" s="1370"/>
      <c r="S37" s="1370"/>
      <c r="T37" s="1370"/>
      <c r="U37" s="1370"/>
      <c r="V37" s="1370"/>
      <c r="W37" s="1370"/>
      <c r="X37" s="1370"/>
      <c r="Y37" s="1370"/>
      <c r="Z37" s="1371"/>
    </row>
    <row r="38" spans="1:37">
      <c r="A38" s="2858"/>
      <c r="B38" s="2768" t="s">
        <v>2930</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2931</v>
      </c>
      <c r="M38" s="2861">
        <v>0.25</v>
      </c>
      <c r="N38" s="1370"/>
      <c r="O38" s="1370"/>
      <c r="P38" s="1370"/>
      <c r="Q38" s="1370"/>
      <c r="R38" s="1370"/>
      <c r="S38" s="1370"/>
      <c r="T38" s="1370"/>
      <c r="U38" s="1370"/>
      <c r="V38" s="1370"/>
      <c r="W38" s="1370"/>
      <c r="X38" s="1370"/>
      <c r="Y38" s="1370"/>
      <c r="Z38" s="1371"/>
    </row>
    <row r="39" spans="1:37" ht="13.5" thickBot="1">
      <c r="A39" s="2844"/>
      <c r="B39" s="2862" t="s">
        <v>2932</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3043</v>
      </c>
      <c r="C41" s="388">
        <f ca="1">ROUND(POWER(1+E41,H41-G41)*(POWER(1+E41,G41)-1)/(POWER(1+E41,H41)-1),4)</f>
        <v>0</v>
      </c>
      <c r="D41" s="200" t="s">
        <v>2882</v>
      </c>
      <c r="E41" s="2932">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2933</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2934</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2935</v>
      </c>
      <c r="B47" s="1809" t="s">
        <v>2936</v>
      </c>
      <c r="C47" s="1809" t="s">
        <v>2937</v>
      </c>
      <c r="D47" s="1809" t="s">
        <v>2938</v>
      </c>
      <c r="E47" s="819" t="s">
        <v>2939</v>
      </c>
      <c r="F47" s="2874" t="s">
        <v>2940</v>
      </c>
      <c r="G47" s="1809" t="s">
        <v>754</v>
      </c>
      <c r="H47" s="2875"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3" t="s">
        <v>2943</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2944</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2945</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2946</v>
      </c>
      <c r="B51" s="2878" t="s">
        <v>2947</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2948</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2949</v>
      </c>
      <c r="B53" s="2879" t="s">
        <v>2950</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2951</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2952</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2953</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2954</v>
      </c>
      <c r="B57" s="2870">
        <f>1+E59</f>
        <v>1.0351999999999999</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2935</v>
      </c>
      <c r="B58" s="1809"/>
      <c r="C58" s="1809" t="s">
        <v>2937</v>
      </c>
      <c r="D58" s="1809" t="s">
        <v>2938</v>
      </c>
      <c r="E58" s="819" t="s">
        <v>2939</v>
      </c>
      <c r="F58" s="2874" t="s">
        <v>2955</v>
      </c>
      <c r="G58" s="1809" t="s">
        <v>754</v>
      </c>
      <c r="H58" s="2875"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2956</v>
      </c>
      <c r="B59" s="2876" t="str">
        <f>估价对象房地状况!C17</f>
        <v>估价对象位于XX商圈，周边办公楼项目较多，入驻率高，办公集聚程度较好</v>
      </c>
      <c r="C59" s="2773" t="s">
        <v>3099</v>
      </c>
      <c r="D59" s="1286">
        <f t="shared" ref="D59:D67" si="15">SUMIF($J$58:$N$58,C59,J59:N59)</f>
        <v>0</v>
      </c>
      <c r="E59" s="821">
        <f>ROUND(SUM(D59:D67),4)</f>
        <v>3.5200000000000002E-2</v>
      </c>
      <c r="F59" s="2504">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3" t="s">
        <v>2944</v>
      </c>
      <c r="B60" s="2877" t="str">
        <f>估价对象房地状况!C18</f>
        <v>估价对象周边道路状况、公共交通通达情况、停车便捷程度，综合评价交通便捷度较好</v>
      </c>
      <c r="C60" s="2773" t="s">
        <v>3099</v>
      </c>
      <c r="D60" s="1286">
        <f t="shared" si="15"/>
        <v>0</v>
      </c>
      <c r="E60" s="822"/>
      <c r="F60" s="2504"/>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3" t="s">
        <v>2945</v>
      </c>
      <c r="B61" s="2877">
        <f>估价对象房地状况!C19</f>
        <v>0</v>
      </c>
      <c r="C61" s="2773" t="s">
        <v>3100</v>
      </c>
      <c r="D61" s="1286">
        <f t="shared" si="15"/>
        <v>6.0000000000000001E-3</v>
      </c>
      <c r="E61" s="822"/>
      <c r="F61" s="2504"/>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3" t="s">
        <v>2946</v>
      </c>
      <c r="B62" s="2878" t="s">
        <v>2947</v>
      </c>
      <c r="C62" s="2773" t="s">
        <v>3100</v>
      </c>
      <c r="D62" s="1286">
        <f t="shared" si="15"/>
        <v>3.0000000000000001E-3</v>
      </c>
      <c r="E62" s="822"/>
      <c r="F62" s="2504"/>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3" t="s">
        <v>2948</v>
      </c>
      <c r="B63" s="2877">
        <f>估价对象房地状况!C24</f>
        <v>0</v>
      </c>
      <c r="C63" s="2773" t="s">
        <v>3099</v>
      </c>
      <c r="D63" s="1286">
        <f t="shared" si="15"/>
        <v>0</v>
      </c>
      <c r="E63" s="822"/>
      <c r="F63" s="2504"/>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3" t="s">
        <v>2949</v>
      </c>
      <c r="B64" s="2879" t="s">
        <v>2950</v>
      </c>
      <c r="C64" s="2773" t="s">
        <v>3100</v>
      </c>
      <c r="D64" s="1286">
        <f t="shared" si="15"/>
        <v>3.7000000000000002E-3</v>
      </c>
      <c r="E64" s="822"/>
      <c r="F64" s="2504"/>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3" t="s">
        <v>2951</v>
      </c>
      <c r="B65" s="1725" t="str">
        <f>估价对象房地状况!C21</f>
        <v>估价对象所在区域公共配套设施齐备情况</v>
      </c>
      <c r="C65" s="2773" t="s">
        <v>3099</v>
      </c>
      <c r="D65" s="1286">
        <f t="shared" si="15"/>
        <v>0</v>
      </c>
      <c r="E65" s="822"/>
      <c r="F65" s="2504"/>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3" t="s">
        <v>2952</v>
      </c>
      <c r="B66" s="1725" t="str">
        <f>估价对象房地状况!C22</f>
        <v>估价对象所在区域基础设施水平</v>
      </c>
      <c r="C66" s="2773" t="s">
        <v>3101</v>
      </c>
      <c r="D66" s="1286">
        <f t="shared" si="15"/>
        <v>1.7999999999999999E-2</v>
      </c>
      <c r="E66" s="822"/>
      <c r="F66" s="2504"/>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81" t="s">
        <v>2953</v>
      </c>
      <c r="B67" s="2883" t="str">
        <f>估价对象房地状况!C20</f>
        <v>区域自然环境：；人文环境；综合评价环境状况一般</v>
      </c>
      <c r="C67" s="2773" t="s">
        <v>3100</v>
      </c>
      <c r="D67" s="1286">
        <f t="shared" si="15"/>
        <v>4.4999999999999997E-3</v>
      </c>
      <c r="E67" s="825"/>
      <c r="F67" s="2504"/>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9" t="s">
        <v>2957</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2935</v>
      </c>
      <c r="B69" s="1809"/>
      <c r="C69" s="1809" t="s">
        <v>2937</v>
      </c>
      <c r="D69" s="1809" t="s">
        <v>2938</v>
      </c>
      <c r="E69" s="819" t="s">
        <v>2939</v>
      </c>
      <c r="F69" s="2874" t="s">
        <v>2955</v>
      </c>
      <c r="G69" s="1809" t="s">
        <v>754</v>
      </c>
      <c r="H69" s="2875"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2958</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2944</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2945</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2959</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2951</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2952</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2949</v>
      </c>
      <c r="B76" s="2879" t="s">
        <v>2950</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2953</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2960</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2961</v>
      </c>
      <c r="B79" s="2870">
        <f>1+E81</f>
        <v>1</v>
      </c>
      <c r="C79" s="814"/>
      <c r="D79" s="814"/>
      <c r="E79" s="815"/>
      <c r="F79" s="2872"/>
      <c r="G79" s="6"/>
      <c r="H79" s="6"/>
      <c r="I79" s="6"/>
      <c r="J79" s="7"/>
      <c r="K79" s="7"/>
      <c r="L79" s="7"/>
      <c r="M79" s="7"/>
      <c r="N79" s="7"/>
      <c r="Z79" s="2723"/>
      <c r="AA79" s="2791"/>
      <c r="AG79" s="1372"/>
      <c r="AK79" s="2791"/>
    </row>
    <row r="80" spans="1:37" ht="24.75">
      <c r="A80" s="2873" t="s">
        <v>2935</v>
      </c>
      <c r="B80" s="1809"/>
      <c r="C80" s="1809" t="s">
        <v>2937</v>
      </c>
      <c r="D80" s="1809" t="s">
        <v>2938</v>
      </c>
      <c r="E80" s="819" t="s">
        <v>2939</v>
      </c>
      <c r="F80" s="2874" t="s">
        <v>2955</v>
      </c>
      <c r="G80" s="1809" t="s">
        <v>754</v>
      </c>
      <c r="H80" s="2875" t="s">
        <v>2941</v>
      </c>
      <c r="I80" s="1809" t="s">
        <v>2942</v>
      </c>
      <c r="J80" s="603" t="s">
        <v>2591</v>
      </c>
      <c r="K80" s="603" t="s">
        <v>2592</v>
      </c>
      <c r="L80" s="603" t="s">
        <v>2593</v>
      </c>
      <c r="M80" s="603" t="s">
        <v>2594</v>
      </c>
      <c r="N80" s="603" t="s">
        <v>2595</v>
      </c>
      <c r="Z80" s="2723"/>
      <c r="AA80" s="2791"/>
      <c r="AG80" s="1372"/>
      <c r="AK80" s="2791"/>
    </row>
    <row r="81" spans="1:37" ht="38.25">
      <c r="A81" s="2873" t="s">
        <v>2962</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2944</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2945</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2959</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2951</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2952</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2949</v>
      </c>
      <c r="B87" s="2879" t="s">
        <v>2963</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2964</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03" t="s">
        <v>2965</v>
      </c>
      <c r="B90" s="3203"/>
      <c r="C90" s="3203"/>
      <c r="D90" s="3203"/>
      <c r="E90" s="3203"/>
      <c r="F90" s="3203"/>
      <c r="G90" s="3203"/>
      <c r="H90" s="3203"/>
      <c r="I90" s="3203"/>
      <c r="J90" s="3203"/>
      <c r="K90" s="2887"/>
      <c r="L90" s="2887"/>
      <c r="M90" s="2887"/>
      <c r="N90" s="2887"/>
    </row>
    <row r="91" spans="1:37">
      <c r="A91" s="3205" t="s">
        <v>2966</v>
      </c>
      <c r="B91" s="3205" t="s">
        <v>2967</v>
      </c>
      <c r="C91" s="2841" t="s">
        <v>2968</v>
      </c>
      <c r="D91" s="2842"/>
      <c r="E91" s="2842"/>
      <c r="F91" s="2842"/>
      <c r="G91" s="2842"/>
      <c r="H91" s="2842"/>
      <c r="I91" s="2842"/>
      <c r="J91" s="2888"/>
      <c r="K91" s="2889"/>
      <c r="L91" s="2889"/>
      <c r="M91" s="2889"/>
      <c r="N91" s="2889"/>
    </row>
    <row r="92" spans="1:37">
      <c r="A92" s="3205"/>
      <c r="B92" s="3205"/>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06"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0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0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0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0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0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07"/>
      <c r="B99" s="2890" t="s">
        <v>2850</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0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06" t="s">
        <v>2970</v>
      </c>
      <c r="B101" s="2894" t="s">
        <v>2971</v>
      </c>
      <c r="C101" s="2895">
        <f>$G$3</f>
        <v>2.48</v>
      </c>
      <c r="D101" s="2895">
        <f t="shared" ref="D101:N101" si="32">$G$3</f>
        <v>2.48</v>
      </c>
      <c r="E101" s="2895">
        <f t="shared" si="32"/>
        <v>2.48</v>
      </c>
      <c r="F101" s="2895">
        <f t="shared" si="32"/>
        <v>2.48</v>
      </c>
      <c r="G101" s="2895">
        <f t="shared" si="32"/>
        <v>2.48</v>
      </c>
      <c r="H101" s="2895">
        <f t="shared" si="32"/>
        <v>2.48</v>
      </c>
      <c r="I101" s="2895">
        <f t="shared" si="32"/>
        <v>2.48</v>
      </c>
      <c r="J101" s="2895">
        <f t="shared" si="32"/>
        <v>2.48</v>
      </c>
      <c r="K101" s="2895">
        <f t="shared" si="32"/>
        <v>2.48</v>
      </c>
      <c r="L101" s="2895">
        <f t="shared" si="32"/>
        <v>2.48</v>
      </c>
      <c r="M101" s="2895">
        <f t="shared" si="32"/>
        <v>2.48</v>
      </c>
      <c r="N101" s="2895">
        <f t="shared" si="32"/>
        <v>2.48</v>
      </c>
    </row>
    <row r="102" spans="1:14">
      <c r="A102" s="3207"/>
      <c r="B102" s="2890">
        <v>1</v>
      </c>
      <c r="C102" s="2891">
        <f>1.9362/C101</f>
        <v>0.78072580645161282</v>
      </c>
      <c r="D102" s="2891">
        <f>1.9362/D101</f>
        <v>0.78072580645161282</v>
      </c>
      <c r="E102" s="2891">
        <f>1.8629/E101</f>
        <v>0.75116935483870972</v>
      </c>
      <c r="F102" s="2891">
        <f>1.8629/F101</f>
        <v>0.75116935483870972</v>
      </c>
      <c r="G102" s="2891">
        <f>1.8629/G101</f>
        <v>0.75116935483870972</v>
      </c>
      <c r="H102" s="2891">
        <f>1.8629/H101</f>
        <v>0.75116935483870972</v>
      </c>
      <c r="I102" s="2891">
        <f>1.8629/I101</f>
        <v>0.75116935483870972</v>
      </c>
      <c r="J102" s="2891">
        <f>1.942/J101</f>
        <v>0.78306451612903227</v>
      </c>
      <c r="K102" s="2891">
        <f>1.942/K101</f>
        <v>0.78306451612903227</v>
      </c>
      <c r="L102" s="2891">
        <f>1.942/L101</f>
        <v>0.78306451612903227</v>
      </c>
      <c r="M102" s="2891">
        <f>1.942/M101</f>
        <v>0.78306451612903227</v>
      </c>
      <c r="N102" s="2891">
        <f>1.942/N101</f>
        <v>0.78306451612903227</v>
      </c>
    </row>
    <row r="103" spans="1:14">
      <c r="A103" s="3207"/>
      <c r="B103" s="2890">
        <v>2</v>
      </c>
      <c r="C103" s="2891">
        <f>1.4198/C101</f>
        <v>0.57250000000000001</v>
      </c>
      <c r="D103" s="2891">
        <f>1.4198/D101</f>
        <v>0.57250000000000001</v>
      </c>
      <c r="E103" s="2891">
        <f>1.3372/E101</f>
        <v>0.53919354838709677</v>
      </c>
      <c r="F103" s="2891">
        <f>1.3372/F101</f>
        <v>0.53919354838709677</v>
      </c>
      <c r="G103" s="2891">
        <f>1.3372/G101</f>
        <v>0.53919354838709677</v>
      </c>
      <c r="H103" s="2891">
        <f>1.3372/H101</f>
        <v>0.53919354838709677</v>
      </c>
      <c r="I103" s="2891">
        <f>1.3372/I101</f>
        <v>0.53919354838709677</v>
      </c>
      <c r="J103" s="2891">
        <f>1.2799/J101</f>
        <v>0.51608870967741938</v>
      </c>
      <c r="K103" s="2891">
        <f>1.2799/K101</f>
        <v>0.51608870967741938</v>
      </c>
      <c r="L103" s="2891">
        <f>1.2799/L101</f>
        <v>0.51608870967741938</v>
      </c>
      <c r="M103" s="2891">
        <f>1.2799/M101</f>
        <v>0.51608870967741938</v>
      </c>
      <c r="N103" s="2891">
        <f>1.2799/N101</f>
        <v>0.51608870967741938</v>
      </c>
    </row>
    <row r="104" spans="1:14">
      <c r="A104" s="3207"/>
      <c r="B104" s="2890">
        <v>3</v>
      </c>
      <c r="C104" s="2891">
        <f>1.1594/C101</f>
        <v>0.46749999999999997</v>
      </c>
      <c r="D104" s="2891">
        <f>1.1594/D101</f>
        <v>0.46749999999999997</v>
      </c>
      <c r="E104" s="2891">
        <f>1.0788/E101</f>
        <v>0.435</v>
      </c>
      <c r="F104" s="2891">
        <f>1.0788/F101</f>
        <v>0.435</v>
      </c>
      <c r="G104" s="2891">
        <f>1.0788/G101</f>
        <v>0.435</v>
      </c>
      <c r="H104" s="2891">
        <f>1.0788/H101</f>
        <v>0.435</v>
      </c>
      <c r="I104" s="2891">
        <f>1.0788/I101</f>
        <v>0.435</v>
      </c>
      <c r="J104" s="2891">
        <f>1.0072/J101</f>
        <v>0.40612903225806457</v>
      </c>
      <c r="K104" s="2891">
        <f>1.0072/K101</f>
        <v>0.40612903225806457</v>
      </c>
      <c r="L104" s="2891">
        <f>1.0072/L101</f>
        <v>0.40612903225806457</v>
      </c>
      <c r="M104" s="2891">
        <f>1.0072/M101</f>
        <v>0.40612903225806457</v>
      </c>
      <c r="N104" s="2891">
        <f>1.0072/N101</f>
        <v>0.40612903225806457</v>
      </c>
    </row>
    <row r="105" spans="1:14">
      <c r="A105" s="3207"/>
      <c r="B105" s="2890">
        <v>4</v>
      </c>
      <c r="C105" s="2891">
        <f>0.9622/C101</f>
        <v>0.38798387096774195</v>
      </c>
      <c r="D105" s="2891">
        <f>0.9622/D101</f>
        <v>0.38798387096774195</v>
      </c>
      <c r="E105" s="2891">
        <f>0.8656/E101</f>
        <v>0.34903225806451615</v>
      </c>
      <c r="F105" s="2891">
        <f>0.8656/F101</f>
        <v>0.34903225806451615</v>
      </c>
      <c r="G105" s="2891">
        <f>0.8656/G101</f>
        <v>0.34903225806451615</v>
      </c>
      <c r="H105" s="2891">
        <f>0.8656/H101</f>
        <v>0.34903225806451615</v>
      </c>
      <c r="I105" s="2891">
        <f>0.8656/I101</f>
        <v>0.34903225806451615</v>
      </c>
      <c r="J105" s="2891">
        <f>0.7525/J101</f>
        <v>0.30342741935483869</v>
      </c>
      <c r="K105" s="2891">
        <f>0.7525/K101</f>
        <v>0.30342741935483869</v>
      </c>
      <c r="L105" s="2891">
        <f>0.7525/L101</f>
        <v>0.30342741935483869</v>
      </c>
      <c r="M105" s="2891">
        <f>0.7525/M101</f>
        <v>0.30342741935483869</v>
      </c>
      <c r="N105" s="2891">
        <f>0.7525/N101</f>
        <v>0.30342741935483869</v>
      </c>
    </row>
    <row r="106" spans="1:14">
      <c r="A106" s="3207"/>
      <c r="B106" s="2890">
        <v>5</v>
      </c>
      <c r="C106" s="2891">
        <f>0.8417/C101</f>
        <v>0.3393951612903226</v>
      </c>
      <c r="D106" s="2891">
        <f>0.8417/D101</f>
        <v>0.3393951612903226</v>
      </c>
      <c r="E106" s="2891">
        <f>0.7371/E101</f>
        <v>0.29721774193548384</v>
      </c>
      <c r="F106" s="2891">
        <f>0.7371/F101</f>
        <v>0.29721774193548384</v>
      </c>
      <c r="G106" s="2891">
        <f>0.7371/G101</f>
        <v>0.29721774193548384</v>
      </c>
      <c r="H106" s="2891">
        <f>0.7371/H101</f>
        <v>0.29721774193548384</v>
      </c>
      <c r="I106" s="2891">
        <f>0.7371/I101</f>
        <v>0.29721774193548384</v>
      </c>
      <c r="J106" s="2891">
        <f>0.5659/J101</f>
        <v>0.22818548387096774</v>
      </c>
      <c r="K106" s="2891">
        <f>0.5659/K101</f>
        <v>0.22818548387096774</v>
      </c>
      <c r="L106" s="2891">
        <f>0.5659/L101</f>
        <v>0.22818548387096774</v>
      </c>
      <c r="M106" s="2891">
        <f>0.5659/M101</f>
        <v>0.22818548387096774</v>
      </c>
      <c r="N106" s="2891">
        <f>0.5659/N101</f>
        <v>0.22818548387096774</v>
      </c>
    </row>
    <row r="107" spans="1:14">
      <c r="A107" s="3207"/>
      <c r="B107" s="2890">
        <v>6</v>
      </c>
      <c r="C107" s="2891">
        <f>0.7608/C101</f>
        <v>0.30677419354838709</v>
      </c>
      <c r="D107" s="2891">
        <f>0.7608/D101</f>
        <v>0.30677419354838709</v>
      </c>
      <c r="E107" s="2891">
        <f>0.6482/E101</f>
        <v>0.26137096774193547</v>
      </c>
      <c r="F107" s="2891">
        <f>0.6482/F101</f>
        <v>0.26137096774193547</v>
      </c>
      <c r="G107" s="2891">
        <f>0.6482/G101</f>
        <v>0.26137096774193547</v>
      </c>
      <c r="H107" s="2891">
        <f>0.6482/H101</f>
        <v>0.26137096774193547</v>
      </c>
      <c r="I107" s="2891">
        <f>0.6482/I101</f>
        <v>0.26137096774193547</v>
      </c>
      <c r="J107" s="2891">
        <f>0.4525/J101</f>
        <v>0.18245967741935484</v>
      </c>
      <c r="K107" s="2891">
        <f>0.4525/K101</f>
        <v>0.18245967741935484</v>
      </c>
      <c r="L107" s="2891">
        <f>0.4525/L101</f>
        <v>0.18245967741935484</v>
      </c>
      <c r="M107" s="2891">
        <f>0.4525/M101</f>
        <v>0.18245967741935484</v>
      </c>
      <c r="N107" s="2891">
        <f>0.4525/N101</f>
        <v>0.18245967741935484</v>
      </c>
    </row>
    <row r="108" spans="1:14">
      <c r="A108" s="3207"/>
      <c r="B108" s="3132" t="s">
        <v>2972</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08"/>
      <c r="B109" s="3133"/>
      <c r="C109" s="2893">
        <f>(-0.163*(C108^2)-0.59*C108+7617)*(10^(-4))/C101</f>
        <v>0.30713709677419354</v>
      </c>
      <c r="D109" s="2893">
        <f>(-0.163*(D108^2)-0.59*D108+7617)*(10^(-4))/D101</f>
        <v>0.30713709677419354</v>
      </c>
      <c r="E109" s="2893">
        <f>(-0.161*(E108^2)-7.509*E108+6533)*(10^(-4))/E101</f>
        <v>0.26342741935483871</v>
      </c>
      <c r="F109" s="2893">
        <f>(-0.161*(F108^2)-7.509*F108+6533)*(10^(-4))/F101</f>
        <v>0.26342741935483871</v>
      </c>
      <c r="G109" s="2893">
        <f>(-0.161*(G108^2)-7.509*G108+6533)*(10^(-4))/G101</f>
        <v>0.26342741935483871</v>
      </c>
      <c r="H109" s="2893">
        <f>(-0.161*(H108^2)-7.509*H108+6533)*(10^(-4))/H101</f>
        <v>0.26342741935483871</v>
      </c>
      <c r="I109" s="2893">
        <f>(-0.161*(I108^2)-7.509*I108+6533)*(10^(-4))/I101</f>
        <v>0.26342741935483871</v>
      </c>
      <c r="J109" s="2893">
        <f>(-0.214*(J108^2)-21.991*J108+4665)*(10^(-4))/J101</f>
        <v>0.18810483870967742</v>
      </c>
      <c r="K109" s="2893">
        <f>(-0.214*(K108^2)-21.991*K108+4665)*(10^(-4))/K101</f>
        <v>0.18810483870967742</v>
      </c>
      <c r="L109" s="2893">
        <f>(-0.214*(L108^2)-21.991*L108+4665)*(10^(-4))/L101</f>
        <v>0.18810483870967742</v>
      </c>
      <c r="M109" s="2893">
        <f>(-0.214*(M108^2)-21.991*M108+4665)*(10^(-4))/M101</f>
        <v>0.18810483870967742</v>
      </c>
      <c r="N109" s="2893">
        <f>(-0.214*(N108^2)-21.991*N108+4665)*(10^(-4))/N101</f>
        <v>0.18810483870967742</v>
      </c>
    </row>
    <row r="110" spans="1:14">
      <c r="A110" s="3204" t="s">
        <v>2973</v>
      </c>
      <c r="B110" s="3204"/>
      <c r="C110" s="3204"/>
      <c r="D110" s="3204"/>
      <c r="E110" s="3204"/>
      <c r="F110" s="3204"/>
      <c r="G110" s="3204"/>
      <c r="H110" s="3204"/>
      <c r="I110" s="3204"/>
      <c r="J110" s="3204"/>
      <c r="K110" s="2896"/>
      <c r="L110" s="2896"/>
      <c r="M110" s="2896"/>
      <c r="N110" s="2896"/>
    </row>
    <row r="112" spans="1:14" ht="13.5" thickBot="1"/>
    <row r="113" spans="1:13" ht="25.5" thickBot="1">
      <c r="A113" s="903" t="s">
        <v>2974</v>
      </c>
      <c r="B113" s="1287">
        <f>G3</f>
        <v>2.48</v>
      </c>
      <c r="C113" s="904" t="s">
        <v>2975</v>
      </c>
      <c r="D113" s="905">
        <f>SUMPRODUCT((A115:A118=F113)*(B114:M114=H113)*B115:M118)</f>
        <v>0.73470000000000002</v>
      </c>
      <c r="E113" s="2727" t="s">
        <v>2807</v>
      </c>
      <c r="F113" s="2898" t="str">
        <f>E2</f>
        <v>办公</v>
      </c>
      <c r="G113" s="2727" t="s">
        <v>2808</v>
      </c>
      <c r="H113" s="2898" t="str">
        <f>G2</f>
        <v>八级</v>
      </c>
      <c r="I113" s="2727"/>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2872</v>
      </c>
      <c r="B115" s="910">
        <f>ROUND(0.9335-0.0094*B113,4)</f>
        <v>0.91020000000000001</v>
      </c>
      <c r="C115" s="910">
        <f>B115</f>
        <v>0.91020000000000001</v>
      </c>
      <c r="D115" s="910">
        <f>ROUND(0.8331-0.0109*B113,4)</f>
        <v>0.80610000000000004</v>
      </c>
      <c r="E115" s="910">
        <f>D115</f>
        <v>0.80610000000000004</v>
      </c>
      <c r="F115" s="910">
        <f>E115</f>
        <v>0.80610000000000004</v>
      </c>
      <c r="G115" s="910">
        <f>F115</f>
        <v>0.80610000000000004</v>
      </c>
      <c r="H115" s="910">
        <f>G115</f>
        <v>0.80610000000000004</v>
      </c>
      <c r="I115" s="910">
        <f>ROUND(0.689-0.0155*B113,4)</f>
        <v>0.65059999999999996</v>
      </c>
      <c r="J115" s="910">
        <f t="shared" ref="J115:M118" si="34">I115</f>
        <v>0.65059999999999996</v>
      </c>
      <c r="K115" s="910">
        <f t="shared" si="34"/>
        <v>0.65059999999999996</v>
      </c>
      <c r="L115" s="910">
        <f t="shared" si="34"/>
        <v>0.65059999999999996</v>
      </c>
      <c r="M115" s="911">
        <f t="shared" si="34"/>
        <v>0.65059999999999996</v>
      </c>
    </row>
    <row r="116" spans="1:13">
      <c r="A116" s="909" t="s">
        <v>2873</v>
      </c>
      <c r="B116" s="910">
        <f>ROUND(0.949-0.012*B113,4)</f>
        <v>0.91920000000000002</v>
      </c>
      <c r="C116" s="910">
        <f>B116</f>
        <v>0.91920000000000002</v>
      </c>
      <c r="D116" s="910">
        <f>ROUND(0.8567-0.013*B113,4)</f>
        <v>0.82450000000000001</v>
      </c>
      <c r="E116" s="910">
        <f t="shared" ref="E116:H117" si="35">D116</f>
        <v>0.82450000000000001</v>
      </c>
      <c r="F116" s="910">
        <f t="shared" si="35"/>
        <v>0.82450000000000001</v>
      </c>
      <c r="G116" s="910">
        <f t="shared" si="35"/>
        <v>0.82450000000000001</v>
      </c>
      <c r="H116" s="910">
        <f t="shared" si="35"/>
        <v>0.82450000000000001</v>
      </c>
      <c r="I116" s="910">
        <f>ROUND(0.7694-0.014*B113,4)</f>
        <v>0.73470000000000002</v>
      </c>
      <c r="J116" s="910">
        <f t="shared" si="34"/>
        <v>0.73470000000000002</v>
      </c>
      <c r="K116" s="910">
        <f t="shared" si="34"/>
        <v>0.73470000000000002</v>
      </c>
      <c r="L116" s="910">
        <f t="shared" si="34"/>
        <v>0.73470000000000002</v>
      </c>
      <c r="M116" s="911">
        <f t="shared" si="34"/>
        <v>0.73470000000000002</v>
      </c>
    </row>
    <row r="117" spans="1:13">
      <c r="A117" s="909" t="s">
        <v>2874</v>
      </c>
      <c r="B117" s="910">
        <f>ROUND(0.8808-0.006*B113,4)</f>
        <v>0.8659</v>
      </c>
      <c r="C117" s="910">
        <f>B117</f>
        <v>0.8659</v>
      </c>
      <c r="D117" s="910">
        <f>ROUND(0.8748-0.008*B113,4)</f>
        <v>0.85499999999999998</v>
      </c>
      <c r="E117" s="910">
        <f t="shared" si="35"/>
        <v>0.85499999999999998</v>
      </c>
      <c r="F117" s="910">
        <f t="shared" si="35"/>
        <v>0.85499999999999998</v>
      </c>
      <c r="G117" s="910">
        <f t="shared" si="35"/>
        <v>0.85499999999999998</v>
      </c>
      <c r="H117" s="910">
        <f t="shared" si="35"/>
        <v>0.85499999999999998</v>
      </c>
      <c r="I117" s="910">
        <f>ROUND(0.7412-0.0095*B113,4)</f>
        <v>0.71760000000000002</v>
      </c>
      <c r="J117" s="910">
        <f t="shared" si="34"/>
        <v>0.71760000000000002</v>
      </c>
      <c r="K117" s="910">
        <f t="shared" si="34"/>
        <v>0.71760000000000002</v>
      </c>
      <c r="L117" s="910">
        <f t="shared" si="34"/>
        <v>0.71760000000000002</v>
      </c>
      <c r="M117" s="911">
        <f t="shared" si="34"/>
        <v>0.71760000000000002</v>
      </c>
    </row>
    <row r="118" spans="1:13" ht="13.5" thickBot="1">
      <c r="A118" s="714" t="s">
        <v>2875</v>
      </c>
      <c r="B118" s="912">
        <f>ROUND(0.7275-0.01*B113,4)</f>
        <v>0.70269999999999999</v>
      </c>
      <c r="C118" s="912">
        <f>B118</f>
        <v>0.70269999999999999</v>
      </c>
      <c r="D118" s="912">
        <f>ROUND(0.7043-0.012*B113,4)</f>
        <v>0.67449999999999999</v>
      </c>
      <c r="E118" s="912">
        <f>D118</f>
        <v>0.67449999999999999</v>
      </c>
      <c r="F118" s="912">
        <f>E118</f>
        <v>0.67449999999999999</v>
      </c>
      <c r="G118" s="912">
        <f>ROUND(0.6299-0.0122*B113,4)</f>
        <v>0.59960000000000002</v>
      </c>
      <c r="H118" s="912">
        <f>G118</f>
        <v>0.59960000000000002</v>
      </c>
      <c r="I118" s="912">
        <f>ROUND(0.5667-0.0136*B113,4)</f>
        <v>0.53300000000000003</v>
      </c>
      <c r="J118" s="912">
        <f t="shared" si="34"/>
        <v>0.53300000000000003</v>
      </c>
      <c r="K118" s="912">
        <f t="shared" si="34"/>
        <v>0.53300000000000003</v>
      </c>
      <c r="L118" s="912">
        <f t="shared" si="34"/>
        <v>0.53300000000000003</v>
      </c>
      <c r="M118" s="913">
        <f t="shared" si="34"/>
        <v>0.53300000000000003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15" sqref="F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123701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25473</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25" t="s">
        <v>2642</v>
      </c>
      <c r="AC4" s="3224" t="s">
        <v>2643</v>
      </c>
    </row>
    <row r="5" spans="1:30" ht="15">
      <c r="A5" s="404"/>
      <c r="B5" s="405"/>
      <c r="C5" s="3235" t="s">
        <v>2536</v>
      </c>
      <c r="D5" s="3236"/>
      <c r="E5" s="3233" t="str">
        <f>Sheet1!A22</f>
        <v>朝阳区金盏乡楼梓庄村1113-602地块</v>
      </c>
      <c r="F5" s="3234"/>
      <c r="G5" s="3235" t="str">
        <f>Sheet1!A26</f>
        <v>朝阳区金盏乡楼梓庄村1113-603地块</v>
      </c>
      <c r="H5" s="3236"/>
      <c r="I5" s="3235" t="str">
        <f>Sheet1!A27</f>
        <v>朝阳区金盏乡楼梓庄村1113-604地块</v>
      </c>
      <c r="J5" s="3236"/>
      <c r="K5" s="610"/>
      <c r="L5" s="1130"/>
      <c r="M5" s="1131"/>
      <c r="N5" s="1131"/>
      <c r="O5" s="1131"/>
      <c r="P5" s="3248"/>
      <c r="Q5" s="3249"/>
      <c r="R5" s="3231"/>
      <c r="S5" s="3232"/>
      <c r="T5" s="3231"/>
      <c r="U5" s="3232"/>
      <c r="V5" s="3254"/>
      <c r="W5" s="3254"/>
      <c r="X5" s="1813"/>
      <c r="Y5" s="3231"/>
      <c r="Z5" s="3232"/>
      <c r="AA5" s="3225"/>
      <c r="AB5" s="3225"/>
      <c r="AC5" s="3225"/>
    </row>
    <row r="6" spans="1:30" ht="15.75" thickBot="1">
      <c r="A6" s="406"/>
      <c r="B6" s="407"/>
      <c r="C6" s="3237" t="s">
        <v>2540</v>
      </c>
      <c r="D6" s="3238"/>
      <c r="E6" s="3239" t="s">
        <v>2540</v>
      </c>
      <c r="F6" s="3240"/>
      <c r="G6" s="3237" t="s">
        <v>2540</v>
      </c>
      <c r="H6" s="3238"/>
      <c r="I6" s="3237" t="s">
        <v>2540</v>
      </c>
      <c r="J6" s="3238"/>
      <c r="K6" s="610" t="s">
        <v>2541</v>
      </c>
      <c r="L6" s="1130"/>
      <c r="M6" s="1131"/>
      <c r="N6" s="1131"/>
      <c r="O6" s="1131"/>
      <c r="P6" s="3250"/>
      <c r="Q6" s="3251"/>
      <c r="R6" s="3231"/>
      <c r="S6" s="3232"/>
      <c r="T6" s="3252"/>
      <c r="U6" s="3253"/>
      <c r="V6" s="3254"/>
      <c r="W6" s="3254"/>
      <c r="X6" s="1813"/>
      <c r="Y6" s="3252"/>
      <c r="Z6" s="3253"/>
      <c r="AA6" s="3226"/>
      <c r="AB6" s="3226"/>
      <c r="AC6" s="3226"/>
    </row>
    <row r="7" spans="1:30" s="117" customFormat="1" ht="15.75" thickBot="1">
      <c r="A7" s="408" t="s">
        <v>2542</v>
      </c>
      <c r="B7" s="409"/>
      <c r="C7" s="410">
        <f>'数据-取费表'!B2</f>
        <v>43603</v>
      </c>
      <c r="D7" s="411">
        <v>100</v>
      </c>
      <c r="E7" s="412" t="str">
        <f>Sheet1!H22</f>
        <v>2017-04-14</v>
      </c>
      <c r="F7" s="413">
        <f>SUMIF(70:70,YEAR(E7)&amp;"-"&amp;INT((MONTH(E7)+2)/3),71:71)</f>
        <v>92</v>
      </c>
      <c r="G7" s="2699" t="str">
        <f>Sheet1!H26</f>
        <v>2017-03-30</v>
      </c>
      <c r="H7" s="411">
        <f>SUMIF(70:70,YEAR(G7)&amp;"-"&amp;INT((MONTH(G7)+2)/3),71:71)</f>
        <v>91</v>
      </c>
      <c r="I7" s="2699" t="str">
        <f>Sheet1!H27</f>
        <v>2017-03-30</v>
      </c>
      <c r="J7" s="411">
        <f>SUMIF(70:70,YEAR(I7)&amp;"-"&amp;INT((MONTH(I7)+2)/3),71:71)</f>
        <v>91</v>
      </c>
      <c r="K7" s="611"/>
      <c r="L7" s="1132"/>
      <c r="M7" s="1133"/>
      <c r="N7" s="1133"/>
      <c r="O7" s="1133"/>
      <c r="P7" s="3227" t="s">
        <v>2543</v>
      </c>
      <c r="Q7" s="3255"/>
      <c r="R7" s="770" t="s">
        <v>17</v>
      </c>
      <c r="S7" s="771">
        <f t="shared" ref="S7:S15" si="0">F7</f>
        <v>92</v>
      </c>
      <c r="T7" s="770" t="s">
        <v>17</v>
      </c>
      <c r="U7" s="771">
        <f t="shared" ref="U7:U15" si="1">H7</f>
        <v>91</v>
      </c>
      <c r="V7" s="770" t="s">
        <v>17</v>
      </c>
      <c r="W7" s="771">
        <f t="shared" ref="W7:W15" si="2">J7</f>
        <v>91</v>
      </c>
      <c r="X7" s="772"/>
      <c r="Y7" s="3227" t="s">
        <v>2543</v>
      </c>
      <c r="Z7" s="3228"/>
      <c r="AA7" s="773">
        <f>D7/F7</f>
        <v>1.0869565217391304</v>
      </c>
      <c r="AB7" s="773">
        <f>D7/H7</f>
        <v>1.098901098901099</v>
      </c>
      <c r="AC7" s="773">
        <f>D7/J7</f>
        <v>1.098901098901099</v>
      </c>
    </row>
    <row r="8" spans="1:30" s="117" customFormat="1" ht="15.75" thickBot="1">
      <c r="A8" s="408" t="s">
        <v>2544</v>
      </c>
      <c r="B8" s="409"/>
      <c r="C8" s="414" t="s">
        <v>2545</v>
      </c>
      <c r="D8" s="411">
        <v>100</v>
      </c>
      <c r="E8" s="2961" t="s">
        <v>3268</v>
      </c>
      <c r="F8" s="413">
        <f>SUMIF(73:73,E8,74:74)-SUMIF(73:73,C8,74:74)+100</f>
        <v>100</v>
      </c>
      <c r="G8" s="2961" t="s">
        <v>3268</v>
      </c>
      <c r="H8" s="411">
        <f>SUMIF(73:73,G8,74:74)-SUMIF(73:73,C8,74:74)+100</f>
        <v>100</v>
      </c>
      <c r="I8" s="2961" t="s">
        <v>3268</v>
      </c>
      <c r="J8" s="411">
        <f>SUMIF(73:73,I8,74:74)-SUMIF(73:73,C8,74:74)+100</f>
        <v>100</v>
      </c>
      <c r="K8" s="611"/>
      <c r="L8" s="1132"/>
      <c r="M8" s="1133"/>
      <c r="N8" s="1133"/>
      <c r="O8" s="1133"/>
      <c r="P8" s="3227" t="s">
        <v>2546</v>
      </c>
      <c r="Q8" s="3228"/>
      <c r="R8" s="770" t="s">
        <v>17</v>
      </c>
      <c r="S8" s="771">
        <f t="shared" si="0"/>
        <v>100</v>
      </c>
      <c r="T8" s="770" t="s">
        <v>17</v>
      </c>
      <c r="U8" s="771">
        <f t="shared" si="1"/>
        <v>100</v>
      </c>
      <c r="V8" s="770" t="s">
        <v>17</v>
      </c>
      <c r="W8" s="771">
        <f t="shared" si="2"/>
        <v>100</v>
      </c>
      <c r="X8" s="772"/>
      <c r="Y8" s="3227" t="s">
        <v>2546</v>
      </c>
      <c r="Z8" s="3228"/>
      <c r="AA8" s="773">
        <f t="shared" ref="AA8:AA45" si="3">D8/F8</f>
        <v>1</v>
      </c>
      <c r="AB8" s="773">
        <f t="shared" ref="AB8:AB45" si="4">D8/H8</f>
        <v>1</v>
      </c>
      <c r="AC8" s="773">
        <f t="shared" ref="AC8:AC45" si="5">D8/J8</f>
        <v>1</v>
      </c>
    </row>
    <row r="9" spans="1:30" s="117" customFormat="1">
      <c r="A9" s="415" t="s">
        <v>2547</v>
      </c>
      <c r="B9" s="71" t="s">
        <v>2548</v>
      </c>
      <c r="C9" s="2997" t="s">
        <v>3304</v>
      </c>
      <c r="D9" s="135">
        <v>100</v>
      </c>
      <c r="E9" s="2997" t="s">
        <v>3305</v>
      </c>
      <c r="F9" s="135">
        <f>SUMIF(75:75,E9,76:76)-SUMIF(75:75,C9,76:76)+100</f>
        <v>105</v>
      </c>
      <c r="G9" s="2997" t="s">
        <v>3305</v>
      </c>
      <c r="H9" s="135">
        <f>SUMIF(75:75,G9,76:76)-SUMIF(75:75,C9,76:76)+100</f>
        <v>105</v>
      </c>
      <c r="I9" s="2997" t="s">
        <v>3305</v>
      </c>
      <c r="J9" s="135">
        <f>SUMIF(75:75,I9,76:76)-SUMIF(75:75,C9,76:76)+100</f>
        <v>105</v>
      </c>
      <c r="K9" s="611"/>
      <c r="L9" s="1132"/>
      <c r="M9" s="1133"/>
      <c r="N9" s="1133"/>
      <c r="O9" s="1134"/>
      <c r="P9" s="3241" t="s">
        <v>2549</v>
      </c>
      <c r="Q9" s="1795" t="str">
        <f t="shared" ref="Q9:Q15" si="6">B9</f>
        <v>用途</v>
      </c>
      <c r="R9" s="770" t="s">
        <v>17</v>
      </c>
      <c r="S9" s="771">
        <f t="shared" si="0"/>
        <v>105</v>
      </c>
      <c r="T9" s="770" t="s">
        <v>17</v>
      </c>
      <c r="U9" s="771">
        <f t="shared" si="1"/>
        <v>105</v>
      </c>
      <c r="V9" s="770" t="s">
        <v>17</v>
      </c>
      <c r="W9" s="771">
        <f t="shared" si="2"/>
        <v>105</v>
      </c>
      <c r="X9" s="772"/>
      <c r="Y9" s="3073" t="s">
        <v>2550</v>
      </c>
      <c r="Z9" s="55" t="str">
        <f t="shared" ref="Z9:Z15" si="7">Q9</f>
        <v>用途</v>
      </c>
      <c r="AA9" s="773">
        <f t="shared" si="3"/>
        <v>0.95238095238095233</v>
      </c>
      <c r="AB9" s="773">
        <f t="shared" si="4"/>
        <v>0.95238095238095233</v>
      </c>
      <c r="AC9" s="773">
        <f t="shared" si="5"/>
        <v>0.95238095238095233</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41"/>
      <c r="Q10" s="1795" t="str">
        <f t="shared" si="6"/>
        <v>土地使用年限（年）</v>
      </c>
      <c r="R10" s="770" t="s">
        <v>17</v>
      </c>
      <c r="S10" s="771">
        <f t="shared" si="0"/>
        <v>102</v>
      </c>
      <c r="T10" s="770" t="s">
        <v>17</v>
      </c>
      <c r="U10" s="771">
        <f t="shared" si="1"/>
        <v>102</v>
      </c>
      <c r="V10" s="770" t="s">
        <v>17</v>
      </c>
      <c r="W10" s="771">
        <f t="shared" si="2"/>
        <v>102</v>
      </c>
      <c r="X10" s="772"/>
      <c r="Y10" s="3073"/>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v>2.5</v>
      </c>
      <c r="D11" s="136">
        <v>100</v>
      </c>
      <c r="E11" s="429">
        <f>Sheet1!F22</f>
        <v>3</v>
      </c>
      <c r="F11" s="136">
        <f>LOOKUP(E11,80:80,81:81)-LOOKUP(C11,80:80,81:81)+100</f>
        <v>98</v>
      </c>
      <c r="G11" s="430">
        <v>2</v>
      </c>
      <c r="H11" s="136">
        <f>LOOKUP(G11,80:80,81:81)-LOOKUP(C11,80:80,81:81)+100</f>
        <v>100</v>
      </c>
      <c r="I11" s="429">
        <v>2</v>
      </c>
      <c r="J11" s="136">
        <f>LOOKUP(I11,80:80,81:81)-LOOKUP(C11,80:80,81:81)+100</f>
        <v>100</v>
      </c>
      <c r="K11" s="673">
        <v>2</v>
      </c>
      <c r="L11" s="1138"/>
      <c r="M11" s="1131"/>
      <c r="N11" s="1131"/>
      <c r="O11" s="1139"/>
      <c r="P11" s="3241"/>
      <c r="Q11" s="1795" t="str">
        <f t="shared" si="6"/>
        <v>容积率</v>
      </c>
      <c r="R11" s="770" t="s">
        <v>17</v>
      </c>
      <c r="S11" s="771">
        <f t="shared" si="0"/>
        <v>98</v>
      </c>
      <c r="T11" s="770" t="s">
        <v>17</v>
      </c>
      <c r="U11" s="771">
        <f t="shared" si="1"/>
        <v>100</v>
      </c>
      <c r="V11" s="770" t="s">
        <v>17</v>
      </c>
      <c r="W11" s="771">
        <f t="shared" si="2"/>
        <v>100</v>
      </c>
      <c r="X11" s="772"/>
      <c r="Y11" s="3073"/>
      <c r="Z11" s="55" t="str">
        <f t="shared" si="7"/>
        <v>容积率</v>
      </c>
      <c r="AA11" s="773">
        <f t="shared" si="3"/>
        <v>1.0204081632653061</v>
      </c>
      <c r="AB11" s="773">
        <f t="shared" si="4"/>
        <v>1</v>
      </c>
      <c r="AC11" s="773">
        <f t="shared" si="5"/>
        <v>1</v>
      </c>
    </row>
    <row r="12" spans="1:30" s="117" customFormat="1" ht="15">
      <c r="A12" s="431"/>
      <c r="B12" s="3005" t="s">
        <v>3308</v>
      </c>
      <c r="C12" s="432" t="s">
        <v>3309</v>
      </c>
      <c r="D12" s="433">
        <v>100</v>
      </c>
      <c r="E12" s="465" t="s">
        <v>3310</v>
      </c>
      <c r="F12" s="136">
        <f>SUMIF(82:82,E12,83:83)-SUMIF(82:82,C12,83:83)+100</f>
        <v>101</v>
      </c>
      <c r="G12" s="463" t="s">
        <v>3311</v>
      </c>
      <c r="H12" s="136">
        <f>SUMIF(82:82,G12,83:83)-SUMIF(82:82,C12,83:83)+100</f>
        <v>101</v>
      </c>
      <c r="I12" s="465" t="s">
        <v>3312</v>
      </c>
      <c r="J12" s="136">
        <f>SUMIF(82:82,I12,83:83)-SUMIF(82:82,C12,83:83)+100</f>
        <v>102</v>
      </c>
      <c r="K12" s="672"/>
      <c r="L12" s="1132"/>
      <c r="M12" s="1133"/>
      <c r="N12" s="1133"/>
      <c r="O12" s="1134"/>
      <c r="P12" s="3241"/>
      <c r="Q12" s="1795" t="str">
        <f t="shared" si="6"/>
        <v>溢价率</v>
      </c>
      <c r="R12" s="770" t="s">
        <v>17</v>
      </c>
      <c r="S12" s="771">
        <f t="shared" si="0"/>
        <v>101</v>
      </c>
      <c r="T12" s="770" t="s">
        <v>17</v>
      </c>
      <c r="U12" s="771">
        <f t="shared" si="1"/>
        <v>101</v>
      </c>
      <c r="V12" s="770" t="s">
        <v>17</v>
      </c>
      <c r="W12" s="771">
        <f t="shared" si="2"/>
        <v>102</v>
      </c>
      <c r="X12" s="772"/>
      <c r="Y12" s="3073"/>
      <c r="Z12" s="55" t="str">
        <f t="shared" si="7"/>
        <v>溢价率</v>
      </c>
      <c r="AA12" s="773">
        <f>D12/F12</f>
        <v>0.99009900990099009</v>
      </c>
      <c r="AB12" s="773">
        <f>D12/H12</f>
        <v>0.99009900990099009</v>
      </c>
      <c r="AC12" s="773">
        <f>D12/J12</f>
        <v>0.98039215686274506</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7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73"/>
      <c r="Z14" s="55">
        <f t="shared" si="7"/>
        <v>111</v>
      </c>
      <c r="AA14" s="773">
        <f>D14/F14</f>
        <v>1</v>
      </c>
      <c r="AB14" s="773">
        <f>D14/H14</f>
        <v>1</v>
      </c>
      <c r="AC14" s="773">
        <f>D14/J14</f>
        <v>1</v>
      </c>
    </row>
    <row r="15" spans="1:30" ht="99.75">
      <c r="A15" s="440" t="s">
        <v>2553</v>
      </c>
      <c r="B15" s="69" t="s">
        <v>2080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6" t="s">
        <v>2554</v>
      </c>
      <c r="Q15" s="1810" t="str">
        <f t="shared" si="6"/>
        <v>居住社区成熟度</v>
      </c>
      <c r="R15" s="774" t="s">
        <v>17</v>
      </c>
      <c r="S15" s="775">
        <f t="shared" si="0"/>
        <v>100</v>
      </c>
      <c r="T15" s="774" t="s">
        <v>17</v>
      </c>
      <c r="U15" s="775">
        <f t="shared" si="1"/>
        <v>100</v>
      </c>
      <c r="V15" s="774" t="s">
        <v>17</v>
      </c>
      <c r="W15" s="775">
        <f t="shared" si="2"/>
        <v>100</v>
      </c>
      <c r="X15" s="1813"/>
      <c r="Y15" s="3256" t="s">
        <v>2554</v>
      </c>
      <c r="Z15" s="1814" t="str">
        <f t="shared" si="7"/>
        <v>居住社区成熟度</v>
      </c>
      <c r="AA15" s="1811">
        <f t="shared" si="3"/>
        <v>1</v>
      </c>
      <c r="AB15" s="1811">
        <f t="shared" si="4"/>
        <v>1</v>
      </c>
      <c r="AC15" s="1811">
        <f t="shared" si="5"/>
        <v>1</v>
      </c>
    </row>
    <row r="16" spans="1:30" ht="15">
      <c r="A16" s="428"/>
      <c r="B16" s="446"/>
      <c r="C16" s="2962" t="s">
        <v>3269</v>
      </c>
      <c r="D16" s="448"/>
      <c r="E16" s="2963" t="s">
        <v>3269</v>
      </c>
      <c r="F16" s="448"/>
      <c r="G16" s="2963" t="s">
        <v>3269</v>
      </c>
      <c r="H16" s="450"/>
      <c r="I16" s="2964" t="s">
        <v>3269</v>
      </c>
      <c r="J16" s="448"/>
      <c r="K16" s="672"/>
      <c r="L16" s="1140"/>
      <c r="M16" s="1131"/>
      <c r="N16" s="1131"/>
      <c r="O16" s="1139"/>
      <c r="P16" s="3257"/>
      <c r="Q16" s="1810"/>
      <c r="R16" s="774"/>
      <c r="S16" s="775"/>
      <c r="T16" s="774"/>
      <c r="U16" s="775"/>
      <c r="V16" s="774"/>
      <c r="W16" s="775"/>
      <c r="X16" s="1813"/>
      <c r="Y16" s="3257"/>
      <c r="Z16" s="1814"/>
      <c r="AA16" s="1811">
        <v>1</v>
      </c>
      <c r="AB16" s="1811">
        <v>1</v>
      </c>
      <c r="AC16" s="1811">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7"/>
      <c r="Q17" s="1810" t="str">
        <f>B17</f>
        <v>商业繁华度</v>
      </c>
      <c r="R17" s="774" t="s">
        <v>17</v>
      </c>
      <c r="S17" s="775">
        <f>F17</f>
        <v>100</v>
      </c>
      <c r="T17" s="774" t="s">
        <v>17</v>
      </c>
      <c r="U17" s="775">
        <f>H17</f>
        <v>100</v>
      </c>
      <c r="V17" s="774" t="s">
        <v>17</v>
      </c>
      <c r="W17" s="775">
        <f>J17</f>
        <v>100</v>
      </c>
      <c r="X17" s="1813"/>
      <c r="Y17" s="3257"/>
      <c r="Z17" s="1814" t="str">
        <f>Q17</f>
        <v>商业繁华度</v>
      </c>
      <c r="AA17" s="1811">
        <f t="shared" si="3"/>
        <v>1</v>
      </c>
      <c r="AB17" s="1811">
        <f t="shared" si="4"/>
        <v>1</v>
      </c>
      <c r="AC17" s="1811">
        <f t="shared" si="5"/>
        <v>1</v>
      </c>
    </row>
    <row r="18" spans="1:29" ht="15">
      <c r="A18" s="428"/>
      <c r="B18" s="456"/>
      <c r="C18" s="2965" t="s">
        <v>3269</v>
      </c>
      <c r="D18" s="450"/>
      <c r="E18" s="2966" t="s">
        <v>3269</v>
      </c>
      <c r="F18" s="450"/>
      <c r="G18" s="2966" t="s">
        <v>3269</v>
      </c>
      <c r="H18" s="448"/>
      <c r="I18" s="2967" t="s">
        <v>3269</v>
      </c>
      <c r="J18" s="448"/>
      <c r="K18" s="672"/>
      <c r="L18" s="1140"/>
      <c r="M18" s="1131"/>
      <c r="N18" s="1131"/>
      <c r="O18" s="1139"/>
      <c r="P18" s="3257"/>
      <c r="Q18" s="1810"/>
      <c r="R18" s="774"/>
      <c r="S18" s="775"/>
      <c r="T18" s="774"/>
      <c r="U18" s="775"/>
      <c r="V18" s="774"/>
      <c r="W18" s="775"/>
      <c r="X18" s="1813"/>
      <c r="Y18" s="3257"/>
      <c r="Z18" s="1814"/>
      <c r="AA18" s="1811">
        <v>1</v>
      </c>
      <c r="AB18" s="1811">
        <v>1</v>
      </c>
      <c r="AC18" s="1811">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7"/>
      <c r="Q19" s="1810" t="str">
        <f>B19</f>
        <v>办公集聚程度</v>
      </c>
      <c r="R19" s="774" t="s">
        <v>17</v>
      </c>
      <c r="S19" s="775">
        <f>F19</f>
        <v>100</v>
      </c>
      <c r="T19" s="774" t="s">
        <v>17</v>
      </c>
      <c r="U19" s="775">
        <f>H19</f>
        <v>100</v>
      </c>
      <c r="V19" s="774" t="s">
        <v>17</v>
      </c>
      <c r="W19" s="775">
        <f>J19</f>
        <v>100</v>
      </c>
      <c r="X19" s="1813"/>
      <c r="Y19" s="3257"/>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57"/>
      <c r="Q20" s="1810"/>
      <c r="R20" s="774"/>
      <c r="S20" s="775"/>
      <c r="T20" s="774"/>
      <c r="U20" s="775"/>
      <c r="V20" s="774"/>
      <c r="W20" s="775"/>
      <c r="X20" s="1813"/>
      <c r="Y20" s="3257"/>
      <c r="Z20" s="1814"/>
      <c r="AA20" s="1811">
        <v>1</v>
      </c>
      <c r="AB20" s="1811">
        <v>1</v>
      </c>
      <c r="AC20" s="1811">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7"/>
      <c r="Q21" s="1810" t="str">
        <f>B21</f>
        <v>交通便捷度</v>
      </c>
      <c r="R21" s="774" t="s">
        <v>17</v>
      </c>
      <c r="S21" s="775">
        <f>F21</f>
        <v>100</v>
      </c>
      <c r="T21" s="774" t="s">
        <v>17</v>
      </c>
      <c r="U21" s="775">
        <f>H21</f>
        <v>100</v>
      </c>
      <c r="V21" s="774" t="s">
        <v>17</v>
      </c>
      <c r="W21" s="775">
        <f>J21</f>
        <v>100</v>
      </c>
      <c r="X21" s="1813"/>
      <c r="Y21" s="3257"/>
      <c r="Z21" s="1814" t="str">
        <f>Q21</f>
        <v>交通便捷度</v>
      </c>
      <c r="AA21" s="1811">
        <f t="shared" si="3"/>
        <v>1</v>
      </c>
      <c r="AB21" s="1811">
        <f t="shared" si="4"/>
        <v>1</v>
      </c>
      <c r="AC21" s="1811">
        <f t="shared" si="5"/>
        <v>1</v>
      </c>
    </row>
    <row r="22" spans="1:29" ht="15">
      <c r="A22" s="428"/>
      <c r="B22" s="1384"/>
      <c r="C22" s="2962" t="s">
        <v>3269</v>
      </c>
      <c r="D22" s="450"/>
      <c r="E22" s="2963" t="s">
        <v>3269</v>
      </c>
      <c r="F22" s="448"/>
      <c r="G22" s="2963" t="s">
        <v>3269</v>
      </c>
      <c r="H22" s="448"/>
      <c r="I22" s="2964" t="s">
        <v>3269</v>
      </c>
      <c r="J22" s="448"/>
      <c r="K22" s="672"/>
      <c r="L22" s="1140"/>
      <c r="M22" s="1131"/>
      <c r="N22" s="1131"/>
      <c r="O22" s="1139"/>
      <c r="P22" s="3257"/>
      <c r="Q22" s="1810"/>
      <c r="R22" s="774"/>
      <c r="S22" s="775"/>
      <c r="T22" s="774"/>
      <c r="U22" s="775"/>
      <c r="V22" s="774"/>
      <c r="W22" s="775"/>
      <c r="X22" s="1813"/>
      <c r="Y22" s="3257"/>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7"/>
      <c r="Q23" s="1810" t="str">
        <f t="shared" ref="Q23:Q37" si="8">B23</f>
        <v>区域土地利用方向</v>
      </c>
      <c r="R23" s="774" t="s">
        <v>17</v>
      </c>
      <c r="S23" s="775">
        <f>F23</f>
        <v>100</v>
      </c>
      <c r="T23" s="774" t="s">
        <v>17</v>
      </c>
      <c r="U23" s="775">
        <f>H23</f>
        <v>100</v>
      </c>
      <c r="V23" s="774" t="s">
        <v>17</v>
      </c>
      <c r="W23" s="775">
        <f>J23</f>
        <v>100</v>
      </c>
      <c r="X23" s="1813"/>
      <c r="Y23" s="3257"/>
      <c r="Z23" s="1814" t="str">
        <f>Q23</f>
        <v>区域土地利用方向</v>
      </c>
      <c r="AA23" s="1811">
        <f t="shared" si="3"/>
        <v>1</v>
      </c>
      <c r="AB23" s="1811">
        <f t="shared" si="4"/>
        <v>1</v>
      </c>
      <c r="AC23" s="1811">
        <f t="shared" si="5"/>
        <v>1</v>
      </c>
    </row>
    <row r="24" spans="1:29" ht="15">
      <c r="A24" s="404"/>
      <c r="B24" s="456"/>
      <c r="C24" s="2968" t="s">
        <v>3270</v>
      </c>
      <c r="D24" s="448"/>
      <c r="E24" s="2963" t="s">
        <v>3270</v>
      </c>
      <c r="F24" s="448"/>
      <c r="G24" s="2964" t="s">
        <v>3270</v>
      </c>
      <c r="H24" s="448"/>
      <c r="I24" s="2964" t="s">
        <v>3271</v>
      </c>
      <c r="J24" s="448"/>
      <c r="K24" s="812"/>
      <c r="L24" s="1140"/>
      <c r="M24" s="1131"/>
      <c r="N24" s="1131"/>
      <c r="O24" s="1139"/>
      <c r="P24" s="3257"/>
      <c r="Q24" s="1810"/>
      <c r="R24" s="774"/>
      <c r="S24" s="775"/>
      <c r="T24" s="774"/>
      <c r="U24" s="775"/>
      <c r="V24" s="774"/>
      <c r="W24" s="775"/>
      <c r="X24" s="1813"/>
      <c r="Y24" s="3257"/>
      <c r="Z24" s="1814"/>
      <c r="AA24" s="1811"/>
      <c r="AB24" s="1811"/>
      <c r="AC24" s="1811"/>
    </row>
    <row r="25" spans="1:29" ht="57">
      <c r="A25" s="404"/>
      <c r="B25" s="1384" t="s">
        <v>2742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7"/>
      <c r="Q25" s="1810" t="str">
        <f t="shared" si="8"/>
        <v>自然及人文环境状况</v>
      </c>
      <c r="R25" s="774" t="s">
        <v>17</v>
      </c>
      <c r="S25" s="775">
        <f>F25</f>
        <v>100</v>
      </c>
      <c r="T25" s="774" t="s">
        <v>17</v>
      </c>
      <c r="U25" s="775">
        <f>H25</f>
        <v>100</v>
      </c>
      <c r="V25" s="774" t="s">
        <v>17</v>
      </c>
      <c r="W25" s="775">
        <f>J25</f>
        <v>100</v>
      </c>
      <c r="X25" s="1813"/>
      <c r="Y25" s="3257"/>
      <c r="Z25" s="1814" t="str">
        <f>Q25</f>
        <v>自然及人文环境状况</v>
      </c>
      <c r="AA25" s="1811">
        <f t="shared" si="3"/>
        <v>1</v>
      </c>
      <c r="AB25" s="1811">
        <f t="shared" si="4"/>
        <v>1</v>
      </c>
      <c r="AC25" s="1811">
        <f t="shared" si="5"/>
        <v>1</v>
      </c>
    </row>
    <row r="26" spans="1:29" ht="15">
      <c r="A26" s="404"/>
      <c r="B26" s="456"/>
      <c r="C26" s="2962" t="s">
        <v>3269</v>
      </c>
      <c r="D26" s="448"/>
      <c r="E26" s="2969" t="s">
        <v>3269</v>
      </c>
      <c r="F26" s="448"/>
      <c r="G26" s="2969" t="s">
        <v>3269</v>
      </c>
      <c r="H26" s="448"/>
      <c r="I26" s="2962" t="s">
        <v>3269</v>
      </c>
      <c r="J26" s="448"/>
      <c r="K26" s="672"/>
      <c r="L26" s="1140"/>
      <c r="M26" s="1131"/>
      <c r="N26" s="1131"/>
      <c r="O26" s="1139"/>
      <c r="P26" s="3257"/>
      <c r="Q26" s="1810"/>
      <c r="R26" s="774"/>
      <c r="S26" s="775"/>
      <c r="T26" s="774"/>
      <c r="U26" s="775"/>
      <c r="V26" s="774"/>
      <c r="W26" s="775"/>
      <c r="X26" s="1813"/>
      <c r="Y26" s="3257"/>
      <c r="Z26" s="1814"/>
      <c r="AA26" s="1811">
        <v>1</v>
      </c>
      <c r="AB26" s="1811">
        <v>1</v>
      </c>
      <c r="AC26" s="1811">
        <v>1</v>
      </c>
    </row>
    <row r="27" spans="1:29" s="117" customFormat="1" ht="42.75">
      <c r="A27" s="649"/>
      <c r="B27" s="1384"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7"/>
      <c r="Q27" s="1795" t="str">
        <f t="shared" si="8"/>
        <v>公共配套设施</v>
      </c>
      <c r="R27" s="770" t="s">
        <v>17</v>
      </c>
      <c r="S27" s="771">
        <f>F27</f>
        <v>100</v>
      </c>
      <c r="T27" s="770" t="s">
        <v>17</v>
      </c>
      <c r="U27" s="771">
        <f>H27</f>
        <v>100</v>
      </c>
      <c r="V27" s="770" t="s">
        <v>17</v>
      </c>
      <c r="W27" s="771">
        <f>J27</f>
        <v>100</v>
      </c>
      <c r="X27" s="772"/>
      <c r="Y27" s="3257"/>
      <c r="Z27" s="55" t="str">
        <f>Q27</f>
        <v>公共配套设施</v>
      </c>
      <c r="AA27" s="1811">
        <f>D27/F27</f>
        <v>1</v>
      </c>
      <c r="AB27" s="1811">
        <f>D27/H27</f>
        <v>1</v>
      </c>
      <c r="AC27" s="1811">
        <f>D27/J27</f>
        <v>1</v>
      </c>
    </row>
    <row r="28" spans="1:29" s="117" customFormat="1" ht="15">
      <c r="A28" s="649"/>
      <c r="B28" s="456"/>
      <c r="C28" s="2970" t="s">
        <v>3269</v>
      </c>
      <c r="D28" s="448"/>
      <c r="E28" s="2969" t="s">
        <v>3269</v>
      </c>
      <c r="F28" s="448"/>
      <c r="G28" s="2969" t="s">
        <v>3269</v>
      </c>
      <c r="H28" s="448"/>
      <c r="I28" s="2962" t="s">
        <v>3269</v>
      </c>
      <c r="J28" s="448"/>
      <c r="K28" s="672"/>
      <c r="L28" s="1132"/>
      <c r="M28" s="1133"/>
      <c r="N28" s="1133"/>
      <c r="O28" s="1134"/>
      <c r="P28" s="3257"/>
      <c r="Q28" s="1795"/>
      <c r="R28" s="770"/>
      <c r="S28" s="771"/>
      <c r="T28" s="770"/>
      <c r="U28" s="771"/>
      <c r="V28" s="770"/>
      <c r="W28" s="771"/>
      <c r="X28" s="772"/>
      <c r="Y28" s="3257"/>
      <c r="Z28" s="55"/>
      <c r="AA28" s="1811">
        <v>1</v>
      </c>
      <c r="AB28" s="1811">
        <v>1</v>
      </c>
      <c r="AC28" s="1811">
        <v>1</v>
      </c>
    </row>
    <row r="29" spans="1:29" s="117" customFormat="1" ht="28.5">
      <c r="A29" s="649"/>
      <c r="B29" s="1384"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7"/>
      <c r="Q29" s="1795" t="str">
        <f t="shared" ref="Q29" si="9">B29</f>
        <v>基础设施水平</v>
      </c>
      <c r="R29" s="770" t="s">
        <v>17</v>
      </c>
      <c r="S29" s="771">
        <f>F29</f>
        <v>100</v>
      </c>
      <c r="T29" s="770" t="s">
        <v>17</v>
      </c>
      <c r="U29" s="771">
        <f>H29</f>
        <v>100</v>
      </c>
      <c r="V29" s="770" t="s">
        <v>17</v>
      </c>
      <c r="W29" s="771">
        <f>J29</f>
        <v>100</v>
      </c>
      <c r="X29" s="772"/>
      <c r="Y29" s="3257"/>
      <c r="Z29" s="55" t="str">
        <f>Q29</f>
        <v>基础设施水平</v>
      </c>
      <c r="AA29" s="1811">
        <f>D29/F29</f>
        <v>1</v>
      </c>
      <c r="AB29" s="1811">
        <f>D29/H29</f>
        <v>1</v>
      </c>
      <c r="AC29" s="1811">
        <f>D29/J29</f>
        <v>1</v>
      </c>
    </row>
    <row r="30" spans="1:29" s="117" customFormat="1" ht="15">
      <c r="A30" s="649"/>
      <c r="B30" s="456"/>
      <c r="C30" s="2970" t="s">
        <v>3272</v>
      </c>
      <c r="D30" s="448"/>
      <c r="E30" s="2971" t="s">
        <v>3272</v>
      </c>
      <c r="F30" s="448"/>
      <c r="G30" s="2971" t="s">
        <v>3272</v>
      </c>
      <c r="H30" s="448"/>
      <c r="I30" s="2971" t="s">
        <v>3272</v>
      </c>
      <c r="J30" s="448"/>
      <c r="K30" s="672"/>
      <c r="L30" s="1132"/>
      <c r="M30" s="1133"/>
      <c r="N30" s="1133"/>
      <c r="O30" s="1134"/>
      <c r="P30" s="3257"/>
      <c r="Q30" s="1795"/>
      <c r="R30" s="770"/>
      <c r="S30" s="771"/>
      <c r="T30" s="770"/>
      <c r="U30" s="771"/>
      <c r="V30" s="770"/>
      <c r="W30" s="771"/>
      <c r="X30" s="772"/>
      <c r="Y30" s="3257"/>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7"/>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7"/>
      <c r="Q32" s="1810" t="str">
        <f t="shared" si="8"/>
        <v>毗邻道路的类型与等级</v>
      </c>
      <c r="R32" s="774" t="s">
        <v>17</v>
      </c>
      <c r="S32" s="775">
        <f t="shared" si="10"/>
        <v>100</v>
      </c>
      <c r="T32" s="774" t="s">
        <v>17</v>
      </c>
      <c r="U32" s="775">
        <f t="shared" si="11"/>
        <v>100</v>
      </c>
      <c r="V32" s="774" t="s">
        <v>17</v>
      </c>
      <c r="W32" s="775">
        <f t="shared" si="12"/>
        <v>100</v>
      </c>
      <c r="X32" s="1813"/>
      <c r="Y32" s="3257"/>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57"/>
      <c r="Q33" s="1810"/>
      <c r="R33" s="774"/>
      <c r="S33" s="775"/>
      <c r="T33" s="774"/>
      <c r="U33" s="775"/>
      <c r="V33" s="774"/>
      <c r="W33" s="775"/>
      <c r="X33" s="1813"/>
      <c r="Y33" s="3257"/>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7"/>
      <c r="Q34" s="1810" t="str">
        <f t="shared" si="8"/>
        <v>土地级别</v>
      </c>
      <c r="R34" s="774" t="s">
        <v>17</v>
      </c>
      <c r="S34" s="775">
        <f t="shared" si="10"/>
        <v>100</v>
      </c>
      <c r="T34" s="774" t="s">
        <v>17</v>
      </c>
      <c r="U34" s="775">
        <f t="shared" si="11"/>
        <v>100</v>
      </c>
      <c r="V34" s="774" t="s">
        <v>17</v>
      </c>
      <c r="W34" s="775">
        <f t="shared" si="12"/>
        <v>100</v>
      </c>
      <c r="X34" s="1813"/>
      <c r="Y34" s="325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7"/>
      <c r="Q35" s="1810">
        <f t="shared" si="8"/>
        <v>111</v>
      </c>
      <c r="R35" s="774" t="s">
        <v>17</v>
      </c>
      <c r="S35" s="775">
        <f t="shared" si="10"/>
        <v>100</v>
      </c>
      <c r="T35" s="774" t="s">
        <v>17</v>
      </c>
      <c r="U35" s="775">
        <f t="shared" si="11"/>
        <v>100</v>
      </c>
      <c r="V35" s="774" t="s">
        <v>17</v>
      </c>
      <c r="W35" s="775">
        <f t="shared" si="12"/>
        <v>100</v>
      </c>
      <c r="X35" s="1813"/>
      <c r="Y35" s="325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2559</v>
      </c>
      <c r="Q36" s="1810">
        <f t="shared" si="8"/>
        <v>111</v>
      </c>
      <c r="R36" s="774" t="s">
        <v>17</v>
      </c>
      <c r="S36" s="775">
        <f t="shared" si="10"/>
        <v>100</v>
      </c>
      <c r="T36" s="774" t="s">
        <v>17</v>
      </c>
      <c r="U36" s="775">
        <f t="shared" si="11"/>
        <v>100</v>
      </c>
      <c r="V36" s="774" t="s">
        <v>17</v>
      </c>
      <c r="W36" s="775">
        <f t="shared" si="12"/>
        <v>100</v>
      </c>
      <c r="X36" s="1813"/>
      <c r="Y36" s="3259"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9"/>
      <c r="Q37" s="1810">
        <f t="shared" si="8"/>
        <v>111</v>
      </c>
      <c r="R37" s="777" t="s">
        <v>17</v>
      </c>
      <c r="S37" s="778">
        <f t="shared" si="10"/>
        <v>100</v>
      </c>
      <c r="T37" s="777" t="s">
        <v>17</v>
      </c>
      <c r="U37" s="778">
        <f t="shared" si="11"/>
        <v>100</v>
      </c>
      <c r="V37" s="777" t="s">
        <v>17</v>
      </c>
      <c r="W37" s="778">
        <f t="shared" si="12"/>
        <v>100</v>
      </c>
      <c r="X37" s="779"/>
      <c r="Y37" s="3259"/>
      <c r="Z37" s="780">
        <f t="shared" si="13"/>
        <v>111</v>
      </c>
      <c r="AA37" s="1811">
        <f t="shared" si="3"/>
        <v>1</v>
      </c>
      <c r="AB37" s="1811">
        <f t="shared" si="4"/>
        <v>1</v>
      </c>
      <c r="AC37" s="1811">
        <f t="shared" si="5"/>
        <v>1</v>
      </c>
    </row>
    <row r="38" spans="1:29" ht="15">
      <c r="A38" s="472" t="s">
        <v>2557</v>
      </c>
      <c r="B38" s="456" t="s">
        <v>2744</v>
      </c>
      <c r="C38" s="679">
        <f>'数据-基础表'!A3</f>
        <v>49477.2</v>
      </c>
      <c r="D38" s="467">
        <v>100</v>
      </c>
      <c r="E38" s="679">
        <f>Sheet1!D22</f>
        <v>39744.120000000003</v>
      </c>
      <c r="F38" s="467">
        <f>LOOKUP(E38,117:117,118:118)-LOOKUP(C38,117:117,118:118)+100</f>
        <v>98</v>
      </c>
      <c r="G38" s="679">
        <f>Sheet1!D26</f>
        <v>46165.91</v>
      </c>
      <c r="H38" s="467">
        <f>LOOKUP(G38,117:117,118:118)-LOOKUP(C38,117:117,118:118)+100</f>
        <v>100</v>
      </c>
      <c r="I38" s="530">
        <f>Sheet1!D27</f>
        <v>38100</v>
      </c>
      <c r="J38" s="467">
        <f>LOOKUP(I38,117:117,118:118)-LOOKUP(C38,117:117,118:118)+100</f>
        <v>98</v>
      </c>
      <c r="K38" s="613"/>
      <c r="L38" s="1140"/>
      <c r="M38" s="1131"/>
      <c r="N38" s="1131"/>
      <c r="O38" s="1139"/>
      <c r="P38" s="3259"/>
      <c r="Q38" s="1810" t="str">
        <f>B38</f>
        <v>宗地面积</v>
      </c>
      <c r="R38" s="774" t="s">
        <v>17</v>
      </c>
      <c r="S38" s="775">
        <f t="shared" si="10"/>
        <v>98</v>
      </c>
      <c r="T38" s="774" t="s">
        <v>17</v>
      </c>
      <c r="U38" s="775">
        <f t="shared" si="11"/>
        <v>100</v>
      </c>
      <c r="V38" s="774" t="s">
        <v>17</v>
      </c>
      <c r="W38" s="775">
        <f t="shared" si="12"/>
        <v>98</v>
      </c>
      <c r="X38" s="1813"/>
      <c r="Y38" s="3259"/>
      <c r="Z38" s="1814" t="str">
        <f t="shared" si="13"/>
        <v>宗地面积</v>
      </c>
      <c r="AA38" s="1811">
        <f t="shared" si="3"/>
        <v>1.0204081632653061</v>
      </c>
      <c r="AB38" s="1811">
        <f t="shared" si="4"/>
        <v>1</v>
      </c>
      <c r="AC38" s="1811">
        <f t="shared" si="5"/>
        <v>1.0204081632653061</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59"/>
      <c r="Q39" s="1810" t="str">
        <f t="shared" ref="Q39:Q45" si="14">B39</f>
        <v>宗地形状</v>
      </c>
      <c r="R39" s="774" t="s">
        <v>17</v>
      </c>
      <c r="S39" s="775">
        <f t="shared" si="10"/>
        <v>100</v>
      </c>
      <c r="T39" s="774" t="s">
        <v>17</v>
      </c>
      <c r="U39" s="775">
        <f t="shared" si="11"/>
        <v>100</v>
      </c>
      <c r="V39" s="774" t="s">
        <v>17</v>
      </c>
      <c r="W39" s="775">
        <f t="shared" si="12"/>
        <v>100</v>
      </c>
      <c r="X39" s="1813"/>
      <c r="Y39" s="3259"/>
      <c r="Z39" s="1814" t="str">
        <f t="shared" si="13"/>
        <v>宗地形状</v>
      </c>
      <c r="AA39" s="1811">
        <f t="shared" si="3"/>
        <v>1</v>
      </c>
      <c r="AB39" s="1811">
        <f t="shared" si="4"/>
        <v>1</v>
      </c>
      <c r="AC39" s="1811">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59"/>
      <c r="Q40" s="1810" t="str">
        <f t="shared" si="14"/>
        <v>临街宽度及深度</v>
      </c>
      <c r="R40" s="774" t="s">
        <v>17</v>
      </c>
      <c r="S40" s="775">
        <f t="shared" si="10"/>
        <v>100</v>
      </c>
      <c r="T40" s="774" t="s">
        <v>17</v>
      </c>
      <c r="U40" s="775">
        <f t="shared" si="11"/>
        <v>100</v>
      </c>
      <c r="V40" s="774" t="s">
        <v>17</v>
      </c>
      <c r="W40" s="775">
        <f t="shared" si="12"/>
        <v>100</v>
      </c>
      <c r="X40" s="1813"/>
      <c r="Y40" s="3259"/>
      <c r="Z40" s="1814" t="str">
        <f t="shared" si="13"/>
        <v>临街宽度及深度</v>
      </c>
      <c r="AA40" s="1811">
        <f t="shared" si="3"/>
        <v>1</v>
      </c>
      <c r="AB40" s="1811">
        <f t="shared" si="4"/>
        <v>1</v>
      </c>
      <c r="AC40" s="1811">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59"/>
      <c r="Q41" s="1810" t="str">
        <f t="shared" si="14"/>
        <v>宗地开发程度</v>
      </c>
      <c r="R41" s="770" t="s">
        <v>17</v>
      </c>
      <c r="S41" s="771">
        <f t="shared" si="10"/>
        <v>100</v>
      </c>
      <c r="T41" s="770" t="s">
        <v>17</v>
      </c>
      <c r="U41" s="771">
        <f t="shared" si="11"/>
        <v>100</v>
      </c>
      <c r="V41" s="770" t="s">
        <v>17</v>
      </c>
      <c r="W41" s="771">
        <f t="shared" si="12"/>
        <v>100</v>
      </c>
      <c r="X41" s="772"/>
      <c r="Y41" s="3259"/>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59" t="s">
        <v>2559</v>
      </c>
      <c r="Q42" s="1810" t="str">
        <f t="shared" si="14"/>
        <v>工程地质条件</v>
      </c>
      <c r="R42" s="774" t="s">
        <v>17</v>
      </c>
      <c r="S42" s="775">
        <f t="shared" si="10"/>
        <v>100</v>
      </c>
      <c r="T42" s="774" t="s">
        <v>17</v>
      </c>
      <c r="U42" s="775">
        <f t="shared" si="11"/>
        <v>100</v>
      </c>
      <c r="V42" s="774" t="s">
        <v>17</v>
      </c>
      <c r="W42" s="775">
        <f t="shared" si="12"/>
        <v>100</v>
      </c>
      <c r="X42" s="1813"/>
      <c r="Y42" s="3259"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9"/>
      <c r="Q43" s="1810">
        <f t="shared" si="14"/>
        <v>111</v>
      </c>
      <c r="R43" s="774" t="s">
        <v>17</v>
      </c>
      <c r="S43" s="775">
        <f t="shared" si="10"/>
        <v>100</v>
      </c>
      <c r="T43" s="774" t="s">
        <v>17</v>
      </c>
      <c r="U43" s="775">
        <f t="shared" si="11"/>
        <v>100</v>
      </c>
      <c r="V43" s="774" t="s">
        <v>17</v>
      </c>
      <c r="W43" s="775">
        <f t="shared" si="12"/>
        <v>100</v>
      </c>
      <c r="X43" s="1813"/>
      <c r="Y43" s="325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9"/>
      <c r="Q44" s="1810">
        <f t="shared" si="14"/>
        <v>111</v>
      </c>
      <c r="R44" s="774" t="s">
        <v>17</v>
      </c>
      <c r="S44" s="775">
        <f t="shared" si="10"/>
        <v>100</v>
      </c>
      <c r="T44" s="774" t="s">
        <v>17</v>
      </c>
      <c r="U44" s="775">
        <f t="shared" si="11"/>
        <v>100</v>
      </c>
      <c r="V44" s="774" t="s">
        <v>17</v>
      </c>
      <c r="W44" s="775">
        <f t="shared" si="12"/>
        <v>100</v>
      </c>
      <c r="X44" s="1813"/>
      <c r="Y44" s="3259"/>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9"/>
      <c r="Q45" s="1810">
        <f t="shared" si="14"/>
        <v>111</v>
      </c>
      <c r="R45" s="777" t="s">
        <v>17</v>
      </c>
      <c r="S45" s="778">
        <f t="shared" si="10"/>
        <v>100</v>
      </c>
      <c r="T45" s="777" t="s">
        <v>17</v>
      </c>
      <c r="U45" s="778">
        <f t="shared" si="11"/>
        <v>100</v>
      </c>
      <c r="V45" s="777" t="s">
        <v>17</v>
      </c>
      <c r="W45" s="778">
        <f t="shared" si="12"/>
        <v>100</v>
      </c>
      <c r="X45" s="779"/>
      <c r="Y45" s="3259"/>
      <c r="Z45" s="780">
        <f t="shared" si="13"/>
        <v>111</v>
      </c>
      <c r="AA45" s="1811">
        <f t="shared" si="3"/>
        <v>1</v>
      </c>
      <c r="AB45" s="1811">
        <f t="shared" si="4"/>
        <v>1</v>
      </c>
      <c r="AC45" s="1811">
        <f t="shared" si="5"/>
        <v>1</v>
      </c>
    </row>
    <row r="46" spans="1:29" ht="15">
      <c r="A46" s="479" t="s">
        <v>2714</v>
      </c>
      <c r="B46" s="2707" t="s">
        <v>2749</v>
      </c>
      <c r="C46" s="682" t="s">
        <v>1</v>
      </c>
      <c r="D46" s="481"/>
      <c r="E46" s="482">
        <f>24490*L46</f>
        <v>24490</v>
      </c>
      <c r="F46" s="483"/>
      <c r="G46" s="484">
        <f>24369*L46</f>
        <v>24369</v>
      </c>
      <c r="H46" s="485"/>
      <c r="I46" s="482">
        <f>26772*L46</f>
        <v>26772</v>
      </c>
      <c r="J46" s="485"/>
      <c r="K46" s="783"/>
      <c r="L46" s="1143">
        <v>1</v>
      </c>
      <c r="M46" s="1144"/>
      <c r="N46" s="1131"/>
      <c r="O46" s="1144"/>
      <c r="P46" s="3241" t="str">
        <f>A46</f>
        <v>成交单价</v>
      </c>
      <c r="Q46" s="3241"/>
      <c r="R46" s="3254">
        <f>E46</f>
        <v>24490</v>
      </c>
      <c r="S46" s="3254"/>
      <c r="T46" s="3254">
        <f>G46</f>
        <v>24369</v>
      </c>
      <c r="U46" s="3254"/>
      <c r="V46" s="3254">
        <f>I46</f>
        <v>26772</v>
      </c>
      <c r="W46" s="3254"/>
      <c r="X46" s="759"/>
      <c r="Y46" s="781"/>
      <c r="Z46" s="759"/>
      <c r="AA46" s="759"/>
      <c r="AB46" s="759"/>
      <c r="AC46" s="759"/>
    </row>
    <row r="47" spans="1:29" ht="15.75" thickBot="1">
      <c r="A47" s="486" t="s">
        <v>2663</v>
      </c>
      <c r="B47" s="683"/>
      <c r="C47" s="490">
        <f>R48</f>
        <v>25953</v>
      </c>
      <c r="D47" s="489"/>
      <c r="E47" s="490">
        <f>R47</f>
        <v>25623</v>
      </c>
      <c r="F47" s="491"/>
      <c r="G47" s="488">
        <f>T47</f>
        <v>24756</v>
      </c>
      <c r="H47" s="489"/>
      <c r="I47" s="490">
        <f>V47</f>
        <v>27480</v>
      </c>
      <c r="J47" s="489"/>
      <c r="K47" s="784"/>
      <c r="L47" s="1143"/>
      <c r="M47" s="1144"/>
      <c r="N47" s="1144"/>
      <c r="O47" s="1144"/>
      <c r="P47" s="3241" t="str">
        <f>A47</f>
        <v>比较价值（元/平方米）</v>
      </c>
      <c r="Q47" s="3241"/>
      <c r="R47" s="3260">
        <f>ROUND(PRODUCT(R46,AA7:AA45),0)</f>
        <v>25623</v>
      </c>
      <c r="S47" s="3260"/>
      <c r="T47" s="3260">
        <f>ROUND(PRODUCT(T46,AB7:AB45),0)</f>
        <v>24756</v>
      </c>
      <c r="U47" s="3260"/>
      <c r="V47" s="3260">
        <f>ROUND(PRODUCT(V46,AC7:AC45),0)</f>
        <v>27480</v>
      </c>
      <c r="W47" s="3260"/>
      <c r="X47" s="759"/>
      <c r="Y47" s="759"/>
      <c r="Z47" s="759"/>
      <c r="AA47" s="759"/>
      <c r="AB47" s="759"/>
      <c r="AC47" s="759"/>
    </row>
    <row r="48" spans="1:29" ht="15.75" thickBot="1">
      <c r="A48" s="492" t="s">
        <v>2750</v>
      </c>
      <c r="B48" s="493"/>
      <c r="C48" s="494">
        <f>R48</f>
        <v>25953</v>
      </c>
      <c r="D48" s="494"/>
      <c r="E48" s="494"/>
      <c r="F48" s="494"/>
      <c r="G48" s="494"/>
      <c r="H48" s="494"/>
      <c r="I48" s="494"/>
      <c r="J48" s="494"/>
      <c r="K48" s="785"/>
      <c r="L48" s="1143"/>
      <c r="M48" s="1144"/>
      <c r="N48" s="1144"/>
      <c r="O48" s="1144"/>
      <c r="P48" s="3261" t="str">
        <f>A48</f>
        <v>估价对象XX用房的比较价值（楼面单价，元/平方米）</v>
      </c>
      <c r="Q48" s="3262"/>
      <c r="R48" s="3263">
        <f>ROUND(AVERAGE(R47:V47),0)</f>
        <v>25953</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4.6263781135157167E-2</v>
      </c>
      <c r="F51" s="500" t="str">
        <f>IF(OR(E51&gt;=0.3,E51&lt;=-0.3),"超过30%","")</f>
        <v/>
      </c>
      <c r="G51" s="499">
        <f>IF(G46&lt;G47,G47/G46-1,G46/G47-1)</f>
        <v>1.5880832204850481E-2</v>
      </c>
      <c r="H51" s="500" t="str">
        <f>IF(OR(G51&gt;=0.3,G51&lt;=-0.3),"超过30%","")</f>
        <v/>
      </c>
      <c r="I51" s="499">
        <f>IF(I46&lt;I47,I47/I46-1,I46/I47-1)</f>
        <v>2.6445540116539767E-2</v>
      </c>
      <c r="J51" s="500" t="str">
        <f>IF(OR(I51&gt;=0.3,I51&lt;=-0.3),"超过30%","")</f>
        <v/>
      </c>
      <c r="K51" s="1105"/>
      <c r="L51" s="1106"/>
      <c r="M51" s="1144"/>
      <c r="N51" s="1144"/>
      <c r="O51" s="1144"/>
    </row>
    <row r="52" spans="1:15" ht="13.5" customHeight="1">
      <c r="A52" s="1144"/>
      <c r="B52" s="1144"/>
      <c r="C52" s="497" t="s">
        <v>2666</v>
      </c>
      <c r="D52" s="501"/>
      <c r="E52" s="499">
        <f>IF(E47&lt;G47,G47/E47-1,E47/G47-1)</f>
        <v>3.5021812893843984E-2</v>
      </c>
      <c r="F52" s="500" t="str">
        <f>IF(OR(E52&gt;=0.2,E52&lt;=-0.2),"超过20%","")</f>
        <v/>
      </c>
      <c r="G52" s="499">
        <f>IF(G47&lt;I47,I47/G47-1,G47/I47-1)</f>
        <v>0.1100339311682017</v>
      </c>
      <c r="H52" s="500" t="str">
        <f>IF(OR(G52&gt;=0.2,G52&lt;=-0.2),"超过20%","")</f>
        <v/>
      </c>
      <c r="I52" s="499">
        <f>IF(I47&lt;E47,E47/I47-1,I47/E47-1)</f>
        <v>7.2473949186278031E-2</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8" t="s">
        <v>2753</v>
      </c>
      <c r="D55" s="2709" t="s">
        <v>2754</v>
      </c>
      <c r="E55" s="686" t="s">
        <v>2755</v>
      </c>
      <c r="F55" s="1107" t="s">
        <v>2756</v>
      </c>
      <c r="G55" s="3242" t="s">
        <v>2757</v>
      </c>
      <c r="H55" s="3264"/>
      <c r="I55" s="144" t="s">
        <v>2758</v>
      </c>
      <c r="J55" s="2710">
        <f>项目基本情况!F35</f>
        <v>0</v>
      </c>
      <c r="K55" s="2711" t="s">
        <v>2759</v>
      </c>
      <c r="L55" s="1106"/>
      <c r="M55" s="1144"/>
      <c r="N55" s="1144"/>
      <c r="O55" s="1144"/>
    </row>
    <row r="56" spans="1:15" s="692" customFormat="1">
      <c r="A56" s="688" t="s">
        <v>2760</v>
      </c>
      <c r="B56" s="689">
        <f>C48</f>
        <v>25953</v>
      </c>
      <c r="C56" s="690">
        <v>1</v>
      </c>
      <c r="D56" s="1163">
        <v>1</v>
      </c>
      <c r="E56" s="690">
        <f>'数据-汇总表'!E8+'数据-汇总表'!E9</f>
        <v>47504.530000000006</v>
      </c>
      <c r="F56" s="1103">
        <f t="shared" ref="F56:F65" si="15">ROUND(B56*E56/10000,0)</f>
        <v>123289</v>
      </c>
      <c r="G56" s="3265"/>
      <c r="H56" s="3241"/>
      <c r="I56" s="1108">
        <v>1</v>
      </c>
      <c r="J56" s="1111">
        <v>1</v>
      </c>
      <c r="K56" s="1145"/>
      <c r="L56" s="941"/>
      <c r="M56" s="941"/>
      <c r="N56" s="941"/>
      <c r="O56" s="941"/>
    </row>
    <row r="57" spans="1:15" s="692" customFormat="1">
      <c r="A57" s="693" t="s">
        <v>2761</v>
      </c>
      <c r="B57" s="262">
        <f>ROUND($C$48*C57*D57,0)</f>
        <v>3893</v>
      </c>
      <c r="C57" s="200">
        <f t="shared" ref="C57:C65" si="16">IF($C$55="北京市系数",I57,J57)</f>
        <v>0.6</v>
      </c>
      <c r="D57" s="1164">
        <v>0.25</v>
      </c>
      <c r="E57" s="694">
        <f>'数据-基础表'!M13</f>
        <v>1057.5000000000005</v>
      </c>
      <c r="F57" s="1103">
        <f t="shared" si="15"/>
        <v>412</v>
      </c>
      <c r="G57" s="3266" t="s">
        <v>2762</v>
      </c>
      <c r="H57" s="1104" t="str">
        <f>项目基本情况!B37</f>
        <v>八级</v>
      </c>
      <c r="I57" s="1108">
        <f>SUMIF(修正!A45:A56,H57,修正!B45:B56)</f>
        <v>0.6</v>
      </c>
      <c r="J57" s="1112"/>
      <c r="K57" s="1144"/>
      <c r="L57" s="941"/>
      <c r="M57" s="941"/>
      <c r="N57" s="941"/>
      <c r="O57" s="941"/>
    </row>
    <row r="58" spans="1:15" s="692" customFormat="1">
      <c r="A58" s="693" t="s">
        <v>2763</v>
      </c>
      <c r="B58" s="262">
        <f t="shared" ref="B58:B65" si="17">ROUND($C$48*C58*D58,0)</f>
        <v>1946</v>
      </c>
      <c r="C58" s="200">
        <f t="shared" si="16"/>
        <v>0.3</v>
      </c>
      <c r="D58" s="1164">
        <v>0.25</v>
      </c>
      <c r="E58" s="694"/>
      <c r="F58" s="1103">
        <f t="shared" si="15"/>
        <v>0</v>
      </c>
      <c r="G58" s="3266"/>
      <c r="H58" s="1104" t="str">
        <f>项目基本情况!B37</f>
        <v>八级</v>
      </c>
      <c r="I58" s="1108">
        <f>SUMIF(修正!A45:A56,H58,修正!C45:C56)</f>
        <v>0.3</v>
      </c>
      <c r="J58" s="1112"/>
      <c r="K58" s="1145"/>
      <c r="L58" s="941"/>
      <c r="M58" s="941"/>
      <c r="N58" s="941"/>
      <c r="O58" s="941"/>
    </row>
    <row r="59" spans="1:15" s="692" customFormat="1">
      <c r="A59" s="693" t="s">
        <v>2764</v>
      </c>
      <c r="B59" s="262">
        <f t="shared" si="17"/>
        <v>1298</v>
      </c>
      <c r="C59" s="200">
        <f t="shared" si="16"/>
        <v>0.2</v>
      </c>
      <c r="D59" s="1164">
        <v>0.25</v>
      </c>
      <c r="E59" s="694"/>
      <c r="F59" s="1103">
        <f t="shared" si="15"/>
        <v>0</v>
      </c>
      <c r="G59" s="3266"/>
      <c r="H59" s="1104" t="str">
        <f>项目基本情况!B37</f>
        <v>八级</v>
      </c>
      <c r="I59" s="1108">
        <f>SUMIF(修正!A45:A56,H59,修正!D45:D56)</f>
        <v>0.2</v>
      </c>
      <c r="J59" s="1112"/>
      <c r="K59" s="1144"/>
      <c r="L59" s="941"/>
      <c r="M59" s="941"/>
      <c r="N59" s="941"/>
      <c r="O59" s="941"/>
    </row>
    <row r="60" spans="1:15" s="692" customFormat="1">
      <c r="A60" s="693" t="s">
        <v>2765</v>
      </c>
      <c r="B60" s="262">
        <f t="shared" si="17"/>
        <v>1298</v>
      </c>
      <c r="C60" s="200">
        <f t="shared" si="16"/>
        <v>0.2</v>
      </c>
      <c r="D60" s="1164">
        <v>0.25</v>
      </c>
      <c r="E60" s="694"/>
      <c r="F60" s="1103">
        <f t="shared" si="15"/>
        <v>0</v>
      </c>
      <c r="G60" s="3266"/>
      <c r="H60" s="1104" t="str">
        <f>项目基本情况!B37</f>
        <v>八级</v>
      </c>
      <c r="I60" s="1108">
        <f>SUMIF(修正!A45:A56,H60,修正!E45:E56)</f>
        <v>0.2</v>
      </c>
      <c r="J60" s="1112"/>
      <c r="K60" s="1145"/>
      <c r="L60" s="941"/>
      <c r="M60" s="941"/>
      <c r="N60" s="941"/>
      <c r="O60" s="941"/>
    </row>
    <row r="61" spans="1:15" s="692" customFormat="1">
      <c r="A61" s="693" t="s">
        <v>2766</v>
      </c>
      <c r="B61" s="262">
        <f t="shared" si="17"/>
        <v>1298</v>
      </c>
      <c r="C61" s="200">
        <f t="shared" si="16"/>
        <v>0.2</v>
      </c>
      <c r="D61" s="1164">
        <v>0.25</v>
      </c>
      <c r="E61" s="261">
        <f>'数据-汇总表'!E11</f>
        <v>0</v>
      </c>
      <c r="F61" s="1103">
        <f t="shared" si="15"/>
        <v>0</v>
      </c>
      <c r="G61" s="2712" t="s">
        <v>2767</v>
      </c>
      <c r="H61" s="1104" t="str">
        <f>项目基本情况!C37</f>
        <v>八级</v>
      </c>
      <c r="I61" s="1108">
        <f>SUMIF(修正!A45:A56,H61,修正!F45:F56)</f>
        <v>0.2</v>
      </c>
      <c r="J61" s="1112"/>
      <c r="K61" s="1144"/>
      <c r="L61" s="941"/>
      <c r="M61" s="941"/>
      <c r="N61" s="941"/>
      <c r="O61" s="941"/>
    </row>
    <row r="62" spans="1:15" s="692" customFormat="1">
      <c r="A62" s="693" t="s">
        <v>2768</v>
      </c>
      <c r="B62" s="262">
        <f t="shared" si="17"/>
        <v>1298</v>
      </c>
      <c r="C62" s="200">
        <f t="shared" si="16"/>
        <v>0.2</v>
      </c>
      <c r="D62" s="1164">
        <v>0.25</v>
      </c>
      <c r="E62" s="261">
        <f>'数据-汇总表'!E12</f>
        <v>0</v>
      </c>
      <c r="F62" s="1103">
        <f t="shared" si="15"/>
        <v>0</v>
      </c>
      <c r="G62" s="1109" t="s">
        <v>1367</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3273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973</v>
      </c>
      <c r="C64" s="200">
        <f t="shared" si="16"/>
        <v>0.15</v>
      </c>
      <c r="D64" s="1164">
        <v>0.25</v>
      </c>
      <c r="E64" s="261">
        <f>'数据-汇总表'!E14</f>
        <v>0</v>
      </c>
      <c r="F64" s="1103">
        <f t="shared" si="15"/>
        <v>0</v>
      </c>
      <c r="G64" s="2712" t="s">
        <v>2762</v>
      </c>
      <c r="H64" s="1104" t="str">
        <f>项目基本情况!B37</f>
        <v>八级</v>
      </c>
      <c r="I64" s="1108">
        <f>SUMIF(修正!A45:A56,H64,修正!H45:H56)</f>
        <v>0.15</v>
      </c>
      <c r="J64" s="1112"/>
      <c r="K64" s="1145"/>
      <c r="L64" s="941"/>
      <c r="M64" s="941"/>
      <c r="N64" s="941"/>
      <c r="O64" s="941"/>
    </row>
    <row r="65" spans="1:17" s="692" customFormat="1" ht="15" thickBot="1">
      <c r="A65" s="693" t="s">
        <v>2773</v>
      </c>
      <c r="B65" s="262">
        <f t="shared" si="17"/>
        <v>973</v>
      </c>
      <c r="C65" s="200">
        <f t="shared" si="16"/>
        <v>0.15</v>
      </c>
      <c r="D65" s="1164">
        <v>0.25</v>
      </c>
      <c r="E65" s="261">
        <f>'数据-汇总表'!E15</f>
        <v>0</v>
      </c>
      <c r="F65" s="1103">
        <f t="shared" si="15"/>
        <v>0</v>
      </c>
      <c r="G65" s="2713" t="s">
        <v>2767</v>
      </c>
      <c r="H65" s="1114" t="str">
        <f>项目基本情况!C37</f>
        <v>八级</v>
      </c>
      <c r="I65" s="1110">
        <f>SUMIF(修正!A45:A56,H65,修正!H45:H56)</f>
        <v>0.15</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48562.030000000006</v>
      </c>
      <c r="F66" s="697">
        <f>IF(B46="楼面地价",SUM(F56:F65),ROUND(C48*E66/10000,0))</f>
        <v>123701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4" t="s">
        <v>2775</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2776</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8"/>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98" t="s">
        <v>3305</v>
      </c>
      <c r="D75" s="2998" t="s">
        <v>3304</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溢价率</v>
      </c>
      <c r="C82" s="554" t="s">
        <v>3313</v>
      </c>
      <c r="D82" s="554" t="s">
        <v>3314</v>
      </c>
      <c r="E82" s="554" t="s">
        <v>3312</v>
      </c>
      <c r="F82" s="554"/>
      <c r="G82" s="554"/>
      <c r="H82" s="555"/>
      <c r="I82" s="555"/>
      <c r="J82" s="555"/>
      <c r="K82" s="555"/>
      <c r="L82" s="556"/>
      <c r="M82" s="557"/>
      <c r="N82" s="1154"/>
      <c r="O82" s="1154"/>
      <c r="P82" s="558"/>
      <c r="Q82" s="559"/>
    </row>
    <row r="83" spans="1:17" s="471" customFormat="1" ht="15.75" thickBot="1">
      <c r="A83" s="553"/>
      <c r="B83" s="543"/>
      <c r="C83" s="560">
        <v>100</v>
      </c>
      <c r="D83" s="536">
        <v>101</v>
      </c>
      <c r="E83" s="536">
        <v>102</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102</v>
      </c>
      <c r="E118" s="570">
        <v>104</v>
      </c>
      <c r="F118" s="591">
        <v>106</v>
      </c>
      <c r="G118" s="570">
        <v>108</v>
      </c>
      <c r="H118" s="591">
        <v>110</v>
      </c>
      <c r="I118" s="570">
        <v>112</v>
      </c>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B4" workbookViewId="0">
      <selection activeCell="D26" sqref="D2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74973</v>
      </c>
      <c r="C2" s="320" t="s">
        <v>2457</v>
      </c>
      <c r="D2" s="320"/>
      <c r="E2" s="320"/>
      <c r="F2" s="320"/>
      <c r="G2" s="320"/>
      <c r="H2" s="320"/>
      <c r="I2" s="320"/>
      <c r="J2" s="320"/>
      <c r="K2" s="320"/>
    </row>
    <row r="3" spans="1:33" ht="18" customHeight="1" thickBot="1">
      <c r="A3" s="247" t="s">
        <v>2326</v>
      </c>
      <c r="B3" s="248">
        <f ca="1">ROUND(B2*10000/IF(C1="",'数据-汇总表'!E3,INDIRECT("'数据-取费表'!K"&amp;$K$1)),0)</f>
        <v>15439</v>
      </c>
      <c r="C3" s="320" t="s">
        <v>2458</v>
      </c>
      <c r="D3" s="320"/>
      <c r="E3" s="320"/>
      <c r="F3" s="320"/>
      <c r="G3" s="320"/>
      <c r="H3" s="320"/>
      <c r="I3" s="320"/>
      <c r="J3" s="320"/>
      <c r="K3" s="320"/>
    </row>
    <row r="4" spans="1:33" s="956" customFormat="1" ht="16.5" customHeight="1">
      <c r="A4" s="953" t="s">
        <v>2459</v>
      </c>
      <c r="B4" s="954"/>
      <c r="C4" s="996">
        <f ca="1">SUM(C8:K8)</f>
        <v>112878</v>
      </c>
      <c r="D4" s="954"/>
      <c r="E4" s="954"/>
      <c r="F4" s="954"/>
      <c r="G4" s="954"/>
      <c r="H4" s="954"/>
      <c r="I4" s="954"/>
      <c r="J4" s="954"/>
      <c r="K4" s="955"/>
    </row>
    <row r="5" spans="1:33" s="960" customFormat="1" ht="15">
      <c r="A5" s="957" t="s">
        <v>2460</v>
      </c>
      <c r="B5" s="958" t="s">
        <v>2461</v>
      </c>
      <c r="C5" s="2557" t="s">
        <v>27</v>
      </c>
      <c r="D5" s="2557" t="s">
        <v>1367</v>
      </c>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23244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48562.030000000006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2465</v>
      </c>
      <c r="B8" s="177" t="s">
        <v>2466</v>
      </c>
      <c r="C8" s="997">
        <f ca="1">收益法!B2</f>
        <v>112878</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1324</v>
      </c>
      <c r="B11" s="972" t="s">
        <v>2474</v>
      </c>
      <c r="C11" s="323">
        <f ca="1">IF(C1="",'数据-取费表'!P16,INDIRECT("'数据-取费表'!p"&amp;$K$1)+INDIRECT("'数据-取费表'!ar"&amp;$K$1))</f>
        <v>12626</v>
      </c>
      <c r="D11" s="973"/>
      <c r="E11" s="375"/>
      <c r="F11" s="974">
        <f ca="1">1-IF('数据-取费表'!B24=0,1,IF(C1="",'数据-取费表'!N16,INDIRECT("'数据-取费表'!n"&amp;$K$1)))</f>
        <v>0.5</v>
      </c>
      <c r="G11" s="8"/>
      <c r="H11" s="968"/>
      <c r="I11" s="968"/>
      <c r="J11" s="968"/>
      <c r="K11" s="969"/>
    </row>
    <row r="12" spans="1:33" s="975" customFormat="1" ht="13.5" customHeight="1">
      <c r="A12" s="971" t="s">
        <v>1325</v>
      </c>
      <c r="B12" s="972" t="s">
        <v>2475</v>
      </c>
      <c r="C12" s="24">
        <f ca="1">ROUND(C11*F12,0)</f>
        <v>379</v>
      </c>
      <c r="D12" s="973"/>
      <c r="E12" s="375"/>
      <c r="F12" s="976">
        <f>'数据-取费表'!B33</f>
        <v>0.03</v>
      </c>
      <c r="G12" s="8" t="s">
        <v>2476</v>
      </c>
      <c r="H12" s="968"/>
      <c r="I12" s="968"/>
      <c r="J12" s="968"/>
      <c r="K12" s="969"/>
    </row>
    <row r="13" spans="1:33" s="975" customFormat="1" ht="13.5" customHeight="1">
      <c r="A13" s="971" t="s">
        <v>1326</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1327</v>
      </c>
      <c r="B14" s="972" t="s">
        <v>2479</v>
      </c>
      <c r="C14" s="24">
        <f ca="1">ROUND(D14*E14*F11/10000,0)</f>
        <v>486</v>
      </c>
      <c r="D14" s="1033">
        <f ca="1">IF(C1="",'数据-汇总表'!E3,INDIRECT("'数据-取费表'!K"&amp;$K$1)+INDIRECT("'数据-取费表'!S"&amp;$K$1))</f>
        <v>48562.030000000006</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2481</v>
      </c>
      <c r="C15" s="983">
        <f ca="1">ROUND(C11*F15,0)</f>
        <v>189</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13680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486</v>
      </c>
      <c r="D17" s="1033">
        <f ca="1">D14</f>
        <v>48562.030000000006</v>
      </c>
      <c r="E17" s="3003">
        <f>'数据-取费表'!B32</f>
        <v>100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2486</v>
      </c>
      <c r="C18" s="24">
        <f ca="1">C19+C20-IF(C1="",'数据-取费表'!B29,IF(G18="已全部缴纳",C19+C20,H18))</f>
        <v>0</v>
      </c>
      <c r="D18" s="1033"/>
      <c r="E18" s="24"/>
      <c r="F18" s="976"/>
      <c r="G18" s="2559"/>
      <c r="H18" s="1577"/>
      <c r="I18" s="2560"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0</v>
      </c>
      <c r="D20" s="1033">
        <f ca="1">IF(C1="",'数据-汇总表'!E6,IF(INDIRECT("'数据-取费表'!c"&amp;$K$1)="住宅",INDIRECT("'数据-取费表'!s"&amp;$K$1),INDIRECT("'数据-取费表'!k"&amp;$K$1)+INDIRECT("'数据-取费表'!s"&amp;$K$1)))</f>
        <v>48562.030000000006</v>
      </c>
      <c r="E20" s="24">
        <f>'数据-取费表'!B28</f>
        <v>0</v>
      </c>
      <c r="F20" s="976"/>
      <c r="G20" s="15"/>
      <c r="H20" s="981"/>
      <c r="I20" s="981"/>
      <c r="J20" s="981"/>
      <c r="K20" s="982"/>
    </row>
    <row r="21" spans="1:33" s="975" customFormat="1" ht="13.5" customHeight="1">
      <c r="A21" s="961" t="s">
        <v>802</v>
      </c>
      <c r="B21" s="985" t="s">
        <v>2490</v>
      </c>
      <c r="C21" s="986">
        <f ca="1">C16+C17+C18</f>
        <v>14166</v>
      </c>
      <c r="D21" s="987"/>
      <c r="E21" s="325"/>
      <c r="F21" s="325"/>
      <c r="G21" s="140" t="s">
        <v>2491</v>
      </c>
      <c r="H21" s="979"/>
      <c r="I21" s="979"/>
      <c r="J21" s="979"/>
      <c r="K21" s="980"/>
    </row>
    <row r="22" spans="1:33" s="975" customFormat="1" ht="13.5" customHeight="1">
      <c r="A22" s="961" t="s">
        <v>2463</v>
      </c>
      <c r="B22" s="985" t="s">
        <v>2492</v>
      </c>
      <c r="C22" s="986">
        <f ca="1">ROUND(C21*F22,0)</f>
        <v>283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1129</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552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7.4200000000000002E-2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552</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2503</v>
      </c>
      <c r="B28" s="2562" t="s">
        <v>2504</v>
      </c>
      <c r="C28" s="331">
        <f ca="1">C30</f>
        <v>2337</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7.7200000000000005E-2</v>
      </c>
      <c r="D29" s="328"/>
      <c r="E29" s="329"/>
      <c r="F29" s="334"/>
      <c r="G29" s="140" t="s">
        <v>2506</v>
      </c>
      <c r="H29" s="979"/>
      <c r="I29" s="979"/>
      <c r="J29" s="979"/>
      <c r="K29" s="980"/>
    </row>
    <row r="30" spans="1:33" s="335" customFormat="1" ht="13.5" customHeight="1">
      <c r="A30" s="971" t="s">
        <v>804</v>
      </c>
      <c r="B30" s="994" t="s">
        <v>2507</v>
      </c>
      <c r="C30" s="336">
        <f ca="1">ROUND((C21+C22+C23)*F28,0)</f>
        <v>2337</v>
      </c>
      <c r="D30" s="328"/>
      <c r="E30" s="329"/>
      <c r="F30" s="334"/>
      <c r="G30" s="140"/>
      <c r="H30" s="979"/>
      <c r="I30" s="979"/>
      <c r="J30" s="979"/>
      <c r="K30" s="980"/>
    </row>
    <row r="31" spans="1:33" s="975" customFormat="1" ht="13.5" customHeight="1" thickBot="1">
      <c r="A31" s="2563" t="s">
        <v>2508</v>
      </c>
      <c r="B31" s="1005" t="s">
        <v>2509</v>
      </c>
      <c r="C31" s="1006">
        <f ca="1">ROUND(C4*F31/(1+'数据-取费表'!C42),0)</f>
        <v>5913</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74973</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B13" zoomScale="70" zoomScaleNormal="70"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27</v>
      </c>
      <c r="D1" s="1820" t="s">
        <v>3105</v>
      </c>
      <c r="E1" s="1821" t="s">
        <v>1377</v>
      </c>
      <c r="F1" s="1283">
        <f ca="1">J53</f>
        <v>45.36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3000">
        <f ca="1">C40+J29+L46</f>
        <v>112878</v>
      </c>
      <c r="C2" s="1845" t="s">
        <v>1506</v>
      </c>
      <c r="D2" s="1845"/>
      <c r="E2" s="1846"/>
      <c r="F2" s="1847"/>
      <c r="G2" s="1848"/>
      <c r="H2" s="1840"/>
      <c r="I2" s="1840"/>
      <c r="J2" s="1840"/>
      <c r="K2" s="1841"/>
      <c r="L2" s="1840"/>
      <c r="M2" s="1840"/>
    </row>
    <row r="3" spans="1:37" ht="18" customHeight="1" thickBot="1">
      <c r="A3" s="1849" t="s">
        <v>1507</v>
      </c>
      <c r="B3" s="1850">
        <f ca="1">IF(ISERROR(B2*10000/F43),0,ROUND(B2*10000/F43,0))</f>
        <v>23244</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5705</v>
      </c>
      <c r="D5" s="1822" t="s">
        <v>1392</v>
      </c>
      <c r="E5" s="1293"/>
      <c r="F5" s="1294"/>
      <c r="G5" s="1851"/>
      <c r="H5" s="344">
        <v>1</v>
      </c>
      <c r="I5" s="345" t="s">
        <v>1391</v>
      </c>
      <c r="J5" s="1292">
        <f ca="1">J6+J10+J12</f>
        <v>0</v>
      </c>
      <c r="K5" s="1822" t="s">
        <v>1392</v>
      </c>
      <c r="L5" s="1293"/>
      <c r="M5" s="1294"/>
    </row>
    <row r="6" spans="1:37" ht="18" customHeight="1">
      <c r="A6" s="1291" t="s">
        <v>1032</v>
      </c>
      <c r="B6" s="3269" t="s">
        <v>1393</v>
      </c>
      <c r="C6" s="1296">
        <f ca="1">ROUND(F6*F8*F7*(1-F9)/10000,0)</f>
        <v>4609</v>
      </c>
      <c r="D6" s="164" t="s">
        <v>3025</v>
      </c>
      <c r="E6" s="347" t="s">
        <v>1395</v>
      </c>
      <c r="F6" s="348">
        <f ca="1">INDIRECT("'数据-取费表'!u"&amp;$G$1)</f>
        <v>2.6</v>
      </c>
      <c r="G6" s="1851"/>
      <c r="H6" s="1291" t="s">
        <v>1032</v>
      </c>
      <c r="I6" s="3269" t="s">
        <v>1393</v>
      </c>
      <c r="J6" s="346">
        <f ca="1">ROUND(M6*M8*M7*(1-M9)/10000,0)</f>
        <v>0</v>
      </c>
      <c r="K6" s="164" t="s">
        <v>3024</v>
      </c>
      <c r="L6" s="347" t="s">
        <v>1395</v>
      </c>
      <c r="M6" s="348">
        <f ca="1">INDIRECT("'数据-取费表'!z"&amp;$G$1)</f>
        <v>0</v>
      </c>
    </row>
    <row r="7" spans="1:37" ht="18" customHeight="1">
      <c r="A7" s="1295"/>
      <c r="B7" s="3270"/>
      <c r="C7" s="1297"/>
      <c r="D7" s="352"/>
      <c r="E7" s="1298" t="s">
        <v>1396</v>
      </c>
      <c r="F7" s="348">
        <f ca="1">IF(INDIRECT("'数据-取费表'!ah"&amp;$G$1)="",INDIRECT("'数据-取费表'!k"&amp;$G$1),INDIRECT("'数据-取费表'!ah"&amp;$G$1))</f>
        <v>48562.030000000006</v>
      </c>
      <c r="G7" s="1851"/>
      <c r="H7" s="349"/>
      <c r="I7" s="3270"/>
      <c r="J7" s="351"/>
      <c r="K7" s="352"/>
      <c r="L7" s="347" t="s">
        <v>1396</v>
      </c>
      <c r="M7" s="348">
        <f ca="1">F7</f>
        <v>48562.030000000006</v>
      </c>
    </row>
    <row r="8" spans="1:37" ht="18" customHeight="1">
      <c r="A8" s="349"/>
      <c r="B8" s="3270"/>
      <c r="C8" s="351"/>
      <c r="D8" s="352"/>
      <c r="E8" s="347" t="s">
        <v>1397</v>
      </c>
      <c r="F8" s="348">
        <f ca="1">INDIRECT("'数据-取费表'!ai"&amp;$G$1)</f>
        <v>365</v>
      </c>
      <c r="G8" s="1851"/>
      <c r="H8" s="349"/>
      <c r="I8" s="3270"/>
      <c r="J8" s="351"/>
      <c r="K8" s="352"/>
      <c r="L8" s="347" t="s">
        <v>1397</v>
      </c>
      <c r="M8" s="348">
        <f ca="1">INDIRECT("'数据-取费表'!ai"&amp;$G$1)</f>
        <v>365</v>
      </c>
    </row>
    <row r="9" spans="1:37" ht="18" customHeight="1">
      <c r="A9" s="349"/>
      <c r="B9" s="3271"/>
      <c r="C9" s="351"/>
      <c r="D9" s="352"/>
      <c r="E9" s="347" t="s">
        <v>1398</v>
      </c>
      <c r="F9" s="357">
        <f ca="1">INDIRECT("'数据-取费表'!w"&amp;$G$1)</f>
        <v>0</v>
      </c>
      <c r="G9" s="1851"/>
      <c r="H9" s="349"/>
      <c r="I9" s="3271"/>
      <c r="J9" s="351"/>
      <c r="K9" s="352"/>
      <c r="L9" s="358" t="s">
        <v>1398</v>
      </c>
      <c r="M9" s="359">
        <f ca="1">INDIRECT("'数据-取费表'!ab"&amp;$G$1)</f>
        <v>0</v>
      </c>
    </row>
    <row r="10" spans="1:37" ht="18" customHeight="1">
      <c r="A10" s="1291" t="s">
        <v>1036</v>
      </c>
      <c r="B10" s="1823" t="s">
        <v>1399</v>
      </c>
      <c r="C10" s="361">
        <f ca="1">ROUND(IF(F10="押一",C6/12*F11,IF(F10="押二",C6/12*2*F11,IF(F10="押三",C6/12*3*F11,C11*F11))),0)</f>
        <v>1096</v>
      </c>
      <c r="D10" s="1824" t="s">
        <v>3034</v>
      </c>
      <c r="E10" s="358" t="s">
        <v>1400</v>
      </c>
      <c r="F10" s="1366" t="s">
        <v>3301</v>
      </c>
      <c r="G10" s="1851"/>
      <c r="H10" s="1291" t="s">
        <v>1036</v>
      </c>
      <c r="I10" s="1823" t="s">
        <v>1399</v>
      </c>
      <c r="J10" s="346">
        <f ca="1">ROUND(IF(M10="押一",J6/12*M11,IF(M10="押二",J6/12*2*M11,IF(M10="押三",J6/12*3*M11,J11*M11))),0)</f>
        <v>0</v>
      </c>
      <c r="K10" s="1824" t="s">
        <v>3033</v>
      </c>
      <c r="L10" s="358" t="s">
        <v>1400</v>
      </c>
      <c r="M10" s="1366" t="s">
        <v>1401</v>
      </c>
    </row>
    <row r="11" spans="1:37" ht="18" customHeight="1">
      <c r="A11" s="353"/>
      <c r="B11" s="1825" t="s">
        <v>1378</v>
      </c>
      <c r="C11" s="3001">
        <f>酒店收入计算!C40</f>
        <v>73080</v>
      </c>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36941</v>
      </c>
      <c r="D13" s="1331" t="s">
        <v>1405</v>
      </c>
      <c r="E13" s="1331" t="s">
        <v>1406</v>
      </c>
      <c r="F13" s="1332">
        <f ca="1">INDIRECT("'数据-取费表'!y"&amp;$G$1)</f>
        <v>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25252</v>
      </c>
      <c r="D14" s="1800" t="s">
        <v>1408</v>
      </c>
      <c r="E14" s="1794"/>
      <c r="F14" s="364"/>
      <c r="G14" s="1851"/>
      <c r="H14" s="1201" t="s">
        <v>1032</v>
      </c>
      <c r="I14" s="347" t="s">
        <v>1409</v>
      </c>
      <c r="J14" s="24">
        <f ca="1">C29</f>
        <v>36941</v>
      </c>
      <c r="K14" s="15"/>
      <c r="L14" s="979"/>
      <c r="M14" s="980"/>
    </row>
    <row r="15" spans="1:37" s="1858" customFormat="1" ht="18" customHeight="1" thickBot="1">
      <c r="A15" s="1201" t="s">
        <v>1033</v>
      </c>
      <c r="B15" s="347" t="s">
        <v>1410</v>
      </c>
      <c r="C15" s="24">
        <f ca="1">ROUND(C14*F15,0)</f>
        <v>758</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867</v>
      </c>
      <c r="K16" s="1337" t="s">
        <v>1415</v>
      </c>
      <c r="L16" s="1338"/>
      <c r="M16" s="1294"/>
    </row>
    <row r="17" spans="1:37" s="1858" customFormat="1" ht="18" customHeight="1">
      <c r="A17" s="1201" t="s">
        <v>1380</v>
      </c>
      <c r="B17" s="347" t="s">
        <v>1416</v>
      </c>
      <c r="C17" s="24">
        <f ca="1">ROUND(F17*(F43+INDIRECT("'数据-取费表'!S"&amp;$G$1))/10000,0)</f>
        <v>971</v>
      </c>
      <c r="D17" s="347" t="s">
        <v>1417</v>
      </c>
      <c r="E17" s="347" t="s">
        <v>1418</v>
      </c>
      <c r="F17" s="26">
        <f>'数据-取费表'!B35</f>
        <v>200</v>
      </c>
      <c r="G17" s="1854"/>
      <c r="H17" s="1201" t="s">
        <v>1032</v>
      </c>
      <c r="I17" s="347" t="s">
        <v>1419</v>
      </c>
      <c r="J17" s="24">
        <f ca="1">ROUND(IF(项目基本情况!B11="自然人",J5*M17,J18+J19+J20),1)</f>
        <v>312.60000000000002</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379</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27360</v>
      </c>
      <c r="D19" s="140" t="s">
        <v>1426</v>
      </c>
      <c r="E19" s="1818"/>
      <c r="F19" s="26"/>
      <c r="G19" s="1851"/>
      <c r="H19" s="1201" t="s">
        <v>1033</v>
      </c>
      <c r="I19" s="347" t="s">
        <v>1427</v>
      </c>
      <c r="J19" s="24">
        <f ca="1">IF(K19="按租金收入计税",ROUND(J5*M19,2),ROUND(C29*M19*0.7,2))</f>
        <v>310.3</v>
      </c>
      <c r="K19" s="1828" t="s">
        <v>1428</v>
      </c>
      <c r="L19" s="347" t="s">
        <v>1412</v>
      </c>
      <c r="M19" s="367">
        <f>IF(K19="按租金收入计税",'数据-取费表'!B51,'数据-取费表'!B50)</f>
        <v>1.2E-2</v>
      </c>
    </row>
    <row r="20" spans="1:37" s="1858" customFormat="1" ht="18" customHeight="1">
      <c r="A20" s="1201" t="s">
        <v>1036</v>
      </c>
      <c r="B20" s="347" t="s">
        <v>1429</v>
      </c>
      <c r="C20" s="24">
        <f ca="1">ROUND(C19*F20,0)</f>
        <v>547</v>
      </c>
      <c r="D20" s="369" t="s">
        <v>1430</v>
      </c>
      <c r="E20" s="347" t="s">
        <v>1412</v>
      </c>
      <c r="F20" s="367">
        <f>'数据-取费表'!B37</f>
        <v>0.02</v>
      </c>
      <c r="G20" s="1854"/>
      <c r="H20" s="1201" t="s">
        <v>1379</v>
      </c>
      <c r="I20" s="164" t="s">
        <v>1431</v>
      </c>
      <c r="J20" s="25">
        <f ca="1">ROUND(M20*M21/10000,2)</f>
        <v>2.34</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15620.22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554.1</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2011</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0.04</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-867</v>
      </c>
      <c r="K25" s="1345" t="s">
        <v>1454</v>
      </c>
      <c r="L25" s="1346"/>
      <c r="M25" s="1347"/>
    </row>
    <row r="26" spans="1:37">
      <c r="A26" s="1201" t="s">
        <v>1031</v>
      </c>
      <c r="B26" s="347" t="s">
        <v>1455</v>
      </c>
      <c r="C26" s="24">
        <f ca="1">ROUND((C19+C20)*F26,0)</f>
        <v>4186</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36941</v>
      </c>
      <c r="D29" s="1342"/>
      <c r="E29" s="1340"/>
      <c r="F29" s="1343"/>
      <c r="G29" s="1854"/>
      <c r="H29" s="380" t="s">
        <v>1030</v>
      </c>
      <c r="I29" s="381" t="s">
        <v>1469</v>
      </c>
      <c r="J29" s="382">
        <f ca="1">ROUND(J26/(1+F40)^F41,0)</f>
        <v>0</v>
      </c>
      <c r="K29" s="383" t="s">
        <v>1470</v>
      </c>
      <c r="L29" s="384"/>
      <c r="M29" s="385">
        <f ca="1">INDIRECT("'数据-取费表'!k"&amp;$G$1)</f>
        <v>48562.030000000006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1449</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611.5</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298.83</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310.3</v>
      </c>
      <c r="D33" s="1828" t="s">
        <v>3111</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2.34</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15620.22</v>
      </c>
      <c r="G35" s="1851"/>
      <c r="H35" s="745"/>
      <c r="I35" s="1860"/>
      <c r="J35" s="1861"/>
      <c r="K35" s="1862"/>
      <c r="L35" s="1859"/>
      <c r="M35" s="1859"/>
    </row>
    <row r="36" spans="1:18" ht="18" customHeight="1">
      <c r="A36" s="1352" t="s">
        <v>1036</v>
      </c>
      <c r="B36" s="347" t="s">
        <v>1439</v>
      </c>
      <c r="C36" s="24">
        <f ca="1">ROUND(C29*F36,1)</f>
        <v>554.1</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55.4</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228.2</v>
      </c>
      <c r="D38" s="1342" t="s">
        <v>1449</v>
      </c>
      <c r="E38" s="1340" t="s">
        <v>1445</v>
      </c>
      <c r="F38" s="3004">
        <f ca="1">INDIRECT("'数据-取费表'!Am"&amp;$G$1)</f>
        <v>0.04</v>
      </c>
      <c r="G38" s="1851"/>
      <c r="H38" s="1859"/>
      <c r="I38" s="1860"/>
      <c r="J38" s="1861"/>
      <c r="K38" s="1865"/>
      <c r="L38" s="1859"/>
      <c r="M38" s="1859"/>
    </row>
    <row r="39" spans="1:18" ht="24.6" customHeight="1" thickTop="1">
      <c r="A39" s="1329" t="s">
        <v>1028</v>
      </c>
      <c r="B39" s="1344" t="s">
        <v>1473</v>
      </c>
      <c r="C39" s="355">
        <f ca="1">C5-C30</f>
        <v>4256</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112878</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45.36</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23244</v>
      </c>
      <c r="D43" s="383" t="s">
        <v>1478</v>
      </c>
      <c r="E43" s="384" t="s">
        <v>1479</v>
      </c>
      <c r="F43" s="385">
        <f ca="1">INDIRECT("'数据-取费表'!k"&amp;$G$1)</f>
        <v>48562.030000000006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-128164</v>
      </c>
      <c r="D46" s="1872" t="str">
        <f>C2</f>
        <v>万元</v>
      </c>
      <c r="E46" s="1866"/>
      <c r="F46" s="1866"/>
      <c r="I46" s="1873" t="s">
        <v>1511</v>
      </c>
      <c r="J46" s="1874"/>
      <c r="K46" s="1875"/>
      <c r="L46" s="2999" t="str">
        <f ca="1">IF(M47="住宅",0,IF(L48&gt;J51,L60,J60))</f>
        <v>0</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3106</v>
      </c>
      <c r="K47" s="1882" t="s">
        <v>1517</v>
      </c>
      <c r="L47" s="1883">
        <f ca="1">INDIRECT("'数据-取费表'!d"&amp;$G$1)</f>
        <v>50</v>
      </c>
      <c r="M47" s="1838" t="str">
        <f>IF(ISNUMBER(FIND("住宅",C1)),"住宅","非住宅")</f>
        <v>非住宅</v>
      </c>
      <c r="O47" s="1884" t="s">
        <v>1037</v>
      </c>
      <c r="P47" s="1885" t="s">
        <v>1518</v>
      </c>
      <c r="Q47" s="1886">
        <f ca="1">C40+J29</f>
        <v>112878</v>
      </c>
      <c r="R47" s="1886" t="s">
        <v>1519</v>
      </c>
    </row>
    <row r="48" spans="1:18" s="1842" customFormat="1" ht="28.5" thickBot="1">
      <c r="A48" s="1360" t="s">
        <v>1126</v>
      </c>
      <c r="B48" s="345" t="s">
        <v>1391</v>
      </c>
      <c r="C48" s="1817">
        <f ca="1">C49+C53+C55</f>
        <v>0</v>
      </c>
      <c r="D48" s="1362"/>
      <c r="E48" s="1363"/>
      <c r="F48" s="1181"/>
      <c r="G48" s="792"/>
      <c r="H48" s="793"/>
      <c r="I48" s="1887" t="s">
        <v>1520</v>
      </c>
      <c r="J48" s="1888" t="s">
        <v>3107</v>
      </c>
      <c r="K48" s="1889" t="s">
        <v>1521</v>
      </c>
      <c r="L48" s="1890">
        <f ca="1">INDIRECT("'数据-取费表'!f"&amp;$G$1)</f>
        <v>46.86</v>
      </c>
      <c r="O48" s="1884" t="s">
        <v>1038</v>
      </c>
      <c r="P48" s="1885" t="s">
        <v>1522</v>
      </c>
      <c r="Q48" s="1886" t="str">
        <f ca="1">J60</f>
        <v>0</v>
      </c>
      <c r="R48" s="1886" t="s">
        <v>1523</v>
      </c>
    </row>
    <row r="49" spans="1:18" s="1842" customFormat="1" ht="13.5" thickBot="1">
      <c r="A49" s="1194" t="s">
        <v>1127</v>
      </c>
      <c r="B49" s="1829" t="s">
        <v>1480</v>
      </c>
      <c r="C49" s="1364">
        <f ca="1">ROUND(F49*F51*F50*(1-F52)/10000,0)</f>
        <v>0</v>
      </c>
      <c r="D49" s="1276" t="s">
        <v>3026</v>
      </c>
      <c r="E49" s="1830" t="s">
        <v>1481</v>
      </c>
      <c r="F49" s="1281"/>
      <c r="G49" s="1891"/>
      <c r="H49" s="793"/>
      <c r="I49" s="1887" t="s">
        <v>1524</v>
      </c>
      <c r="J49" s="1892">
        <v>2020</v>
      </c>
      <c r="K49" s="1889" t="s">
        <v>1525</v>
      </c>
      <c r="L49" s="1893"/>
      <c r="O49" s="1894" t="s">
        <v>1039</v>
      </c>
      <c r="P49" s="1885" t="s">
        <v>1526</v>
      </c>
      <c r="Q49" s="1886">
        <f ca="1">C29</f>
        <v>36941</v>
      </c>
      <c r="R49" s="1886" t="s">
        <v>1519</v>
      </c>
    </row>
    <row r="50" spans="1:18" s="1842" customFormat="1" ht="13.5" thickBot="1">
      <c r="A50" s="1195"/>
      <c r="B50" s="1198"/>
      <c r="C50" s="1368"/>
      <c r="D50" s="1172"/>
      <c r="E50" s="1277" t="s">
        <v>1396</v>
      </c>
      <c r="F50" s="1278">
        <f ca="1">F7</f>
        <v>48562.030000000006</v>
      </c>
      <c r="H50" s="793"/>
      <c r="I50" s="1887" t="s">
        <v>1527</v>
      </c>
      <c r="J50" s="1895">
        <f>SUMPRODUCT((I63:I65=J47)*(J62:L62=J48)*(J63:L65))</f>
        <v>60</v>
      </c>
      <c r="K50" s="1889" t="s">
        <v>1528</v>
      </c>
      <c r="L50" s="1893"/>
      <c r="M50" s="1896"/>
      <c r="O50" s="1894" t="s">
        <v>1040</v>
      </c>
      <c r="P50" s="1885" t="s">
        <v>1529</v>
      </c>
      <c r="Q50" s="1897" t="e">
        <f ca="1">J58</f>
        <v>#VALUE!</v>
      </c>
      <c r="R50" s="1886"/>
    </row>
    <row r="51" spans="1:18" s="1842" customFormat="1" ht="13.5" thickBot="1">
      <c r="A51" s="1196"/>
      <c r="B51" s="1198"/>
      <c r="C51" s="1199"/>
      <c r="D51" s="1172"/>
      <c r="E51" s="1200" t="s">
        <v>1397</v>
      </c>
      <c r="F51" s="348">
        <f ca="1">F8</f>
        <v>365</v>
      </c>
      <c r="I51" s="1898" t="s">
        <v>1530</v>
      </c>
      <c r="J51" s="1899">
        <f>IF(J49="",J50,J49+J50-YEAR('数据-取费表'!B2))</f>
        <v>61</v>
      </c>
      <c r="K51" s="1900" t="s">
        <v>1531</v>
      </c>
      <c r="L51" s="1901">
        <f ca="1">ROUND(-PV(INDIRECT("'数据-取费表'!h"&amp;$G$1),L48,(C39-C13*C76),0),0)</f>
        <v>23370</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45.36</v>
      </c>
      <c r="R52" s="1886" t="s">
        <v>1536</v>
      </c>
    </row>
    <row r="53" spans="1:18" s="1842" customFormat="1" ht="24.75" thickBot="1">
      <c r="A53" s="1405" t="s">
        <v>1128</v>
      </c>
      <c r="B53" s="1831" t="s">
        <v>1399</v>
      </c>
      <c r="C53" s="361">
        <f ca="1">ROUND(IF(F53="押一",C49/12*F11,IF(F53="押二",C49/12*2*F11,IF(F53="押三",C49/12*3*F11,C54*F11))),0)</f>
        <v>0</v>
      </c>
      <c r="D53" s="1824" t="s">
        <v>3033</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45.36</v>
      </c>
      <c r="K53" s="3267" t="s">
        <v>1538</v>
      </c>
      <c r="L53" s="3268"/>
      <c r="O53" s="1884" t="s">
        <v>1043</v>
      </c>
      <c r="P53" s="1885" t="s">
        <v>1539</v>
      </c>
      <c r="Q53" s="1886">
        <f ca="1">Q47+Q48</f>
        <v>112878</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#VALUE!</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36941</v>
      </c>
      <c r="D56" s="1914"/>
      <c r="E56" s="1915"/>
      <c r="F56" s="1907"/>
      <c r="I56" s="1916" t="s">
        <v>1544</v>
      </c>
      <c r="J56" s="1917" t="s">
        <v>3083</v>
      </c>
      <c r="K56" s="1887" t="s">
        <v>1545</v>
      </c>
      <c r="L56" s="1890" t="str">
        <f ca="1">IF(L48&lt;J51,"——",L48-J53)</f>
        <v>——</v>
      </c>
      <c r="O56" s="1884" t="s">
        <v>1037</v>
      </c>
      <c r="P56" s="1885" t="s">
        <v>1518</v>
      </c>
      <c r="Q56" s="1886">
        <f ca="1">C40+J29</f>
        <v>112878</v>
      </c>
      <c r="R56" s="1886" t="s">
        <v>1519</v>
      </c>
    </row>
    <row r="57" spans="1:18" s="1842" customFormat="1" ht="24.75" thickBot="1">
      <c r="A57" s="1918"/>
      <c r="B57" s="1169" t="s">
        <v>1468</v>
      </c>
      <c r="C57" s="282">
        <f ca="1">C29</f>
        <v>36941</v>
      </c>
      <c r="D57" s="1919"/>
      <c r="E57" s="1920"/>
      <c r="F57" s="1921"/>
      <c r="I57" s="1922" t="s">
        <v>1546</v>
      </c>
      <c r="J57" s="1923" t="str">
        <f ca="1">IF(OR(M47="住宅",J51&lt;L48,J56="是"),"——",J51-L48)</f>
        <v>——</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922</v>
      </c>
      <c r="D58" s="1179" t="s">
        <v>1415</v>
      </c>
      <c r="E58" s="1180"/>
      <c r="F58" s="1181"/>
      <c r="I58" s="1922" t="s">
        <v>1550</v>
      </c>
      <c r="J58" s="1924" t="e">
        <f ca="1">IF(J55&lt;0.4,0.4,J55)</f>
        <v>#VALUE!</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312.60000000000002</v>
      </c>
      <c r="D59" s="1182" t="s">
        <v>1420</v>
      </c>
      <c r="E59" s="1183" t="s">
        <v>1421</v>
      </c>
      <c r="F59" s="368" t="str">
        <f ca="1">IF(项目基本情况!B11="企业","",IF(INDIRECT("'数据-取费表'!c"&amp;$G$1)="住宅",5%,IF(F49*F50*F51/12/(1+'数据-取费表'!C42)&gt;20000,12%,7%)))</f>
        <v/>
      </c>
      <c r="I59" s="1922" t="s">
        <v>1553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t="str">
        <f ca="1">IF(OR(M47="住宅",J51&lt;L48,J56="是"),"0",ROUND(J59/(1+J52)^J53,0))</f>
        <v>0</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310.3</v>
      </c>
      <c r="D61" s="1828" t="s">
        <v>1428</v>
      </c>
      <c r="E61" s="1169" t="s">
        <v>1484</v>
      </c>
      <c r="F61" s="367">
        <f t="shared" si="0"/>
        <v>1.2E-2</v>
      </c>
      <c r="I61" s="1928"/>
      <c r="J61" s="1928"/>
      <c r="K61" s="1928"/>
      <c r="L61" s="1928"/>
      <c r="O61" s="1894" t="s">
        <v>1042</v>
      </c>
      <c r="P61" s="1885" t="str">
        <f>K59</f>
        <v>续建工期及建筑物耐用年限下的土地年期修正系数Kn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2.34</v>
      </c>
      <c r="D62" s="1184" t="s">
        <v>1487</v>
      </c>
      <c r="E62" s="1169" t="s">
        <v>1488</v>
      </c>
      <c r="F62" s="371">
        <f t="shared" si="0"/>
        <v>1.5</v>
      </c>
      <c r="I62" s="1929" t="s">
        <v>1560</v>
      </c>
      <c r="J62" s="1930" t="s">
        <v>1561</v>
      </c>
      <c r="K62" s="1930" t="s">
        <v>1562</v>
      </c>
      <c r="L62" s="1930" t="s">
        <v>1563</v>
      </c>
      <c r="M62" s="1931" t="s">
        <v>1564</v>
      </c>
      <c r="O62" s="1884" t="s">
        <v>1043</v>
      </c>
      <c r="P62" s="1885" t="s">
        <v>1565</v>
      </c>
      <c r="Q62" s="1886">
        <f ca="1">Q56+Q57</f>
        <v>112878</v>
      </c>
      <c r="R62" s="1886" t="s">
        <v>1044</v>
      </c>
    </row>
    <row r="63" spans="1:18" s="1842" customFormat="1" ht="13.5" thickBot="1">
      <c r="A63" s="372"/>
      <c r="B63" s="1175"/>
      <c r="C63" s="29"/>
      <c r="D63" s="1185"/>
      <c r="E63" s="1169" t="s">
        <v>1489</v>
      </c>
      <c r="F63" s="348">
        <f t="shared" ca="1" si="0"/>
        <v>15620.22</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554.1</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55.4</v>
      </c>
      <c r="D65" s="1183" t="s">
        <v>1444</v>
      </c>
      <c r="E65" s="1169" t="s">
        <v>1445</v>
      </c>
      <c r="F65" s="376">
        <f t="shared" ca="1" si="0"/>
        <v>1.5E-3</v>
      </c>
      <c r="I65" s="1929" t="s">
        <v>1569</v>
      </c>
      <c r="J65" s="1930">
        <v>40</v>
      </c>
      <c r="K65" s="1930">
        <v>30</v>
      </c>
      <c r="L65" s="1930">
        <v>50</v>
      </c>
      <c r="M65" s="1932">
        <v>0.02</v>
      </c>
      <c r="O65" s="1884" t="s">
        <v>1037</v>
      </c>
      <c r="P65" s="1885" t="s">
        <v>1570</v>
      </c>
      <c r="Q65" s="1886">
        <f ca="1">C40+J29</f>
        <v>112878</v>
      </c>
      <c r="R65" s="1886" t="s">
        <v>1519</v>
      </c>
    </row>
    <row r="66" spans="1:18" s="1842" customFormat="1" ht="16.5" thickBot="1">
      <c r="A66" s="1201" t="s">
        <v>1494</v>
      </c>
      <c r="B66" s="1169" t="s">
        <v>1429</v>
      </c>
      <c r="C66" s="24">
        <f ca="1">ROUND(C48*F66,1)</f>
        <v>0</v>
      </c>
      <c r="D66" s="1183" t="s">
        <v>1495</v>
      </c>
      <c r="E66" s="1169" t="s">
        <v>1412</v>
      </c>
      <c r="F66" s="357">
        <f t="shared" ca="1" si="0"/>
        <v>0.04</v>
      </c>
      <c r="O66" s="1884" t="s">
        <v>1038</v>
      </c>
      <c r="P66" s="1885" t="s">
        <v>1548</v>
      </c>
      <c r="Q66" s="1886">
        <f ca="1">L60</f>
        <v>0</v>
      </c>
      <c r="R66" s="1886" t="s">
        <v>1571</v>
      </c>
    </row>
    <row r="67" spans="1:18" s="1842" customFormat="1" ht="16.5" thickBot="1">
      <c r="A67" s="1176" t="s">
        <v>1028</v>
      </c>
      <c r="B67" s="1186" t="s">
        <v>1453</v>
      </c>
      <c r="C67" s="361">
        <f ca="1">C48-C58</f>
        <v>-922</v>
      </c>
      <c r="D67" s="1182" t="s">
        <v>1454</v>
      </c>
      <c r="E67" s="1187"/>
      <c r="F67" s="1188"/>
      <c r="O67" s="1894" t="s">
        <v>1039</v>
      </c>
      <c r="P67" s="1885" t="s">
        <v>1552</v>
      </c>
      <c r="Q67" s="1933">
        <f ca="1">L51</f>
        <v>23370</v>
      </c>
      <c r="R67" s="1886" t="s">
        <v>1572</v>
      </c>
    </row>
    <row r="68" spans="1:18" s="1842" customFormat="1" ht="16.5" thickBot="1">
      <c r="A68" s="1166" t="s">
        <v>1029</v>
      </c>
      <c r="B68" s="1167" t="s">
        <v>1475</v>
      </c>
      <c r="C68" s="346">
        <f ca="1">ROUND(C67*(1-((1+F70)/(1+F68))^F69)/(F68-F70),0)</f>
        <v>-15286</v>
      </c>
      <c r="D68" s="1184" t="s">
        <v>1459</v>
      </c>
      <c r="E68" s="1169" t="s">
        <v>1460</v>
      </c>
      <c r="F68" s="357">
        <f ca="1">F40</f>
        <v>5.5E-2</v>
      </c>
      <c r="O68" s="1894" t="s">
        <v>1040</v>
      </c>
      <c r="P68" s="1934" t="s">
        <v>1573</v>
      </c>
      <c r="Q68" s="1886">
        <f ca="1">ROUND(Q69-Q70*Q71,0)</f>
        <v>1301</v>
      </c>
      <c r="R68" s="1886" t="s">
        <v>1048</v>
      </c>
    </row>
    <row r="69" spans="1:18" s="1842" customFormat="1" ht="13.5" thickBot="1">
      <c r="A69" s="1170"/>
      <c r="B69" s="1171"/>
      <c r="C69" s="351"/>
      <c r="D69" s="1189" t="s">
        <v>1463</v>
      </c>
      <c r="E69" s="1169" t="s">
        <v>1464</v>
      </c>
      <c r="F69" s="379">
        <f ca="1">F41</f>
        <v>45.36</v>
      </c>
      <c r="O69" s="1894" t="s">
        <v>1045</v>
      </c>
      <c r="P69" s="1934" t="s">
        <v>1574</v>
      </c>
      <c r="Q69" s="1886">
        <f ca="1">C39</f>
        <v>4256</v>
      </c>
      <c r="R69" s="1886" t="s">
        <v>1519</v>
      </c>
    </row>
    <row r="70" spans="1:18" s="1842" customFormat="1" ht="13.5" thickBot="1">
      <c r="A70" s="1173"/>
      <c r="B70" s="1174"/>
      <c r="C70" s="355"/>
      <c r="D70" s="1185"/>
      <c r="E70" s="1169" t="s">
        <v>1467</v>
      </c>
      <c r="F70" s="1275"/>
      <c r="O70" s="1894" t="s">
        <v>1046</v>
      </c>
      <c r="P70" s="1934" t="s">
        <v>1575</v>
      </c>
      <c r="Q70" s="1886">
        <f ca="1">C13</f>
        <v>36941</v>
      </c>
      <c r="R70" s="1886" t="s">
        <v>1519</v>
      </c>
    </row>
    <row r="71" spans="1:18" s="1842" customFormat="1" ht="13.5" thickBot="1">
      <c r="A71" s="1190" t="s">
        <v>1030</v>
      </c>
      <c r="B71" s="1191" t="s">
        <v>1477</v>
      </c>
      <c r="C71" s="382">
        <f ca="1">ROUND(C68*10000/F71,0)</f>
        <v>-3148</v>
      </c>
      <c r="D71" s="1192" t="s">
        <v>1478</v>
      </c>
      <c r="E71" s="1193" t="s">
        <v>1479</v>
      </c>
      <c r="F71" s="385">
        <f ca="1">F43</f>
        <v>48562.030000000006</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续建工期及建筑物耐用年限下的土地年期修正系数Kn</v>
      </c>
      <c r="Q74" s="1886" t="e">
        <f ca="1">L59</f>
        <v>#DIV/0!</v>
      </c>
      <c r="R74" s="1886" t="s">
        <v>1559</v>
      </c>
    </row>
    <row r="75" spans="1:18" ht="13.5" thickBot="1">
      <c r="A75" s="1842"/>
      <c r="B75" s="386" t="s">
        <v>1496</v>
      </c>
      <c r="C75" s="387">
        <f ca="1">ROUND(C13*C76,0)</f>
        <v>2955</v>
      </c>
      <c r="D75" s="1842"/>
      <c r="E75" s="1842"/>
      <c r="F75" s="1842"/>
      <c r="K75" s="1868"/>
      <c r="L75" s="1842"/>
      <c r="O75" s="1884" t="s">
        <v>1043</v>
      </c>
      <c r="P75" s="1885" t="s">
        <v>1539</v>
      </c>
      <c r="Q75" s="1886">
        <f ca="1">Q65+Q66</f>
        <v>112878</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0.30600000000000005</v>
      </c>
    </row>
    <row r="80" spans="1:18">
      <c r="B80" s="386" t="s">
        <v>1501</v>
      </c>
      <c r="C80" s="318">
        <f ca="1">ROUND(C75/C39,3)</f>
        <v>0.69399999999999995</v>
      </c>
    </row>
    <row r="81" spans="2:3">
      <c r="B81" s="314" t="s">
        <v>1502</v>
      </c>
      <c r="C81" s="282"/>
    </row>
    <row r="82" spans="2:3">
      <c r="B82" s="317" t="s">
        <v>1503</v>
      </c>
      <c r="C82" s="319">
        <f ca="1">1-C83</f>
        <v>0.67300000000000004</v>
      </c>
    </row>
    <row r="83" spans="2:3">
      <c r="B83" s="317" t="s">
        <v>1504</v>
      </c>
      <c r="C83" s="318">
        <f ca="1">ROUND(C13/C40,3)</f>
        <v>0.32700000000000001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69" t="s">
        <v>1393</v>
      </c>
      <c r="C6" s="1296">
        <f ca="1">ROUND(F6*F8*F7*(1-F9),0)</f>
        <v>0</v>
      </c>
      <c r="D6" s="164" t="s">
        <v>3022</v>
      </c>
      <c r="E6" s="347" t="s">
        <v>1395</v>
      </c>
      <c r="F6" s="348">
        <f ca="1">INDIRECT("'数据-取费表'!u"&amp;$G$1)</f>
        <v>0</v>
      </c>
      <c r="G6" s="1851"/>
      <c r="H6" s="1291" t="s">
        <v>1032</v>
      </c>
      <c r="I6" s="3269" t="s">
        <v>1393</v>
      </c>
      <c r="J6" s="346">
        <f ca="1">ROUND(M6*M8*M7*(1-M9),0)</f>
        <v>0</v>
      </c>
      <c r="K6" s="1834" t="s">
        <v>3023</v>
      </c>
      <c r="L6" s="347" t="s">
        <v>1395</v>
      </c>
      <c r="M6" s="348">
        <f ca="1">INDIRECT("'数据-取费表'!z"&amp;$G$1)</f>
        <v>0</v>
      </c>
    </row>
    <row r="7" spans="1:37" ht="18" customHeight="1">
      <c r="A7" s="1295"/>
      <c r="B7" s="3270"/>
      <c r="C7" s="1297"/>
      <c r="D7" s="352"/>
      <c r="E7" s="1298" t="s">
        <v>1396</v>
      </c>
      <c r="F7" s="348">
        <f ca="1">IF(INDIRECT("'数据-取费表'!ah"&amp;$G$1)="",INDIRECT("'数据-取费表'!k"&amp;$G$1),INDIRECT("'数据-取费表'!ah"&amp;$G$1))</f>
        <v>0</v>
      </c>
      <c r="G7" s="1851"/>
      <c r="H7" s="349"/>
      <c r="I7" s="3270"/>
      <c r="J7" s="351"/>
      <c r="K7" s="352"/>
      <c r="L7" s="347" t="s">
        <v>1396</v>
      </c>
      <c r="M7" s="348">
        <f ca="1">F7</f>
        <v>0</v>
      </c>
    </row>
    <row r="8" spans="1:37" ht="18" customHeight="1">
      <c r="A8" s="349"/>
      <c r="B8" s="3270"/>
      <c r="C8" s="351"/>
      <c r="D8" s="352"/>
      <c r="E8" s="347" t="s">
        <v>1397</v>
      </c>
      <c r="F8" s="348">
        <f ca="1">INDIRECT("'数据-取费表'!ai"&amp;$G$1)</f>
        <v>0</v>
      </c>
      <c r="G8" s="1851"/>
      <c r="H8" s="349"/>
      <c r="I8" s="3270"/>
      <c r="J8" s="351"/>
      <c r="K8" s="352"/>
      <c r="L8" s="347" t="s">
        <v>1397</v>
      </c>
      <c r="M8" s="348">
        <f ca="1">INDIRECT("'数据-取费表'!ai"&amp;$G$1)</f>
        <v>0</v>
      </c>
    </row>
    <row r="9" spans="1:37" ht="18" customHeight="1">
      <c r="A9" s="349"/>
      <c r="B9" s="3271"/>
      <c r="C9" s="351"/>
      <c r="D9" s="352"/>
      <c r="E9" s="347" t="s">
        <v>1398</v>
      </c>
      <c r="F9" s="357">
        <f ca="1">INDIRECT("'数据-取费表'!w"&amp;$G$1)</f>
        <v>0</v>
      </c>
      <c r="G9" s="1851"/>
      <c r="H9" s="349"/>
      <c r="I9" s="3271"/>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3033</v>
      </c>
      <c r="E10" s="358" t="s">
        <v>1400</v>
      </c>
      <c r="F10" s="1366"/>
      <c r="G10" s="1851"/>
      <c r="H10" s="1291" t="s">
        <v>1036</v>
      </c>
      <c r="I10" s="1823" t="s">
        <v>1399</v>
      </c>
      <c r="J10" s="346">
        <f ca="1">ROUND(IF(M10="押一",J6/12*M11,IF(M10="押二",J6/12*2*M11,IF(M10="押三",J6/12*3*M11,J11*M11))),0)</f>
        <v>0</v>
      </c>
      <c r="K10" s="1835" t="s">
        <v>3035</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200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3036</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67" t="s">
        <v>1538</v>
      </c>
      <c r="L53" s="3268"/>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1.5</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2520</v>
      </c>
      <c r="B1" s="2565"/>
      <c r="C1" s="2565"/>
      <c r="D1" s="2565"/>
      <c r="E1" s="2566"/>
    </row>
    <row r="2" spans="1:6" ht="15.75">
      <c r="A2" s="2567" t="s">
        <v>2324</v>
      </c>
      <c r="B2" s="2568">
        <f ca="1">SUMIF(B6:B13,"&lt;&gt;#ref!",B6:B13)</f>
        <v>112878</v>
      </c>
      <c r="C2" s="2569" t="s">
        <v>2513</v>
      </c>
      <c r="D2" s="2570" t="s">
        <v>2514</v>
      </c>
      <c r="E2" s="2571">
        <f>SUM(E6:E13)</f>
        <v>48562.030000000006</v>
      </c>
    </row>
    <row r="3" spans="1:6" ht="15.75">
      <c r="A3" s="2567" t="s">
        <v>1385</v>
      </c>
      <c r="B3" s="2568">
        <f ca="1">ROUND(B2*10000/E2,0)</f>
        <v>23244</v>
      </c>
      <c r="C3" s="2569" t="s">
        <v>2521</v>
      </c>
      <c r="D3" s="2572"/>
      <c r="E3" s="2573"/>
    </row>
    <row r="4" spans="1:6" ht="15.75">
      <c r="A4" s="2574"/>
      <c r="B4" s="2572"/>
      <c r="C4" s="2572"/>
      <c r="D4" s="2572"/>
      <c r="E4" s="2573"/>
    </row>
    <row r="5" spans="1:6" ht="15">
      <c r="A5" s="2575" t="s">
        <v>2515</v>
      </c>
      <c r="B5" s="3272" t="s">
        <v>2516</v>
      </c>
      <c r="C5" s="3272"/>
      <c r="D5" s="2576"/>
      <c r="E5" s="2577" t="s">
        <v>2517</v>
      </c>
      <c r="F5" s="2578" t="s">
        <v>2518</v>
      </c>
    </row>
    <row r="6" spans="1:6">
      <c r="A6" s="2579" t="str">
        <f>'数据-取费表'!AN6</f>
        <v>收益法</v>
      </c>
      <c r="B6" s="2578">
        <f ca="1">IF(F6="是",'数据-取费表'!AO6,0)</f>
        <v>112878</v>
      </c>
      <c r="C6" s="2569" t="s">
        <v>2513</v>
      </c>
      <c r="D6" s="2572"/>
      <c r="E6" s="2580">
        <f>IF(OR(A6=0,F6="否"),0,'数据-取费表'!K6+'数据-取费表'!S6)</f>
        <v>48562.030000000006</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A11" sqref="A11:A15"/>
    </sheetView>
  </sheetViews>
  <sheetFormatPr defaultRowHeight="13.5"/>
  <cols>
    <col min="1" max="1" width="10.5" customWidth="1"/>
    <col min="2" max="2" width="12.875" customWidth="1"/>
    <col min="3" max="3" width="8.75" customWidth="1"/>
    <col min="13" max="13" width="10.5" bestFit="1" customWidth="1"/>
  </cols>
  <sheetData>
    <row r="1" spans="1:19" ht="14.25">
      <c r="A1" s="3273" t="s">
        <v>1073</v>
      </c>
      <c r="B1" s="3274"/>
      <c r="C1" s="3275"/>
      <c r="D1" s="3276">
        <f>SUM(I10,I15,I20,I21,I23)</f>
        <v>6584</v>
      </c>
      <c r="E1" s="3276"/>
      <c r="F1" s="3276"/>
      <c r="G1" s="3276"/>
      <c r="H1" s="3276"/>
      <c r="I1" s="3277"/>
    </row>
    <row r="2" spans="1:19">
      <c r="A2" s="3278" t="s">
        <v>1074</v>
      </c>
      <c r="B2" s="3279" t="s">
        <v>1075</v>
      </c>
      <c r="C2" s="3279"/>
      <c r="D2" s="1301" t="s">
        <v>1076</v>
      </c>
      <c r="E2" s="1301" t="s">
        <v>1077</v>
      </c>
      <c r="F2" s="1301" t="s">
        <v>1078</v>
      </c>
      <c r="G2" s="1301" t="s">
        <v>1079</v>
      </c>
      <c r="H2" s="1301" t="s">
        <v>1080</v>
      </c>
      <c r="I2" s="1302" t="s">
        <v>1081</v>
      </c>
    </row>
    <row r="3" spans="1:19">
      <c r="A3" s="3278"/>
      <c r="B3" s="3279" t="s">
        <v>3296</v>
      </c>
      <c r="C3" s="3279"/>
      <c r="D3" s="1303">
        <f>N14</f>
        <v>527</v>
      </c>
      <c r="E3" s="1301">
        <v>5800</v>
      </c>
      <c r="F3" s="1304">
        <v>1</v>
      </c>
      <c r="G3" s="1304">
        <v>0.8</v>
      </c>
      <c r="H3" s="1305"/>
      <c r="I3" s="1306">
        <f>J3</f>
        <v>4593</v>
      </c>
      <c r="J3">
        <f>ROUND(D3/L3*M3*G3/10000,0)</f>
        <v>4593</v>
      </c>
      <c r="L3">
        <v>1281</v>
      </c>
      <c r="M3">
        <v>139560480</v>
      </c>
    </row>
    <row r="4" spans="1:19">
      <c r="A4" s="3278"/>
      <c r="B4" s="3279" t="s">
        <v>3297</v>
      </c>
      <c r="C4" s="3279"/>
      <c r="D4" s="1303">
        <f>O14</f>
        <v>44</v>
      </c>
      <c r="E4" s="1301">
        <v>7800</v>
      </c>
      <c r="F4" s="1304">
        <v>1</v>
      </c>
      <c r="G4" s="1304">
        <f>G3</f>
        <v>0.8</v>
      </c>
      <c r="H4" s="1305"/>
      <c r="I4" s="1306">
        <f t="shared" ref="I4:I6" si="0">J4</f>
        <v>524</v>
      </c>
      <c r="J4">
        <f t="shared" ref="J4:J6" si="1">ROUND(D4/L4*M4*G4/10000,0)</f>
        <v>524</v>
      </c>
      <c r="L4">
        <v>126</v>
      </c>
      <c r="M4">
        <v>18760320</v>
      </c>
    </row>
    <row r="5" spans="1:19">
      <c r="A5" s="3278"/>
      <c r="B5" s="3279"/>
      <c r="C5" s="3279"/>
      <c r="D5" s="1303"/>
      <c r="E5" s="1301">
        <v>12000</v>
      </c>
      <c r="F5" s="1304">
        <v>1</v>
      </c>
      <c r="G5" s="1304">
        <f>G3</f>
        <v>0.8</v>
      </c>
      <c r="H5" s="1305"/>
      <c r="I5" s="1306">
        <f t="shared" si="0"/>
        <v>0</v>
      </c>
      <c r="J5">
        <f t="shared" si="1"/>
        <v>0</v>
      </c>
      <c r="L5">
        <v>211</v>
      </c>
      <c r="M5">
        <v>21121380</v>
      </c>
    </row>
    <row r="6" spans="1:19">
      <c r="A6" s="3278"/>
      <c r="B6" s="3279" t="s">
        <v>3299</v>
      </c>
      <c r="C6" s="3279"/>
      <c r="D6" s="1303">
        <v>38</v>
      </c>
      <c r="E6" s="1301">
        <v>21000</v>
      </c>
      <c r="F6" s="1304">
        <v>1</v>
      </c>
      <c r="G6" s="1304">
        <f>G3</f>
        <v>0.8</v>
      </c>
      <c r="H6" s="1305"/>
      <c r="I6" s="1306">
        <f t="shared" si="0"/>
        <v>868</v>
      </c>
      <c r="J6">
        <f t="shared" si="1"/>
        <v>868</v>
      </c>
      <c r="L6">
        <v>38</v>
      </c>
      <c r="M6">
        <v>10848340</v>
      </c>
    </row>
    <row r="7" spans="1:19">
      <c r="A7" s="3278"/>
      <c r="B7" s="3279"/>
      <c r="C7" s="3279"/>
      <c r="D7" s="1303"/>
      <c r="E7" s="1301"/>
      <c r="F7" s="1304"/>
      <c r="G7" s="1304"/>
      <c r="H7" s="1305"/>
      <c r="I7" s="1306">
        <f t="shared" ref="I7:I9" si="2">ROUND(D7*E7*F7*G7*H7/10000,0)</f>
        <v>0</v>
      </c>
    </row>
    <row r="8" spans="1:19" ht="14.25" thickBot="1">
      <c r="A8" s="3278"/>
      <c r="B8" s="3279"/>
      <c r="C8" s="3279"/>
      <c r="D8" s="1303"/>
      <c r="E8" s="1301"/>
      <c r="F8" s="1304"/>
      <c r="G8" s="1304"/>
      <c r="H8" s="1305"/>
      <c r="I8" s="1306">
        <f t="shared" si="2"/>
        <v>0</v>
      </c>
    </row>
    <row r="9" spans="1:19" ht="40.5">
      <c r="A9" s="3278"/>
      <c r="B9" s="3279" t="s">
        <v>1082</v>
      </c>
      <c r="C9" s="3279"/>
      <c r="D9" s="1303"/>
      <c r="E9" s="1301"/>
      <c r="F9" s="1304"/>
      <c r="G9" s="1304"/>
      <c r="H9" s="1305"/>
      <c r="I9" s="1306">
        <f t="shared" si="2"/>
        <v>0</v>
      </c>
      <c r="L9" s="2972" t="s">
        <v>3274</v>
      </c>
      <c r="M9" s="2973" t="s">
        <v>3275</v>
      </c>
      <c r="N9" s="3290" t="s">
        <v>3276</v>
      </c>
      <c r="O9" s="3291"/>
      <c r="P9" s="3291"/>
      <c r="Q9" s="3291"/>
      <c r="R9" s="3292"/>
      <c r="S9" s="2974" t="s">
        <v>3277</v>
      </c>
    </row>
    <row r="10" spans="1:19" ht="40.5">
      <c r="A10" s="3278"/>
      <c r="B10" s="3280" t="s">
        <v>1083</v>
      </c>
      <c r="C10" s="3280"/>
      <c r="D10" s="1307">
        <f>SUM(D3:D9)</f>
        <v>609</v>
      </c>
      <c r="E10" s="1307" t="e">
        <f>ROUND(D1*10000/D10/H9,0)</f>
        <v>#DIV/0!</v>
      </c>
      <c r="F10" s="1308"/>
      <c r="G10" s="1308"/>
      <c r="H10" s="1309"/>
      <c r="I10" s="1310">
        <f>SUM(I3:I9)</f>
        <v>5985</v>
      </c>
      <c r="L10" s="2975"/>
      <c r="M10" s="2976"/>
      <c r="N10" s="2977" t="s">
        <v>3295</v>
      </c>
      <c r="O10" s="2977" t="s">
        <v>3278</v>
      </c>
      <c r="P10" s="2977" t="s">
        <v>3279</v>
      </c>
      <c r="Q10" s="2978" t="s">
        <v>3280</v>
      </c>
      <c r="R10" s="2995" t="s">
        <v>3298</v>
      </c>
      <c r="S10" s="2979"/>
    </row>
    <row r="11" spans="1:19" ht="14.25">
      <c r="A11" s="3278" t="s">
        <v>1084</v>
      </c>
      <c r="B11" s="3279" t="s">
        <v>1085</v>
      </c>
      <c r="C11" s="3279"/>
      <c r="D11" s="1303" t="s">
        <v>1086</v>
      </c>
      <c r="E11" s="1303" t="s">
        <v>1087</v>
      </c>
      <c r="F11" s="1304" t="s">
        <v>1088</v>
      </c>
      <c r="G11" s="1304" t="s">
        <v>1080</v>
      </c>
      <c r="H11" s="1311" t="s">
        <v>1089</v>
      </c>
      <c r="I11" s="1302" t="s">
        <v>1081</v>
      </c>
      <c r="L11" s="2975" t="s">
        <v>3281</v>
      </c>
      <c r="M11" s="2976" t="s">
        <v>3282</v>
      </c>
      <c r="N11" s="2976">
        <v>298</v>
      </c>
      <c r="O11" s="2976">
        <v>19</v>
      </c>
      <c r="P11" s="2976">
        <v>0</v>
      </c>
      <c r="Q11" s="2976">
        <v>0</v>
      </c>
      <c r="R11" s="2980"/>
      <c r="S11" s="2979">
        <v>317</v>
      </c>
    </row>
    <row r="12" spans="1:19">
      <c r="A12" s="3278"/>
      <c r="B12" s="3279" t="s">
        <v>1090</v>
      </c>
      <c r="C12" s="3279"/>
      <c r="D12" s="1303">
        <v>50</v>
      </c>
      <c r="E12" s="1303">
        <v>895</v>
      </c>
      <c r="F12" s="1304">
        <v>0.8</v>
      </c>
      <c r="G12" s="1305">
        <v>365</v>
      </c>
      <c r="H12" s="1312"/>
      <c r="I12" s="1302"/>
      <c r="L12" s="2975"/>
      <c r="M12" s="2976" t="s">
        <v>3283</v>
      </c>
      <c r="N12" s="2976">
        <v>229</v>
      </c>
      <c r="O12" s="2976">
        <v>25</v>
      </c>
      <c r="P12" s="2976">
        <v>0</v>
      </c>
      <c r="Q12" s="2976">
        <v>0</v>
      </c>
      <c r="R12" s="2980"/>
      <c r="S12" s="2979">
        <v>254</v>
      </c>
    </row>
    <row r="13" spans="1:19">
      <c r="A13" s="3278"/>
      <c r="B13" s="3279" t="s">
        <v>1091</v>
      </c>
      <c r="C13" s="3279"/>
      <c r="D13" s="1303"/>
      <c r="E13" s="1303"/>
      <c r="F13" s="1304"/>
      <c r="G13" s="1305"/>
      <c r="H13" s="1312"/>
      <c r="I13" s="1302">
        <f>ROUND(D13*E13*F13*G13/10000,0)</f>
        <v>0</v>
      </c>
      <c r="L13" s="2975"/>
      <c r="M13" s="2976" t="s">
        <v>3284</v>
      </c>
      <c r="N13" s="2976">
        <v>0</v>
      </c>
      <c r="O13" s="2976">
        <v>0</v>
      </c>
      <c r="P13" s="2976">
        <v>0</v>
      </c>
      <c r="Q13" s="2976">
        <v>0</v>
      </c>
      <c r="R13" s="2980">
        <v>40</v>
      </c>
      <c r="S13" s="2979">
        <v>40</v>
      </c>
    </row>
    <row r="14" spans="1:19">
      <c r="A14" s="3278"/>
      <c r="B14" s="3279" t="s">
        <v>1092</v>
      </c>
      <c r="C14" s="3279"/>
      <c r="D14" s="1303"/>
      <c r="E14" s="1303"/>
      <c r="F14" s="1304"/>
      <c r="G14" s="1305"/>
      <c r="H14" s="1312"/>
      <c r="I14" s="1302">
        <f>ROUND(D14*E14*F14*G14/10000,0)</f>
        <v>0</v>
      </c>
      <c r="L14" s="2975" t="s">
        <v>40</v>
      </c>
      <c r="M14" s="2976"/>
      <c r="N14" s="2981">
        <v>527</v>
      </c>
      <c r="O14" s="2981">
        <v>44</v>
      </c>
      <c r="P14" s="2981">
        <v>0</v>
      </c>
      <c r="Q14" s="2981">
        <v>0</v>
      </c>
      <c r="R14" s="2980"/>
      <c r="S14" s="2982"/>
    </row>
    <row r="15" spans="1:19" ht="18.75">
      <c r="A15" s="3278"/>
      <c r="B15" s="3280" t="s">
        <v>1083</v>
      </c>
      <c r="C15" s="3280"/>
      <c r="D15" s="1307"/>
      <c r="E15" s="1307">
        <f>SUM(E12:E14)</f>
        <v>895</v>
      </c>
      <c r="F15" s="1308"/>
      <c r="G15" s="1305"/>
      <c r="H15" s="1312"/>
      <c r="I15" s="1313">
        <f>SUM(I12:I14)</f>
        <v>0</v>
      </c>
      <c r="L15" s="2975" t="s">
        <v>3285</v>
      </c>
      <c r="M15" s="2983"/>
      <c r="N15" s="3293">
        <v>571</v>
      </c>
      <c r="O15" s="3294"/>
      <c r="P15" s="3295"/>
      <c r="Q15" s="2984">
        <v>0</v>
      </c>
      <c r="R15" s="2984">
        <v>40</v>
      </c>
      <c r="S15" s="2985">
        <v>611</v>
      </c>
    </row>
    <row r="16" spans="1:19" ht="24">
      <c r="A16" s="3278" t="s">
        <v>1093</v>
      </c>
      <c r="B16" s="3279" t="s">
        <v>1094</v>
      </c>
      <c r="C16" s="3279"/>
      <c r="D16" s="1303" t="s">
        <v>1076</v>
      </c>
      <c r="E16" s="1314" t="s">
        <v>1095</v>
      </c>
      <c r="F16" s="1304" t="s">
        <v>1096</v>
      </c>
      <c r="G16" s="1305" t="s">
        <v>1080</v>
      </c>
      <c r="H16" s="1311" t="s">
        <v>1089</v>
      </c>
      <c r="I16" s="1302" t="s">
        <v>1081</v>
      </c>
      <c r="L16" s="2986"/>
      <c r="M16" s="2987"/>
      <c r="N16" s="2987"/>
      <c r="O16" s="2987"/>
      <c r="P16" s="2987"/>
      <c r="Q16" s="2987"/>
      <c r="R16" s="2980"/>
      <c r="S16" s="2988"/>
    </row>
    <row r="17" spans="1:19" ht="14.25">
      <c r="A17" s="3278"/>
      <c r="B17" s="3279" t="s">
        <v>1097</v>
      </c>
      <c r="C17" s="3279"/>
      <c r="D17" s="1303"/>
      <c r="E17" s="1303"/>
      <c r="F17" s="1304"/>
      <c r="G17" s="1305"/>
      <c r="H17" s="1315"/>
      <c r="I17" s="1316">
        <f>ROUND(D17*E17*F17*G17/10000,0)</f>
        <v>0</v>
      </c>
      <c r="L17" s="2975" t="s">
        <v>3286</v>
      </c>
      <c r="M17" s="2976" t="s">
        <v>3287</v>
      </c>
      <c r="N17" s="2976">
        <v>114</v>
      </c>
      <c r="O17" s="2976">
        <v>14</v>
      </c>
      <c r="P17" s="2976">
        <v>0</v>
      </c>
      <c r="Q17" s="2976">
        <v>0</v>
      </c>
      <c r="R17" s="2980"/>
      <c r="S17" s="2979">
        <v>128</v>
      </c>
    </row>
    <row r="18" spans="1:19" ht="14.25">
      <c r="A18" s="3278"/>
      <c r="B18" s="3279" t="s">
        <v>1098</v>
      </c>
      <c r="C18" s="3279"/>
      <c r="D18" s="1303"/>
      <c r="E18" s="1303"/>
      <c r="F18" s="1304"/>
      <c r="G18" s="1305"/>
      <c r="H18" s="1315"/>
      <c r="I18" s="1316">
        <f>ROUND(D18*E18*F18*G18/10000,0)</f>
        <v>0</v>
      </c>
      <c r="L18" s="2975"/>
      <c r="M18" s="2976" t="s">
        <v>3288</v>
      </c>
      <c r="N18" s="2976">
        <v>114</v>
      </c>
      <c r="O18" s="2976">
        <v>14</v>
      </c>
      <c r="P18" s="2981">
        <v>0</v>
      </c>
      <c r="Q18" s="2976">
        <v>0</v>
      </c>
      <c r="R18" s="2980"/>
      <c r="S18" s="2979">
        <v>128</v>
      </c>
    </row>
    <row r="19" spans="1:19" ht="14.25">
      <c r="A19" s="3278"/>
      <c r="B19" s="3279" t="s">
        <v>1099</v>
      </c>
      <c r="C19" s="3279"/>
      <c r="D19" s="1303"/>
      <c r="E19" s="1303"/>
      <c r="F19" s="1304"/>
      <c r="G19" s="1305"/>
      <c r="H19" s="1315"/>
      <c r="I19" s="1316">
        <f>ROUND(D19*E19*F19*G19/10000,0)</f>
        <v>0</v>
      </c>
      <c r="L19" s="2989"/>
      <c r="M19" s="2981" t="s">
        <v>3289</v>
      </c>
      <c r="N19" s="2981">
        <v>0</v>
      </c>
      <c r="O19" s="2981">
        <v>0</v>
      </c>
      <c r="P19" s="2981">
        <v>0</v>
      </c>
      <c r="Q19" s="2981">
        <v>130</v>
      </c>
      <c r="R19" s="2980"/>
      <c r="S19" s="2990">
        <v>130</v>
      </c>
    </row>
    <row r="20" spans="1:19">
      <c r="A20" s="3278"/>
      <c r="B20" s="3280" t="s">
        <v>1083</v>
      </c>
      <c r="C20" s="3280"/>
      <c r="D20" s="1307">
        <f>SUM(D17:D19)</f>
        <v>0</v>
      </c>
      <c r="E20" s="1307"/>
      <c r="F20" s="1308"/>
      <c r="G20" s="1305"/>
      <c r="H20" s="1312"/>
      <c r="I20" s="1313">
        <f>SUM(I17:I19)</f>
        <v>0</v>
      </c>
      <c r="L20" s="2975"/>
      <c r="M20" s="2976" t="s">
        <v>3290</v>
      </c>
      <c r="N20" s="2976">
        <v>114</v>
      </c>
      <c r="O20" s="2976">
        <v>14</v>
      </c>
      <c r="P20" s="2976">
        <v>0</v>
      </c>
      <c r="Q20" s="2976">
        <v>0</v>
      </c>
      <c r="R20" s="2980"/>
      <c r="S20" s="2979">
        <v>128</v>
      </c>
    </row>
    <row r="21" spans="1:19">
      <c r="A21" s="3278" t="s">
        <v>1100</v>
      </c>
      <c r="B21" s="3282"/>
      <c r="C21" s="3282"/>
      <c r="D21" s="3282"/>
      <c r="E21" s="3282"/>
      <c r="F21" s="3282"/>
      <c r="G21" s="3282"/>
      <c r="H21" s="1765">
        <v>0.1</v>
      </c>
      <c r="I21" s="1310">
        <f>ROUND(I10*H21,0)</f>
        <v>599</v>
      </c>
      <c r="L21" s="2975"/>
      <c r="M21" s="2976" t="s">
        <v>3291</v>
      </c>
      <c r="N21" s="2976">
        <v>114</v>
      </c>
      <c r="O21" s="2976">
        <v>14</v>
      </c>
      <c r="P21" s="2976">
        <v>0</v>
      </c>
      <c r="Q21" s="2976">
        <v>0</v>
      </c>
      <c r="R21" s="2980"/>
      <c r="S21" s="2979">
        <v>128</v>
      </c>
    </row>
    <row r="22" spans="1:19" ht="14.25">
      <c r="A22" s="3283" t="s">
        <v>1101</v>
      </c>
      <c r="B22" s="3284"/>
      <c r="C22" s="3285"/>
      <c r="D22" s="1317" t="s">
        <v>1102</v>
      </c>
      <c r="E22" s="1317" t="s">
        <v>1103</v>
      </c>
      <c r="F22" s="1318" t="s">
        <v>1104</v>
      </c>
      <c r="G22" s="1318" t="s">
        <v>1105</v>
      </c>
      <c r="H22" s="1311" t="s">
        <v>1106</v>
      </c>
      <c r="I22" s="1302" t="s">
        <v>1107</v>
      </c>
      <c r="L22" s="2975"/>
      <c r="M22" s="2976" t="s">
        <v>3292</v>
      </c>
      <c r="N22" s="2976">
        <v>105</v>
      </c>
      <c r="O22" s="2976">
        <v>13</v>
      </c>
      <c r="P22" s="2976">
        <v>0</v>
      </c>
      <c r="Q22" s="2976">
        <v>0</v>
      </c>
      <c r="R22" s="2980"/>
      <c r="S22" s="2979">
        <v>118</v>
      </c>
    </row>
    <row r="23" spans="1:19" ht="14.25" thickBot="1">
      <c r="A23" s="3286"/>
      <c r="B23" s="3287"/>
      <c r="C23" s="3288"/>
      <c r="D23" s="1319"/>
      <c r="E23" s="1319"/>
      <c r="F23" s="1319"/>
      <c r="G23" s="1320"/>
      <c r="H23" s="1321"/>
      <c r="I23" s="1322">
        <f>ROUND(E23*D23*F23*(1-G23)/10000,0)</f>
        <v>0</v>
      </c>
      <c r="L23" s="2975"/>
      <c r="M23" s="2976" t="s">
        <v>3293</v>
      </c>
      <c r="N23" s="2976">
        <v>274</v>
      </c>
      <c r="O23" s="2976">
        <v>13</v>
      </c>
      <c r="P23" s="2976">
        <v>0</v>
      </c>
      <c r="Q23" s="2976">
        <v>0</v>
      </c>
      <c r="R23" s="2980"/>
      <c r="S23" s="2979">
        <v>287</v>
      </c>
    </row>
    <row r="24" spans="1:19">
      <c r="L24" s="2989" t="s">
        <v>40</v>
      </c>
      <c r="M24" s="2981"/>
      <c r="N24" s="2981">
        <v>835</v>
      </c>
      <c r="O24" s="2981">
        <v>82</v>
      </c>
      <c r="P24" s="2981">
        <v>0</v>
      </c>
      <c r="Q24" s="2981">
        <v>130</v>
      </c>
      <c r="R24" s="2981"/>
      <c r="S24" s="2982"/>
    </row>
    <row r="25" spans="1:19" ht="18.75">
      <c r="L25" s="2989" t="s">
        <v>3285</v>
      </c>
      <c r="M25" s="2981"/>
      <c r="N25" s="3293">
        <v>917</v>
      </c>
      <c r="O25" s="3294"/>
      <c r="P25" s="3295"/>
      <c r="Q25" s="2991">
        <v>130</v>
      </c>
      <c r="R25" s="2980"/>
      <c r="S25" s="2985">
        <v>1047</v>
      </c>
    </row>
    <row r="26" spans="1:19" ht="19.5" thickBot="1">
      <c r="A26" s="1323" t="s">
        <v>1108</v>
      </c>
      <c r="B26" s="1323"/>
      <c r="C26" s="1323"/>
      <c r="D26" s="1323"/>
      <c r="E26" s="3289">
        <f>C27-C30-C31-C32</f>
        <v>4608.8</v>
      </c>
      <c r="F26" s="3289"/>
      <c r="G26" s="3289"/>
      <c r="H26" s="1737" t="s">
        <v>1330</v>
      </c>
      <c r="L26" s="2992" t="s">
        <v>3294</v>
      </c>
      <c r="M26" s="2993"/>
      <c r="N26" s="2993">
        <v>1362</v>
      </c>
      <c r="O26" s="2993">
        <v>126</v>
      </c>
      <c r="P26" s="2993">
        <v>0</v>
      </c>
      <c r="Q26" s="2993">
        <v>130</v>
      </c>
      <c r="R26" s="2993">
        <v>40</v>
      </c>
      <c r="S26" s="2994">
        <v>1658</v>
      </c>
    </row>
    <row r="27" spans="1:19">
      <c r="A27" s="1324">
        <v>1</v>
      </c>
      <c r="B27" s="1325" t="s">
        <v>1109</v>
      </c>
      <c r="C27" s="1325">
        <f>D1</f>
        <v>6584</v>
      </c>
      <c r="D27" s="1325"/>
      <c r="E27" s="3281"/>
      <c r="F27" s="3281"/>
      <c r="G27" s="3281"/>
    </row>
    <row r="28" spans="1:19">
      <c r="A28" s="1326" t="s">
        <v>1110</v>
      </c>
      <c r="B28" s="1325" t="s">
        <v>1111</v>
      </c>
      <c r="C28" s="1325"/>
      <c r="D28" s="1325"/>
      <c r="E28" s="3281"/>
      <c r="F28" s="3281"/>
      <c r="G28" s="3281"/>
    </row>
    <row r="29" spans="1:19">
      <c r="A29" s="1326" t="s">
        <v>1112</v>
      </c>
      <c r="B29" s="1325" t="s">
        <v>1113</v>
      </c>
      <c r="C29" s="1325"/>
      <c r="D29" s="1325"/>
      <c r="E29" s="1325" t="s">
        <v>1114</v>
      </c>
      <c r="F29" s="1325"/>
      <c r="G29" s="1325"/>
    </row>
    <row r="30" spans="1:19">
      <c r="A30" s="1324">
        <v>2</v>
      </c>
      <c r="B30" s="1325" t="s">
        <v>1115</v>
      </c>
      <c r="C30" s="1325">
        <f>C27*D30</f>
        <v>987.59999999999991</v>
      </c>
      <c r="D30" s="1327">
        <v>0.15</v>
      </c>
      <c r="E30" s="1325" t="s">
        <v>1116</v>
      </c>
      <c r="F30" s="1325"/>
      <c r="G30" s="1325"/>
    </row>
    <row r="31" spans="1:19">
      <c r="A31" s="1324">
        <v>3</v>
      </c>
      <c r="B31" s="1325" t="s">
        <v>1117</v>
      </c>
      <c r="C31" s="1325">
        <f>C27*D31</f>
        <v>658.40000000000009</v>
      </c>
      <c r="D31" s="1327">
        <v>0.1</v>
      </c>
      <c r="E31" s="1325" t="s">
        <v>1118</v>
      </c>
      <c r="F31" s="1325"/>
      <c r="G31" s="1325"/>
    </row>
    <row r="32" spans="1:19">
      <c r="A32" s="1324">
        <v>4</v>
      </c>
      <c r="B32" s="1325" t="s">
        <v>1119</v>
      </c>
      <c r="C32" s="1325">
        <f>C27*D32</f>
        <v>329.20000000000005</v>
      </c>
      <c r="D32" s="1327">
        <v>0.05</v>
      </c>
      <c r="E32" s="3299"/>
      <c r="F32" s="3299"/>
      <c r="G32" s="3299"/>
    </row>
    <row r="33" spans="1:7" hidden="1">
      <c r="A33" s="3296" t="s">
        <v>1120</v>
      </c>
      <c r="B33" s="3297"/>
      <c r="C33" s="3297"/>
      <c r="D33" s="3298"/>
      <c r="E33" s="3289"/>
      <c r="F33" s="3289"/>
      <c r="G33" s="3289"/>
    </row>
    <row r="34" spans="1:7" hidden="1">
      <c r="A34" s="1328">
        <v>1</v>
      </c>
      <c r="B34" s="1325" t="s">
        <v>1121</v>
      </c>
      <c r="C34" s="1325"/>
      <c r="D34" s="1325"/>
      <c r="E34" s="3281"/>
      <c r="F34" s="3281"/>
      <c r="G34" s="3281"/>
    </row>
    <row r="35" spans="1:7" hidden="1">
      <c r="A35" s="1328">
        <v>2</v>
      </c>
      <c r="B35" s="1325" t="s">
        <v>1122</v>
      </c>
      <c r="C35" s="1325"/>
      <c r="D35" s="1325"/>
      <c r="E35" s="3281"/>
      <c r="F35" s="3281"/>
      <c r="G35" s="3281"/>
    </row>
    <row r="36" spans="1:7" hidden="1">
      <c r="A36" s="1328">
        <v>3</v>
      </c>
      <c r="B36" s="1325" t="s">
        <v>1123</v>
      </c>
      <c r="C36" s="1325"/>
      <c r="D36" s="1325"/>
      <c r="E36" s="3281"/>
      <c r="F36" s="3281"/>
      <c r="G36" s="3281"/>
    </row>
    <row r="37" spans="1:7" hidden="1">
      <c r="A37" s="1328">
        <v>4</v>
      </c>
      <c r="B37" s="1325" t="s">
        <v>1124</v>
      </c>
      <c r="C37" s="1325"/>
      <c r="D37" s="1325"/>
      <c r="E37" s="3281"/>
      <c r="F37" s="3281"/>
      <c r="G37" s="3281"/>
    </row>
    <row r="38" spans="1:7" hidden="1">
      <c r="A38" s="3296" t="s">
        <v>1125</v>
      </c>
      <c r="B38" s="3297"/>
      <c r="C38" s="3297"/>
      <c r="D38" s="3298"/>
      <c r="E38" s="3289"/>
      <c r="F38" s="3289"/>
      <c r="G38" s="3289"/>
    </row>
    <row r="40" spans="1:7">
      <c r="B40" s="2996" t="s">
        <v>3302</v>
      </c>
      <c r="C40" s="3002">
        <f>(D3+D4+D6)*150*G3</f>
        <v>73080</v>
      </c>
    </row>
  </sheetData>
  <mergeCells count="41">
    <mergeCell ref="N9:R9"/>
    <mergeCell ref="N15:P15"/>
    <mergeCell ref="N25:P25"/>
    <mergeCell ref="A38:D38"/>
    <mergeCell ref="E38:G38"/>
    <mergeCell ref="A33:D33"/>
    <mergeCell ref="E33:G33"/>
    <mergeCell ref="E34:G34"/>
    <mergeCell ref="E35:G35"/>
    <mergeCell ref="E36:G36"/>
    <mergeCell ref="E37:G37"/>
    <mergeCell ref="E32:G32"/>
    <mergeCell ref="A16:A20"/>
    <mergeCell ref="B16:C16"/>
    <mergeCell ref="B17:C17"/>
    <mergeCell ref="B18:C18"/>
    <mergeCell ref="E27:G27"/>
    <mergeCell ref="E28:G28"/>
    <mergeCell ref="A11:A15"/>
    <mergeCell ref="B11:C11"/>
    <mergeCell ref="B12:C12"/>
    <mergeCell ref="B13:C13"/>
    <mergeCell ref="B14:C14"/>
    <mergeCell ref="B15:C15"/>
    <mergeCell ref="B19:C19"/>
    <mergeCell ref="B20:C20"/>
    <mergeCell ref="A21:G21"/>
    <mergeCell ref="A22:C23"/>
    <mergeCell ref="E26:G26"/>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2523</v>
      </c>
      <c r="C1" s="1634" t="s">
        <v>2524</v>
      </c>
      <c r="D1" s="1621"/>
      <c r="E1" s="2586"/>
      <c r="F1" s="2587" t="s">
        <v>2525</v>
      </c>
      <c r="G1" s="1631" t="s">
        <v>2526</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9"/>
      <c r="D2" s="1365" t="e">
        <f ca="1">SUMIF(INDIRECT("'"&amp;F2&amp;"'"&amp;"!A:A"),"承租人权益价值",INDIRECT("'"&amp;F2&amp;"'"&amp;"!c:c"))</f>
        <v>#REF!</v>
      </c>
      <c r="E2" s="2590" t="s">
        <v>2527</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1385</v>
      </c>
      <c r="B3" s="399" t="e">
        <f ca="1">IF(C2="——",C49,ROUND(B2*10000/D3,0))</f>
        <v>#DIV/0!</v>
      </c>
      <c r="C3" s="400" t="s">
        <v>2528</v>
      </c>
      <c r="D3" s="399">
        <f>IF(D1="",'数据-汇总表'!E3,SUMIF('数据-汇总表'!$C19:$C33,D1,'数据-汇总表'!$E19:$E33))</f>
        <v>48562.030000000006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2529</v>
      </c>
      <c r="B4" s="402"/>
      <c r="C4" s="3242" t="s">
        <v>2530</v>
      </c>
      <c r="D4" s="3243"/>
      <c r="E4" s="3244" t="s">
        <v>2531</v>
      </c>
      <c r="F4" s="3245"/>
      <c r="G4" s="3242" t="s">
        <v>2532</v>
      </c>
      <c r="H4" s="3243"/>
      <c r="I4" s="3242" t="s">
        <v>2533</v>
      </c>
      <c r="J4" s="3243"/>
      <c r="K4" s="2599" t="s">
        <v>2534</v>
      </c>
      <c r="L4" s="1130"/>
      <c r="M4" s="1131"/>
      <c r="N4" s="1131"/>
      <c r="O4" s="1131"/>
      <c r="P4" s="3246" t="s">
        <v>2535</v>
      </c>
      <c r="Q4" s="3247"/>
      <c r="R4" s="3229" t="s">
        <v>2531</v>
      </c>
      <c r="S4" s="3230"/>
      <c r="T4" s="3229" t="s">
        <v>2532</v>
      </c>
      <c r="U4" s="3230"/>
      <c r="V4" s="3254" t="s">
        <v>2533</v>
      </c>
      <c r="W4" s="3254"/>
      <c r="X4" s="1813"/>
      <c r="Y4" s="3229" t="s">
        <v>2535</v>
      </c>
      <c r="Z4" s="3230"/>
      <c r="AA4" s="3224" t="s">
        <v>2531</v>
      </c>
      <c r="AB4" s="3224" t="s">
        <v>2532</v>
      </c>
      <c r="AC4" s="3224" t="s">
        <v>2533</v>
      </c>
    </row>
    <row r="5" spans="1:29" ht="15">
      <c r="A5" s="404"/>
      <c r="B5" s="405"/>
      <c r="C5" s="3235" t="s">
        <v>2536</v>
      </c>
      <c r="D5" s="3236"/>
      <c r="E5" s="3233" t="s">
        <v>2537</v>
      </c>
      <c r="F5" s="3234"/>
      <c r="G5" s="3235" t="s">
        <v>2538</v>
      </c>
      <c r="H5" s="3236"/>
      <c r="I5" s="3235" t="s">
        <v>2539</v>
      </c>
      <c r="J5" s="3236"/>
      <c r="K5" s="2600"/>
      <c r="L5" s="1130"/>
      <c r="M5" s="1131"/>
      <c r="N5" s="1131"/>
      <c r="O5" s="1131"/>
      <c r="P5" s="3248"/>
      <c r="Q5" s="3249"/>
      <c r="R5" s="3231"/>
      <c r="S5" s="3232"/>
      <c r="T5" s="3231"/>
      <c r="U5" s="3232"/>
      <c r="V5" s="3254"/>
      <c r="W5" s="3254"/>
      <c r="X5" s="1813"/>
      <c r="Y5" s="3231"/>
      <c r="Z5" s="3232"/>
      <c r="AA5" s="3225"/>
      <c r="AB5" s="3225"/>
      <c r="AC5" s="3225"/>
    </row>
    <row r="6" spans="1:29" ht="15.75" thickBot="1">
      <c r="A6" s="406"/>
      <c r="B6" s="407"/>
      <c r="C6" s="3237" t="s">
        <v>2540</v>
      </c>
      <c r="D6" s="3238"/>
      <c r="E6" s="3239" t="s">
        <v>2540</v>
      </c>
      <c r="F6" s="3240"/>
      <c r="G6" s="3237" t="s">
        <v>2540</v>
      </c>
      <c r="H6" s="3238"/>
      <c r="I6" s="3237" t="s">
        <v>2540</v>
      </c>
      <c r="J6" s="3238"/>
      <c r="K6" s="2600" t="s">
        <v>2541</v>
      </c>
      <c r="L6" s="1130"/>
      <c r="M6" s="1131"/>
      <c r="N6" s="1131"/>
      <c r="O6" s="1131"/>
      <c r="P6" s="3250"/>
      <c r="Q6" s="3251"/>
      <c r="R6" s="3231"/>
      <c r="S6" s="3232"/>
      <c r="T6" s="3252"/>
      <c r="U6" s="3253"/>
      <c r="V6" s="3254"/>
      <c r="W6" s="3254"/>
      <c r="X6" s="1813"/>
      <c r="Y6" s="3252"/>
      <c r="Z6" s="3253"/>
      <c r="AA6" s="3226"/>
      <c r="AB6" s="3226"/>
      <c r="AC6" s="3226"/>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7" t="s">
        <v>2543</v>
      </c>
      <c r="Q7" s="3255"/>
      <c r="R7" s="770" t="s">
        <v>23</v>
      </c>
      <c r="S7" s="771">
        <f t="shared" ref="S7:S15" si="0">F7</f>
        <v>0</v>
      </c>
      <c r="T7" s="770" t="s">
        <v>23</v>
      </c>
      <c r="U7" s="771">
        <f t="shared" ref="U7:U15" si="1">H7</f>
        <v>0</v>
      </c>
      <c r="V7" s="770" t="s">
        <v>23</v>
      </c>
      <c r="W7" s="771">
        <f t="shared" ref="W7:W15" si="2">J7</f>
        <v>0</v>
      </c>
      <c r="X7" s="772"/>
      <c r="Y7" s="3227" t="s">
        <v>2543</v>
      </c>
      <c r="Z7" s="3228"/>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7" t="s">
        <v>2546</v>
      </c>
      <c r="Q8" s="3228"/>
      <c r="R8" s="770" t="s">
        <v>23</v>
      </c>
      <c r="S8" s="771">
        <f t="shared" si="0"/>
        <v>0</v>
      </c>
      <c r="T8" s="770" t="s">
        <v>23</v>
      </c>
      <c r="U8" s="771">
        <f t="shared" si="1"/>
        <v>0</v>
      </c>
      <c r="V8" s="770" t="s">
        <v>23</v>
      </c>
      <c r="W8" s="771">
        <f t="shared" si="2"/>
        <v>0</v>
      </c>
      <c r="X8" s="772"/>
      <c r="Y8" s="3227" t="s">
        <v>2546</v>
      </c>
      <c r="Z8" s="3228"/>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65" t="s">
        <v>2549</v>
      </c>
      <c r="Q9" s="1795" t="str">
        <f t="shared" ref="Q9:Q15" si="6">B9</f>
        <v>用途</v>
      </c>
      <c r="R9" s="770" t="s">
        <v>17</v>
      </c>
      <c r="S9" s="771">
        <f t="shared" si="0"/>
        <v>100</v>
      </c>
      <c r="T9" s="770" t="s">
        <v>17</v>
      </c>
      <c r="U9" s="771">
        <f t="shared" si="1"/>
        <v>100</v>
      </c>
      <c r="V9" s="770" t="s">
        <v>17</v>
      </c>
      <c r="W9" s="771">
        <f t="shared" si="2"/>
        <v>100</v>
      </c>
      <c r="X9" s="772"/>
      <c r="Y9" s="307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5"/>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5"/>
      <c r="Q11" s="1795" t="str">
        <f t="shared" si="6"/>
        <v>容积率</v>
      </c>
      <c r="R11" s="770" t="s">
        <v>21</v>
      </c>
      <c r="S11" s="771" t="e">
        <f t="shared" si="0"/>
        <v>#N/A</v>
      </c>
      <c r="T11" s="770" t="s">
        <v>21</v>
      </c>
      <c r="U11" s="771" t="e">
        <f t="shared" si="1"/>
        <v>#N/A</v>
      </c>
      <c r="V11" s="770" t="s">
        <v>21</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65"/>
      <c r="Q12" s="1795">
        <f t="shared" si="6"/>
        <v>111</v>
      </c>
      <c r="R12" s="770" t="s">
        <v>21</v>
      </c>
      <c r="S12" s="771">
        <f t="shared" si="0"/>
        <v>100</v>
      </c>
      <c r="T12" s="770" t="s">
        <v>21</v>
      </c>
      <c r="U12" s="771">
        <f t="shared" si="1"/>
        <v>100</v>
      </c>
      <c r="V12" s="770" t="s">
        <v>21</v>
      </c>
      <c r="W12" s="771">
        <f t="shared" si="2"/>
        <v>100</v>
      </c>
      <c r="X12" s="772"/>
      <c r="Y12" s="307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65"/>
      <c r="Q13" s="1795">
        <f t="shared" si="6"/>
        <v>111</v>
      </c>
      <c r="R13" s="770" t="s">
        <v>21</v>
      </c>
      <c r="S13" s="771">
        <f t="shared" si="0"/>
        <v>100</v>
      </c>
      <c r="T13" s="770" t="s">
        <v>21</v>
      </c>
      <c r="U13" s="771">
        <f t="shared" si="1"/>
        <v>100</v>
      </c>
      <c r="V13" s="770" t="s">
        <v>21</v>
      </c>
      <c r="W13" s="771">
        <f t="shared" si="2"/>
        <v>100</v>
      </c>
      <c r="X13" s="772"/>
      <c r="Y13" s="307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65"/>
      <c r="Q14" s="1795">
        <f t="shared" si="6"/>
        <v>111</v>
      </c>
      <c r="R14" s="770" t="s">
        <v>21</v>
      </c>
      <c r="S14" s="771">
        <f t="shared" si="0"/>
        <v>100</v>
      </c>
      <c r="T14" s="770" t="s">
        <v>21</v>
      </c>
      <c r="U14" s="771">
        <f t="shared" si="1"/>
        <v>100</v>
      </c>
      <c r="V14" s="770" t="s">
        <v>21</v>
      </c>
      <c r="W14" s="771">
        <f t="shared" si="2"/>
        <v>100</v>
      </c>
      <c r="X14" s="772"/>
      <c r="Y14" s="3073"/>
      <c r="Z14" s="55">
        <f t="shared" si="7"/>
        <v>111</v>
      </c>
      <c r="AA14" s="773">
        <f t="shared" si="3"/>
        <v>1</v>
      </c>
      <c r="AB14" s="773">
        <f t="shared" si="4"/>
        <v>1</v>
      </c>
      <c r="AC14" s="773">
        <f t="shared" si="5"/>
        <v>1</v>
      </c>
    </row>
    <row r="15" spans="1:29" ht="99.75">
      <c r="A15" s="440" t="s">
        <v>2553</v>
      </c>
      <c r="B15" s="69" t="s">
        <v>2080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6" t="s">
        <v>2554</v>
      </c>
      <c r="Q15" s="1810" t="str">
        <f t="shared" si="6"/>
        <v>居住社区成熟度</v>
      </c>
      <c r="R15" s="774" t="s">
        <v>21</v>
      </c>
      <c r="S15" s="775">
        <f t="shared" si="0"/>
        <v>100</v>
      </c>
      <c r="T15" s="774" t="s">
        <v>21</v>
      </c>
      <c r="U15" s="775">
        <f t="shared" si="1"/>
        <v>100</v>
      </c>
      <c r="V15" s="774" t="s">
        <v>21</v>
      </c>
      <c r="W15" s="775">
        <f t="shared" si="2"/>
        <v>100</v>
      </c>
      <c r="X15" s="1813"/>
      <c r="Y15" s="3256" t="s">
        <v>2554</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7"/>
      <c r="Q16" s="1810"/>
      <c r="R16" s="774"/>
      <c r="S16" s="775"/>
      <c r="T16" s="774"/>
      <c r="U16" s="775"/>
      <c r="V16" s="774"/>
      <c r="W16" s="775"/>
      <c r="X16" s="1813"/>
      <c r="Y16" s="3257"/>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7"/>
      <c r="Q17" s="1810" t="str">
        <f>B17</f>
        <v>交通便捷度</v>
      </c>
      <c r="R17" s="774" t="s">
        <v>21</v>
      </c>
      <c r="S17" s="775">
        <f>F17</f>
        <v>100</v>
      </c>
      <c r="T17" s="774" t="s">
        <v>21</v>
      </c>
      <c r="U17" s="775">
        <f>H17</f>
        <v>100</v>
      </c>
      <c r="V17" s="774" t="s">
        <v>21</v>
      </c>
      <c r="W17" s="775">
        <f>J17</f>
        <v>100</v>
      </c>
      <c r="X17" s="1813"/>
      <c r="Y17" s="3257"/>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7"/>
      <c r="Q18" s="1810"/>
      <c r="R18" s="774"/>
      <c r="S18" s="775"/>
      <c r="T18" s="774"/>
      <c r="U18" s="775"/>
      <c r="V18" s="774"/>
      <c r="W18" s="775"/>
      <c r="X18" s="1813"/>
      <c r="Y18" s="3257"/>
      <c r="Z18" s="1814"/>
      <c r="AA18" s="1811">
        <v>1</v>
      </c>
      <c r="AB18" s="1811">
        <v>1</v>
      </c>
      <c r="AC18" s="1811">
        <v>1</v>
      </c>
    </row>
    <row r="19" spans="1:29" ht="42.75">
      <c r="A19" s="428"/>
      <c r="B19" s="451" t="s">
        <v>2090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7"/>
      <c r="Q19" s="1810" t="str">
        <f>B19</f>
        <v>公共配套设施</v>
      </c>
      <c r="R19" s="774" t="s">
        <v>21</v>
      </c>
      <c r="S19" s="775">
        <f>F19</f>
        <v>100</v>
      </c>
      <c r="T19" s="774" t="s">
        <v>21</v>
      </c>
      <c r="U19" s="775">
        <f>H19</f>
        <v>100</v>
      </c>
      <c r="V19" s="774" t="s">
        <v>21</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7"/>
      <c r="Q20" s="1810"/>
      <c r="R20" s="774"/>
      <c r="S20" s="775"/>
      <c r="T20" s="774"/>
      <c r="U20" s="775"/>
      <c r="V20" s="774"/>
      <c r="W20" s="775"/>
      <c r="X20" s="1813"/>
      <c r="Y20" s="3257"/>
      <c r="Z20" s="1814"/>
      <c r="AA20" s="1811">
        <v>1</v>
      </c>
      <c r="AB20" s="1811">
        <v>1</v>
      </c>
      <c r="AC20" s="1811">
        <v>1</v>
      </c>
    </row>
    <row r="21" spans="1:29" ht="28.5">
      <c r="A21" s="428"/>
      <c r="B21" s="1384" t="s">
        <v>2093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7"/>
      <c r="Q22" s="1810"/>
      <c r="R22" s="774"/>
      <c r="S22" s="775"/>
      <c r="T22" s="774"/>
      <c r="U22" s="775"/>
      <c r="V22" s="774"/>
      <c r="W22" s="775"/>
      <c r="X22" s="1813"/>
      <c r="Y22" s="3257"/>
      <c r="Z22" s="1814"/>
      <c r="AA22" s="1811">
        <v>1</v>
      </c>
      <c r="AB22" s="1811">
        <v>1</v>
      </c>
      <c r="AC22" s="1811">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7"/>
      <c r="Q23" s="1810" t="str">
        <f>B23</f>
        <v>自然及人文环境</v>
      </c>
      <c r="R23" s="774" t="s">
        <v>21</v>
      </c>
      <c r="S23" s="775">
        <f>F23</f>
        <v>100</v>
      </c>
      <c r="T23" s="774" t="s">
        <v>21</v>
      </c>
      <c r="U23" s="775">
        <f>H23</f>
        <v>100</v>
      </c>
      <c r="V23" s="774" t="s">
        <v>21</v>
      </c>
      <c r="W23" s="775">
        <f>J23</f>
        <v>100</v>
      </c>
      <c r="X23" s="1813"/>
      <c r="Y23" s="3257"/>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7"/>
      <c r="Q24" s="1810"/>
      <c r="R24" s="774"/>
      <c r="S24" s="775"/>
      <c r="T24" s="774"/>
      <c r="U24" s="775"/>
      <c r="V24" s="774"/>
      <c r="W24" s="775"/>
      <c r="X24" s="1813"/>
      <c r="Y24" s="3257"/>
      <c r="Z24" s="1814"/>
      <c r="AA24" s="1811">
        <v>1</v>
      </c>
      <c r="AB24" s="1811">
        <v>1</v>
      </c>
      <c r="AC24" s="1811">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7"/>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7"/>
      <c r="Q26" s="1810" t="str">
        <f t="shared" si="11"/>
        <v>朝向</v>
      </c>
      <c r="R26" s="774" t="s">
        <v>21</v>
      </c>
      <c r="S26" s="775">
        <f t="shared" si="12"/>
        <v>100</v>
      </c>
      <c r="T26" s="774" t="s">
        <v>21</v>
      </c>
      <c r="U26" s="775">
        <f t="shared" si="13"/>
        <v>100</v>
      </c>
      <c r="V26" s="774" t="s">
        <v>21</v>
      </c>
      <c r="W26" s="775">
        <f t="shared" si="14"/>
        <v>100</v>
      </c>
      <c r="X26" s="1813"/>
      <c r="Y26" s="325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7"/>
      <c r="Q27" s="1795">
        <f t="shared" si="11"/>
        <v>111</v>
      </c>
      <c r="R27" s="770" t="s">
        <v>21</v>
      </c>
      <c r="S27" s="771">
        <f t="shared" si="12"/>
        <v>100</v>
      </c>
      <c r="T27" s="770" t="s">
        <v>21</v>
      </c>
      <c r="U27" s="771">
        <f t="shared" si="13"/>
        <v>100</v>
      </c>
      <c r="V27" s="770" t="s">
        <v>21</v>
      </c>
      <c r="W27" s="771">
        <f t="shared" si="14"/>
        <v>100</v>
      </c>
      <c r="X27" s="772"/>
      <c r="Y27" s="325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7"/>
      <c r="Q28" s="1810">
        <f t="shared" si="11"/>
        <v>111</v>
      </c>
      <c r="R28" s="774" t="s">
        <v>21</v>
      </c>
      <c r="S28" s="775">
        <f t="shared" si="12"/>
        <v>100</v>
      </c>
      <c r="T28" s="774" t="s">
        <v>21</v>
      </c>
      <c r="U28" s="775">
        <f t="shared" si="13"/>
        <v>100</v>
      </c>
      <c r="V28" s="774" t="s">
        <v>21</v>
      </c>
      <c r="W28" s="775">
        <f t="shared" si="14"/>
        <v>100</v>
      </c>
      <c r="X28" s="1813"/>
      <c r="Y28" s="325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7"/>
      <c r="Q29" s="1810">
        <f t="shared" si="11"/>
        <v>111</v>
      </c>
      <c r="R29" s="774" t="s">
        <v>21</v>
      </c>
      <c r="S29" s="775">
        <f t="shared" si="12"/>
        <v>100</v>
      </c>
      <c r="T29" s="774" t="s">
        <v>21</v>
      </c>
      <c r="U29" s="775">
        <f t="shared" si="13"/>
        <v>100</v>
      </c>
      <c r="V29" s="774" t="s">
        <v>21</v>
      </c>
      <c r="W29" s="775">
        <f t="shared" si="14"/>
        <v>100</v>
      </c>
      <c r="X29" s="1813"/>
      <c r="Y29" s="325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7"/>
      <c r="Q30" s="1810">
        <f t="shared" si="11"/>
        <v>111</v>
      </c>
      <c r="R30" s="774" t="s">
        <v>21</v>
      </c>
      <c r="S30" s="775">
        <f t="shared" si="12"/>
        <v>100</v>
      </c>
      <c r="T30" s="774" t="s">
        <v>21</v>
      </c>
      <c r="U30" s="775">
        <f t="shared" si="13"/>
        <v>100</v>
      </c>
      <c r="V30" s="774" t="s">
        <v>21</v>
      </c>
      <c r="W30" s="775">
        <f t="shared" si="14"/>
        <v>100</v>
      </c>
      <c r="X30" s="1813"/>
      <c r="Y30" s="325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7"/>
      <c r="Q31" s="1810">
        <f t="shared" si="11"/>
        <v>111</v>
      </c>
      <c r="R31" s="774" t="s">
        <v>21</v>
      </c>
      <c r="S31" s="775">
        <f t="shared" si="12"/>
        <v>100</v>
      </c>
      <c r="T31" s="774" t="s">
        <v>21</v>
      </c>
      <c r="U31" s="775">
        <f t="shared" si="13"/>
        <v>100</v>
      </c>
      <c r="V31" s="774" t="s">
        <v>21</v>
      </c>
      <c r="W31" s="775">
        <f t="shared" si="14"/>
        <v>100</v>
      </c>
      <c r="X31" s="1813"/>
      <c r="Y31" s="3257"/>
      <c r="Z31" s="1814">
        <f t="shared" si="18"/>
        <v>111</v>
      </c>
      <c r="AA31" s="1811">
        <f t="shared" si="15"/>
        <v>1</v>
      </c>
      <c r="AB31" s="1811">
        <f t="shared" si="16"/>
        <v>1</v>
      </c>
      <c r="AC31" s="1811">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02" t="s">
        <v>2559</v>
      </c>
      <c r="Q32" s="1810" t="str">
        <f t="shared" si="11"/>
        <v>建筑类型</v>
      </c>
      <c r="R32" s="774" t="s">
        <v>21</v>
      </c>
      <c r="S32" s="775">
        <f t="shared" si="12"/>
        <v>100</v>
      </c>
      <c r="T32" s="774" t="s">
        <v>21</v>
      </c>
      <c r="U32" s="775">
        <f t="shared" si="13"/>
        <v>100</v>
      </c>
      <c r="V32" s="774" t="s">
        <v>21</v>
      </c>
      <c r="W32" s="775">
        <f t="shared" si="14"/>
        <v>100</v>
      </c>
      <c r="X32" s="1813"/>
      <c r="Y32" s="3259"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03"/>
      <c r="Q33" s="776" t="str">
        <f t="shared" si="11"/>
        <v>项目建筑规模</v>
      </c>
      <c r="R33" s="777" t="s">
        <v>21</v>
      </c>
      <c r="S33" s="778" t="e">
        <f t="shared" si="12"/>
        <v>#N/A</v>
      </c>
      <c r="T33" s="777" t="s">
        <v>21</v>
      </c>
      <c r="U33" s="778" t="e">
        <f t="shared" si="13"/>
        <v>#N/A</v>
      </c>
      <c r="V33" s="777" t="s">
        <v>21</v>
      </c>
      <c r="W33" s="778" t="e">
        <f t="shared" si="14"/>
        <v>#N/A</v>
      </c>
      <c r="X33" s="779"/>
      <c r="Y33" s="3259"/>
      <c r="Z33" s="780" t="str">
        <f t="shared" si="18"/>
        <v>项目建筑规模</v>
      </c>
      <c r="AA33" s="1811" t="e">
        <f t="shared" si="15"/>
        <v>#N/A</v>
      </c>
      <c r="AB33" s="1811" t="e">
        <f t="shared" si="16"/>
        <v>#N/A</v>
      </c>
      <c r="AC33" s="1811"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03"/>
      <c r="Q34" s="1810" t="str">
        <f t="shared" si="11"/>
        <v>建筑结构</v>
      </c>
      <c r="R34" s="774" t="s">
        <v>21</v>
      </c>
      <c r="S34" s="775">
        <f t="shared" si="12"/>
        <v>100</v>
      </c>
      <c r="T34" s="774" t="s">
        <v>21</v>
      </c>
      <c r="U34" s="775">
        <f t="shared" si="13"/>
        <v>100</v>
      </c>
      <c r="V34" s="774" t="s">
        <v>21</v>
      </c>
      <c r="W34" s="775">
        <f t="shared" si="14"/>
        <v>100</v>
      </c>
      <c r="X34" s="1813"/>
      <c r="Y34" s="3259"/>
      <c r="Z34" s="1814" t="str">
        <f t="shared" si="18"/>
        <v>建筑结构</v>
      </c>
      <c r="AA34" s="1811">
        <f t="shared" si="15"/>
        <v>1</v>
      </c>
      <c r="AB34" s="1811">
        <f t="shared" si="16"/>
        <v>1</v>
      </c>
      <c r="AC34" s="1811">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03"/>
      <c r="Q35" s="1810" t="str">
        <f t="shared" si="11"/>
        <v>建筑品质</v>
      </c>
      <c r="R35" s="774" t="s">
        <v>21</v>
      </c>
      <c r="S35" s="775">
        <f t="shared" si="12"/>
        <v>100</v>
      </c>
      <c r="T35" s="774" t="s">
        <v>21</v>
      </c>
      <c r="U35" s="775">
        <f t="shared" si="13"/>
        <v>100</v>
      </c>
      <c r="V35" s="774" t="s">
        <v>21</v>
      </c>
      <c r="W35" s="775">
        <f t="shared" si="14"/>
        <v>100</v>
      </c>
      <c r="X35" s="1813"/>
      <c r="Y35" s="3259"/>
      <c r="Z35" s="1814" t="str">
        <f t="shared" si="18"/>
        <v>建筑品质</v>
      </c>
      <c r="AA35" s="1811">
        <f t="shared" si="15"/>
        <v>1</v>
      </c>
      <c r="AB35" s="1811">
        <f t="shared" si="16"/>
        <v>1</v>
      </c>
      <c r="AC35" s="1811">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03"/>
      <c r="Q36" s="1810" t="str">
        <f t="shared" si="11"/>
        <v>公共部分装修</v>
      </c>
      <c r="R36" s="774" t="s">
        <v>21</v>
      </c>
      <c r="S36" s="775">
        <f t="shared" si="12"/>
        <v>100</v>
      </c>
      <c r="T36" s="774" t="s">
        <v>21</v>
      </c>
      <c r="U36" s="775">
        <f t="shared" si="13"/>
        <v>100</v>
      </c>
      <c r="V36" s="774" t="s">
        <v>21</v>
      </c>
      <c r="W36" s="775">
        <f t="shared" si="14"/>
        <v>100</v>
      </c>
      <c r="X36" s="1813"/>
      <c r="Y36" s="3259"/>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3"/>
      <c r="Q37" s="1795" t="str">
        <f t="shared" si="11"/>
        <v>成新度</v>
      </c>
      <c r="R37" s="770" t="s">
        <v>21</v>
      </c>
      <c r="S37" s="771" t="e">
        <f t="shared" si="12"/>
        <v>#N/A</v>
      </c>
      <c r="T37" s="770" t="s">
        <v>21</v>
      </c>
      <c r="U37" s="771" t="e">
        <f t="shared" si="13"/>
        <v>#N/A</v>
      </c>
      <c r="V37" s="770" t="s">
        <v>21</v>
      </c>
      <c r="W37" s="771" t="e">
        <f t="shared" si="14"/>
        <v>#N/A</v>
      </c>
      <c r="X37" s="772"/>
      <c r="Y37" s="3259"/>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03" t="s">
        <v>2559</v>
      </c>
      <c r="Q38" s="1810" t="str">
        <f t="shared" si="11"/>
        <v>物业管理</v>
      </c>
      <c r="R38" s="774" t="s">
        <v>21</v>
      </c>
      <c r="S38" s="775">
        <f t="shared" si="12"/>
        <v>100</v>
      </c>
      <c r="T38" s="774" t="s">
        <v>21</v>
      </c>
      <c r="U38" s="775">
        <f t="shared" si="13"/>
        <v>100</v>
      </c>
      <c r="V38" s="774" t="s">
        <v>21</v>
      </c>
      <c r="W38" s="775">
        <f t="shared" si="14"/>
        <v>100</v>
      </c>
      <c r="X38" s="1813"/>
      <c r="Y38" s="3259" t="s">
        <v>2559</v>
      </c>
      <c r="Z38" s="1814" t="str">
        <f t="shared" si="18"/>
        <v>物业管理</v>
      </c>
      <c r="AA38" s="1811">
        <f t="shared" si="15"/>
        <v>1</v>
      </c>
      <c r="AB38" s="1811">
        <f t="shared" si="16"/>
        <v>1</v>
      </c>
      <c r="AC38" s="1811">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03"/>
      <c r="Q39" s="1810" t="str">
        <f t="shared" si="11"/>
        <v>市政基础设施</v>
      </c>
      <c r="R39" s="774" t="s">
        <v>21</v>
      </c>
      <c r="S39" s="775">
        <f t="shared" si="12"/>
        <v>100</v>
      </c>
      <c r="T39" s="774" t="s">
        <v>21</v>
      </c>
      <c r="U39" s="775">
        <f t="shared" si="13"/>
        <v>100</v>
      </c>
      <c r="V39" s="774" t="s">
        <v>21</v>
      </c>
      <c r="W39" s="775">
        <f t="shared" si="14"/>
        <v>100</v>
      </c>
      <c r="X39" s="1813"/>
      <c r="Y39" s="3259"/>
      <c r="Z39" s="1814" t="str">
        <f t="shared" si="18"/>
        <v>市政基础设施</v>
      </c>
      <c r="AA39" s="1811">
        <f t="shared" si="15"/>
        <v>1</v>
      </c>
      <c r="AB39" s="1811">
        <f t="shared" si="16"/>
        <v>1</v>
      </c>
      <c r="AC39" s="1811">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03"/>
      <c r="Q40" s="1810" t="str">
        <f t="shared" si="11"/>
        <v>房型</v>
      </c>
      <c r="R40" s="774" t="s">
        <v>21</v>
      </c>
      <c r="S40" s="775">
        <f t="shared" si="12"/>
        <v>100</v>
      </c>
      <c r="T40" s="774" t="s">
        <v>21</v>
      </c>
      <c r="U40" s="775">
        <f t="shared" si="13"/>
        <v>100</v>
      </c>
      <c r="V40" s="774" t="s">
        <v>21</v>
      </c>
      <c r="W40" s="775">
        <f t="shared" si="14"/>
        <v>100</v>
      </c>
      <c r="X40" s="1813"/>
      <c r="Y40" s="3259"/>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03"/>
      <c r="Q41" s="776" t="str">
        <f t="shared" si="11"/>
        <v>单套/主力户型建筑面积</v>
      </c>
      <c r="R41" s="777" t="s">
        <v>21</v>
      </c>
      <c r="S41" s="778">
        <f t="shared" si="12"/>
        <v>100</v>
      </c>
      <c r="T41" s="777" t="s">
        <v>21</v>
      </c>
      <c r="U41" s="778">
        <f t="shared" si="13"/>
        <v>100</v>
      </c>
      <c r="V41" s="777" t="s">
        <v>21</v>
      </c>
      <c r="W41" s="778">
        <f t="shared" si="14"/>
        <v>100</v>
      </c>
      <c r="X41" s="779"/>
      <c r="Y41" s="3259"/>
      <c r="Z41" s="780" t="str">
        <f t="shared" si="18"/>
        <v>单套/主力户型建筑面积</v>
      </c>
      <c r="AA41" s="1811">
        <f t="shared" si="15"/>
        <v>1</v>
      </c>
      <c r="AB41" s="1811">
        <f t="shared" si="16"/>
        <v>1</v>
      </c>
      <c r="AC41" s="1811">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03"/>
      <c r="Q42" s="1810" t="str">
        <f t="shared" si="11"/>
        <v>内部装修</v>
      </c>
      <c r="R42" s="774" t="s">
        <v>21</v>
      </c>
      <c r="S42" s="775">
        <f t="shared" si="12"/>
        <v>100</v>
      </c>
      <c r="T42" s="774" t="s">
        <v>21</v>
      </c>
      <c r="U42" s="775">
        <f t="shared" si="13"/>
        <v>100</v>
      </c>
      <c r="V42" s="774" t="s">
        <v>21</v>
      </c>
      <c r="W42" s="775">
        <f t="shared" si="14"/>
        <v>100</v>
      </c>
      <c r="X42" s="1813"/>
      <c r="Y42" s="3259"/>
      <c r="Z42" s="1814" t="str">
        <f t="shared" si="18"/>
        <v>内部装修</v>
      </c>
      <c r="AA42" s="1811">
        <f t="shared" si="15"/>
        <v>1</v>
      </c>
      <c r="AB42" s="1811">
        <f t="shared" si="16"/>
        <v>1</v>
      </c>
      <c r="AC42" s="1811">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03"/>
      <c r="Q43" s="1810" t="str">
        <f t="shared" si="11"/>
        <v>内部装修维护情况</v>
      </c>
      <c r="R43" s="774" t="s">
        <v>21</v>
      </c>
      <c r="S43" s="775">
        <f t="shared" si="12"/>
        <v>100</v>
      </c>
      <c r="T43" s="774" t="s">
        <v>21</v>
      </c>
      <c r="U43" s="775">
        <f t="shared" si="13"/>
        <v>100</v>
      </c>
      <c r="V43" s="774" t="s">
        <v>21</v>
      </c>
      <c r="W43" s="775">
        <f t="shared" si="14"/>
        <v>100</v>
      </c>
      <c r="X43" s="1813"/>
      <c r="Y43" s="325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03"/>
      <c r="Q44" s="1795">
        <f t="shared" si="11"/>
        <v>111</v>
      </c>
      <c r="R44" s="770" t="s">
        <v>21</v>
      </c>
      <c r="S44" s="771">
        <f t="shared" si="12"/>
        <v>100</v>
      </c>
      <c r="T44" s="770" t="s">
        <v>21</v>
      </c>
      <c r="U44" s="771">
        <f t="shared" si="13"/>
        <v>100</v>
      </c>
      <c r="V44" s="770" t="s">
        <v>21</v>
      </c>
      <c r="W44" s="771">
        <f t="shared" si="14"/>
        <v>100</v>
      </c>
      <c r="X44" s="772"/>
      <c r="Y44" s="325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03"/>
      <c r="Q45" s="1810">
        <f t="shared" si="11"/>
        <v>111</v>
      </c>
      <c r="R45" s="774" t="s">
        <v>21</v>
      </c>
      <c r="S45" s="775">
        <f t="shared" si="12"/>
        <v>100</v>
      </c>
      <c r="T45" s="774" t="s">
        <v>21</v>
      </c>
      <c r="U45" s="775">
        <f t="shared" si="13"/>
        <v>100</v>
      </c>
      <c r="V45" s="774" t="s">
        <v>21</v>
      </c>
      <c r="W45" s="775">
        <f t="shared" si="14"/>
        <v>100</v>
      </c>
      <c r="X45" s="1813"/>
      <c r="Y45" s="3259"/>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04"/>
      <c r="Q46" s="1810">
        <f t="shared" si="11"/>
        <v>111</v>
      </c>
      <c r="R46" s="774" t="s">
        <v>20</v>
      </c>
      <c r="S46" s="775">
        <f t="shared" si="12"/>
        <v>100</v>
      </c>
      <c r="T46" s="774" t="s">
        <v>20</v>
      </c>
      <c r="U46" s="775">
        <f t="shared" si="13"/>
        <v>100</v>
      </c>
      <c r="V46" s="774" t="s">
        <v>20</v>
      </c>
      <c r="W46" s="775">
        <f t="shared" si="14"/>
        <v>100</v>
      </c>
      <c r="X46" s="1813"/>
      <c r="Y46" s="3305"/>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4"/>
      <c r="L47" s="1143"/>
      <c r="M47" s="1144"/>
      <c r="N47" s="1131"/>
      <c r="O47" s="1144"/>
      <c r="P47" s="3241" t="str">
        <f>A47</f>
        <v>成交单价（元/平方米）</v>
      </c>
      <c r="Q47" s="3241"/>
      <c r="R47" s="3301">
        <f>E47</f>
        <v>0</v>
      </c>
      <c r="S47" s="3301"/>
      <c r="T47" s="3301">
        <f>G47</f>
        <v>0</v>
      </c>
      <c r="U47" s="3301"/>
      <c r="V47" s="3301">
        <f>I47</f>
        <v>0</v>
      </c>
      <c r="W47" s="3301"/>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5"/>
      <c r="L48" s="1143"/>
      <c r="M48" s="1144"/>
      <c r="N48" s="1144"/>
      <c r="O48" s="1144"/>
      <c r="P48" s="3241" t="str">
        <f>A48</f>
        <v>比较价值（元/平方米）</v>
      </c>
      <c r="Q48" s="3241"/>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6"/>
      <c r="L49" s="1143"/>
      <c r="M49" s="1144"/>
      <c r="N49" s="1144"/>
      <c r="O49" s="1144"/>
      <c r="P49" s="3261" t="str">
        <f>A49</f>
        <v>估价对象XX用房的比较价值（楼面单价，元/平方米）</v>
      </c>
      <c r="Q49" s="3262"/>
      <c r="R49" s="3300" t="e">
        <f>IF(F1="售价",ROUND(AVERAGE(R48:V48),0),ROUND(AVERAGE(R48:V48),1))</f>
        <v>#DIV/0!</v>
      </c>
      <c r="S49" s="3300"/>
      <c r="T49" s="3300"/>
      <c r="U49" s="3300"/>
      <c r="V49" s="3300"/>
      <c r="W49" s="33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9"/>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2605</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2557</v>
      </c>
      <c r="B100" s="528" t="s">
        <v>2606</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2609</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2610</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2613</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4">
        <v>6</v>
      </c>
      <c r="C139" s="1085">
        <v>96</v>
      </c>
      <c r="D139" s="2651" t="s">
        <v>2625</v>
      </c>
      <c r="E139" s="1086">
        <v>100</v>
      </c>
      <c r="F139" s="1087">
        <v>102.5</v>
      </c>
      <c r="G139" s="2651" t="s">
        <v>2625</v>
      </c>
      <c r="H139" s="1088">
        <v>105</v>
      </c>
      <c r="I139" s="2652" t="s">
        <v>2626</v>
      </c>
      <c r="J139" s="1085">
        <v>20</v>
      </c>
      <c r="K139" s="1089">
        <f>C145/(J139-2)</f>
        <v>4.0555555555555553E-3</v>
      </c>
    </row>
    <row r="140" spans="1:17" ht="15">
      <c r="B140" s="1090">
        <v>5</v>
      </c>
      <c r="C140" s="1091">
        <v>100</v>
      </c>
      <c r="D140" s="1091"/>
      <c r="E140" s="1092"/>
      <c r="F140" s="1093">
        <v>102</v>
      </c>
      <c r="G140" s="1091"/>
      <c r="H140" s="1094"/>
      <c r="I140" s="2653" t="s">
        <v>2627</v>
      </c>
      <c r="J140" s="315">
        <f>ROUNDUP((J139-1)/2,0)</f>
        <v>10</v>
      </c>
      <c r="K140" s="1095">
        <v>100</v>
      </c>
    </row>
    <row r="141" spans="1:17" ht="15">
      <c r="B141" s="1090">
        <v>4</v>
      </c>
      <c r="C141" s="1091">
        <v>102</v>
      </c>
      <c r="D141" s="1091"/>
      <c r="E141" s="1092"/>
      <c r="F141" s="1093">
        <v>101.5</v>
      </c>
      <c r="G141" s="1091"/>
      <c r="H141" s="1094"/>
      <c r="I141" s="2653" t="s">
        <v>2628</v>
      </c>
      <c r="J141" s="315">
        <v>1</v>
      </c>
      <c r="K141" s="1096">
        <f>ROUND(100+(J141-J140)*K139*100,1)</f>
        <v>96.4</v>
      </c>
    </row>
    <row r="142" spans="1:17" ht="15">
      <c r="B142" s="1090">
        <v>3</v>
      </c>
      <c r="C142" s="1091">
        <v>103</v>
      </c>
      <c r="D142" s="1091"/>
      <c r="E142" s="1092"/>
      <c r="F142" s="1093">
        <v>101</v>
      </c>
      <c r="G142" s="1091"/>
      <c r="H142" s="1094"/>
      <c r="I142" s="2653" t="s">
        <v>2629</v>
      </c>
      <c r="J142" s="315">
        <f>J139</f>
        <v>20</v>
      </c>
      <c r="K142" s="1097">
        <v>95</v>
      </c>
    </row>
    <row r="143" spans="1:17" ht="15">
      <c r="B143" s="1090">
        <v>2</v>
      </c>
      <c r="C143" s="1091">
        <v>100</v>
      </c>
      <c r="D143" s="1091"/>
      <c r="E143" s="1092"/>
      <c r="F143" s="1093">
        <v>100.5</v>
      </c>
      <c r="G143" s="1091"/>
      <c r="H143" s="1094"/>
      <c r="I143" s="2653" t="s">
        <v>2630</v>
      </c>
      <c r="J143" s="1091">
        <v>15</v>
      </c>
      <c r="K143" s="1096">
        <f>ROUND(100+(J143-J140)*K139*100,1)</f>
        <v>102</v>
      </c>
    </row>
    <row r="144" spans="1:17" ht="15">
      <c r="B144" s="1090">
        <v>1</v>
      </c>
      <c r="C144" s="1091">
        <v>98</v>
      </c>
      <c r="D144" s="2654" t="s">
        <v>2631</v>
      </c>
      <c r="E144" s="1092">
        <v>102</v>
      </c>
      <c r="F144" s="1098">
        <v>100</v>
      </c>
      <c r="G144" s="2654" t="s">
        <v>2631</v>
      </c>
      <c r="H144" s="1094">
        <v>105</v>
      </c>
      <c r="I144" s="2653" t="s">
        <v>2630</v>
      </c>
      <c r="J144" s="1091">
        <v>18</v>
      </c>
      <c r="K144" s="1096">
        <f>ROUND(100+(J144-J140)*K139*100,1)</f>
        <v>103.2</v>
      </c>
    </row>
    <row r="145" spans="2:11" ht="15.75" thickBot="1">
      <c r="B145" s="2655" t="s">
        <v>2632</v>
      </c>
      <c r="C145" s="1099">
        <f>ROUND(MAX(C139:C144)/MIN(C139:C144)-1,3)</f>
        <v>7.2999999999999995E-2</v>
      </c>
      <c r="D145" s="1100"/>
      <c r="E145" s="1100"/>
      <c r="F145" s="2656" t="s">
        <v>2633</v>
      </c>
      <c r="G145" s="2657"/>
      <c r="H145" s="2658"/>
      <c r="I145" s="2659" t="s">
        <v>2630</v>
      </c>
      <c r="J145" s="1101">
        <v>8</v>
      </c>
      <c r="K145" s="1102">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估价对象为北京市出让国有建设用地使用权及在建建筑物房地产，为所有。根据《国有土地使用证》[]，估价对象（分摊）出让国有建设用地使用权面积为15620.22平方米，建筑面积为48562.03平方米。</v>
      </c>
    </row>
    <row r="8" spans="1:1" ht="57.75">
      <c r="A8" s="1951" t="s">
        <v>1604</v>
      </c>
    </row>
    <row r="9" spans="1:1" ht="18.75">
      <c r="A9" s="1950" t="s">
        <v>1605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15620.22平方米，规划建筑面积为48562.03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2019年5月18日</v>
      </c>
    </row>
    <row r="16" spans="1:1" ht="18.75">
      <c r="A16" s="1953" t="s">
        <v>1609</v>
      </c>
    </row>
    <row r="17" spans="1:1" ht="75">
      <c r="A17" s="1948" t="s">
        <v>1610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2636</v>
      </c>
      <c r="C1" s="1634" t="s">
        <v>2524</v>
      </c>
      <c r="D1" s="1621"/>
      <c r="E1" s="2660"/>
      <c r="F1" s="2587"/>
      <c r="G1" s="1631" t="s">
        <v>2637</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2638</v>
      </c>
      <c r="D3" s="399">
        <f>IF(D1="",'数据-汇总表'!E3,SUMIF('数据-汇总表'!$C19:$C33,D1,'数据-汇总表'!$E19:$E33))</f>
        <v>48562.030000000006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54" t="s">
        <v>2642</v>
      </c>
      <c r="AC4" s="3224" t="s">
        <v>2643</v>
      </c>
    </row>
    <row r="5" spans="1:29" ht="15">
      <c r="A5" s="404"/>
      <c r="B5" s="405"/>
      <c r="C5" s="3235" t="s">
        <v>2536</v>
      </c>
      <c r="D5" s="3236"/>
      <c r="E5" s="3233" t="s">
        <v>2537</v>
      </c>
      <c r="F5" s="3234"/>
      <c r="G5" s="3235" t="s">
        <v>2538</v>
      </c>
      <c r="H5" s="3236"/>
      <c r="I5" s="3235" t="s">
        <v>2539</v>
      </c>
      <c r="J5" s="3236"/>
      <c r="K5" s="610"/>
      <c r="L5" s="1130"/>
      <c r="M5" s="1131"/>
      <c r="N5" s="1131"/>
      <c r="O5" s="1131"/>
      <c r="P5" s="3248"/>
      <c r="Q5" s="3249"/>
      <c r="R5" s="3231"/>
      <c r="S5" s="3232"/>
      <c r="T5" s="3231"/>
      <c r="U5" s="3232"/>
      <c r="V5" s="3254"/>
      <c r="W5" s="3254"/>
      <c r="X5" s="1813"/>
      <c r="Y5" s="3231"/>
      <c r="Z5" s="3232"/>
      <c r="AA5" s="3225"/>
      <c r="AB5" s="3254"/>
      <c r="AC5" s="3225"/>
    </row>
    <row r="6" spans="1:29" ht="15.75" thickBot="1">
      <c r="A6" s="406"/>
      <c r="B6" s="407"/>
      <c r="C6" s="3237" t="s">
        <v>2540</v>
      </c>
      <c r="D6" s="3238"/>
      <c r="E6" s="3239" t="s">
        <v>2540</v>
      </c>
      <c r="F6" s="3240"/>
      <c r="G6" s="3237" t="s">
        <v>2540</v>
      </c>
      <c r="H6" s="3238"/>
      <c r="I6" s="3237" t="s">
        <v>2540</v>
      </c>
      <c r="J6" s="3238"/>
      <c r="K6" s="610" t="s">
        <v>2541</v>
      </c>
      <c r="L6" s="1130"/>
      <c r="M6" s="1131"/>
      <c r="N6" s="1131"/>
      <c r="O6" s="1131"/>
      <c r="P6" s="3250"/>
      <c r="Q6" s="3251"/>
      <c r="R6" s="3231"/>
      <c r="S6" s="3232"/>
      <c r="T6" s="3252"/>
      <c r="U6" s="3253"/>
      <c r="V6" s="3254"/>
      <c r="W6" s="3254"/>
      <c r="X6" s="1813"/>
      <c r="Y6" s="3252"/>
      <c r="Z6" s="3253"/>
      <c r="AA6" s="3226"/>
      <c r="AB6" s="3254"/>
      <c r="AC6" s="3226"/>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7" t="s">
        <v>2543</v>
      </c>
      <c r="Q7" s="3255"/>
      <c r="R7" s="770" t="s">
        <v>17</v>
      </c>
      <c r="S7" s="771">
        <f t="shared" ref="S7:S15" si="0">F7</f>
        <v>0</v>
      </c>
      <c r="T7" s="770" t="s">
        <v>17</v>
      </c>
      <c r="U7" s="771">
        <f t="shared" ref="U7:U15" si="1">H7</f>
        <v>0</v>
      </c>
      <c r="V7" s="770" t="s">
        <v>17</v>
      </c>
      <c r="W7" s="771">
        <f t="shared" ref="W7:W15" si="2">J7</f>
        <v>0</v>
      </c>
      <c r="X7" s="772"/>
      <c r="Y7" s="3227" t="s">
        <v>2543</v>
      </c>
      <c r="Z7" s="3228"/>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7" t="s">
        <v>2546</v>
      </c>
      <c r="Q8" s="3228"/>
      <c r="R8" s="770" t="s">
        <v>17</v>
      </c>
      <c r="S8" s="771">
        <f t="shared" si="0"/>
        <v>0</v>
      </c>
      <c r="T8" s="770" t="s">
        <v>17</v>
      </c>
      <c r="U8" s="771">
        <f t="shared" si="1"/>
        <v>0</v>
      </c>
      <c r="V8" s="770" t="s">
        <v>17</v>
      </c>
      <c r="W8" s="771">
        <f t="shared" si="2"/>
        <v>0</v>
      </c>
      <c r="X8" s="772"/>
      <c r="Y8" s="3227" t="s">
        <v>2546</v>
      </c>
      <c r="Z8" s="3228"/>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5" t="s">
        <v>2549</v>
      </c>
      <c r="Q9" s="1795" t="str">
        <f t="shared" ref="Q9:Q15" si="6">B9</f>
        <v>用途</v>
      </c>
      <c r="R9" s="770" t="s">
        <v>17</v>
      </c>
      <c r="S9" s="771">
        <f t="shared" si="0"/>
        <v>100</v>
      </c>
      <c r="T9" s="770" t="s">
        <v>17</v>
      </c>
      <c r="U9" s="771">
        <f t="shared" si="1"/>
        <v>100</v>
      </c>
      <c r="V9" s="770" t="s">
        <v>17</v>
      </c>
      <c r="W9" s="771">
        <f t="shared" si="2"/>
        <v>100</v>
      </c>
      <c r="X9" s="772"/>
      <c r="Y9" s="307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5"/>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5"/>
      <c r="Q11" s="1795"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5"/>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5"/>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5"/>
      <c r="Q14" s="1795">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6" t="s">
        <v>2554</v>
      </c>
      <c r="Q15" s="1810" t="str">
        <f t="shared" si="6"/>
        <v>商业繁华度</v>
      </c>
      <c r="R15" s="774" t="s">
        <v>17</v>
      </c>
      <c r="S15" s="775">
        <f t="shared" si="0"/>
        <v>100</v>
      </c>
      <c r="T15" s="774" t="s">
        <v>17</v>
      </c>
      <c r="U15" s="775">
        <f t="shared" si="1"/>
        <v>100</v>
      </c>
      <c r="V15" s="774" t="s">
        <v>17</v>
      </c>
      <c r="W15" s="775">
        <f t="shared" si="2"/>
        <v>100</v>
      </c>
      <c r="X15" s="1813"/>
      <c r="Y15" s="3256"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7"/>
      <c r="Q16" s="1810"/>
      <c r="R16" s="774"/>
      <c r="S16" s="775"/>
      <c r="T16" s="774"/>
      <c r="U16" s="775"/>
      <c r="V16" s="774"/>
      <c r="W16" s="775"/>
      <c r="X16" s="1813"/>
      <c r="Y16" s="3257"/>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7"/>
      <c r="Q18" s="1810"/>
      <c r="R18" s="774"/>
      <c r="S18" s="775"/>
      <c r="T18" s="774"/>
      <c r="U18" s="775"/>
      <c r="V18" s="774"/>
      <c r="W18" s="775"/>
      <c r="X18" s="1813"/>
      <c r="Y18" s="3257"/>
      <c r="Z18" s="1814"/>
      <c r="AA18" s="1811">
        <v>1</v>
      </c>
      <c r="AB18" s="1811">
        <v>1</v>
      </c>
      <c r="AC18" s="1811">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7"/>
      <c r="Q20" s="1810"/>
      <c r="R20" s="774"/>
      <c r="S20" s="775"/>
      <c r="T20" s="774"/>
      <c r="U20" s="775"/>
      <c r="V20" s="774"/>
      <c r="W20" s="775"/>
      <c r="X20" s="1813"/>
      <c r="Y20" s="3257"/>
      <c r="Z20" s="1814"/>
      <c r="AA20" s="1811">
        <v>1</v>
      </c>
      <c r="AB20" s="1811">
        <v>1</v>
      </c>
      <c r="AC20" s="1811">
        <v>1</v>
      </c>
    </row>
    <row r="21" spans="1:29" ht="28.5">
      <c r="A21" s="428"/>
      <c r="B21" s="1384"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7"/>
      <c r="Q22" s="1810"/>
      <c r="R22" s="774"/>
      <c r="S22" s="775"/>
      <c r="T22" s="774"/>
      <c r="U22" s="775"/>
      <c r="V22" s="774"/>
      <c r="W22" s="775"/>
      <c r="X22" s="1813"/>
      <c r="Y22" s="3257"/>
      <c r="Z22" s="1814"/>
      <c r="AA22" s="1811">
        <v>1</v>
      </c>
      <c r="AB22" s="1811">
        <v>1</v>
      </c>
      <c r="AC22" s="1811">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7"/>
      <c r="Q23" s="1810" t="str">
        <f>B23</f>
        <v>自然及人文环境</v>
      </c>
      <c r="R23" s="774" t="s">
        <v>17</v>
      </c>
      <c r="S23" s="775">
        <f>F23</f>
        <v>100</v>
      </c>
      <c r="T23" s="774" t="s">
        <v>17</v>
      </c>
      <c r="U23" s="775">
        <f>H23</f>
        <v>100</v>
      </c>
      <c r="V23" s="774" t="s">
        <v>17</v>
      </c>
      <c r="W23" s="775">
        <f>J23</f>
        <v>100</v>
      </c>
      <c r="X23" s="1813"/>
      <c r="Y23" s="3257"/>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7"/>
      <c r="Q24" s="1810"/>
      <c r="R24" s="774"/>
      <c r="S24" s="775"/>
      <c r="T24" s="774"/>
      <c r="U24" s="775"/>
      <c r="V24" s="774"/>
      <c r="W24" s="775"/>
      <c r="X24" s="1813"/>
      <c r="Y24" s="3257"/>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7"/>
      <c r="Q25" s="1810" t="str">
        <f t="shared" ref="Q25:Q46" si="11">B25</f>
        <v>临街状况</v>
      </c>
      <c r="R25" s="774" t="s">
        <v>17</v>
      </c>
      <c r="S25" s="775">
        <f>F25</f>
        <v>100</v>
      </c>
      <c r="T25" s="774" t="s">
        <v>17</v>
      </c>
      <c r="U25" s="775">
        <f>H25</f>
        <v>100</v>
      </c>
      <c r="V25" s="774" t="s">
        <v>17</v>
      </c>
      <c r="W25" s="775">
        <f>J25</f>
        <v>100</v>
      </c>
      <c r="X25" s="1813"/>
      <c r="Y25" s="3257"/>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7"/>
      <c r="Q26" s="1810" t="str">
        <f t="shared" si="11"/>
        <v>平面位置/可视性</v>
      </c>
      <c r="R26" s="774" t="s">
        <v>17</v>
      </c>
      <c r="S26" s="775">
        <f>F26</f>
        <v>100</v>
      </c>
      <c r="T26" s="774" t="s">
        <v>17</v>
      </c>
      <c r="U26" s="775">
        <f>H26</f>
        <v>100</v>
      </c>
      <c r="V26" s="774" t="s">
        <v>17</v>
      </c>
      <c r="W26" s="775">
        <f>J26</f>
        <v>100</v>
      </c>
      <c r="X26" s="1813"/>
      <c r="Y26" s="3257"/>
      <c r="Z26" s="1814" t="str">
        <f>Q26</f>
        <v>平面位置/可视性</v>
      </c>
      <c r="AA26" s="1811">
        <f t="shared" si="3"/>
        <v>1</v>
      </c>
      <c r="AB26" s="1811">
        <f t="shared" si="4"/>
        <v>1</v>
      </c>
      <c r="AC26" s="1811">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7"/>
      <c r="Q27" s="1795" t="str">
        <f t="shared" si="11"/>
        <v>人流量</v>
      </c>
      <c r="R27" s="770" t="s">
        <v>17</v>
      </c>
      <c r="S27" s="771">
        <f>F27</f>
        <v>100</v>
      </c>
      <c r="T27" s="770" t="s">
        <v>17</v>
      </c>
      <c r="U27" s="771">
        <f>H27</f>
        <v>100</v>
      </c>
      <c r="V27" s="770" t="s">
        <v>17</v>
      </c>
      <c r="W27" s="771">
        <f>J27</f>
        <v>100</v>
      </c>
      <c r="X27" s="772"/>
      <c r="Y27" s="3257"/>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7"/>
      <c r="Q29" s="1810">
        <f t="shared" si="11"/>
        <v>111</v>
      </c>
      <c r="R29" s="774" t="s">
        <v>17</v>
      </c>
      <c r="S29" s="775">
        <f t="shared" si="12"/>
        <v>100</v>
      </c>
      <c r="T29" s="774" t="s">
        <v>17</v>
      </c>
      <c r="U29" s="775">
        <f t="shared" si="13"/>
        <v>100</v>
      </c>
      <c r="V29" s="774" t="s">
        <v>17</v>
      </c>
      <c r="W29" s="775">
        <f t="shared" si="14"/>
        <v>100</v>
      </c>
      <c r="X29" s="1813"/>
      <c r="Y29" s="325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25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257"/>
      <c r="Z31" s="1814">
        <f t="shared" si="15"/>
        <v>111</v>
      </c>
      <c r="AA31" s="1811">
        <f t="shared" si="3"/>
        <v>1</v>
      </c>
      <c r="AB31" s="1811">
        <f t="shared" si="4"/>
        <v>1</v>
      </c>
      <c r="AC31" s="1811">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02" t="s">
        <v>2559</v>
      </c>
      <c r="Q32" s="1810" t="str">
        <f t="shared" si="11"/>
        <v>商业类型</v>
      </c>
      <c r="R32" s="774" t="s">
        <v>17</v>
      </c>
      <c r="S32" s="775">
        <f t="shared" si="12"/>
        <v>100</v>
      </c>
      <c r="T32" s="774" t="s">
        <v>17</v>
      </c>
      <c r="U32" s="775">
        <f t="shared" si="13"/>
        <v>100</v>
      </c>
      <c r="V32" s="774" t="s">
        <v>17</v>
      </c>
      <c r="W32" s="775">
        <f t="shared" si="14"/>
        <v>100</v>
      </c>
      <c r="X32" s="1813"/>
      <c r="Y32" s="3259"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3"/>
      <c r="Q33" s="776" t="str">
        <f t="shared" si="11"/>
        <v>项目建筑规模</v>
      </c>
      <c r="R33" s="777" t="s">
        <v>17</v>
      </c>
      <c r="S33" s="778" t="e">
        <f t="shared" si="12"/>
        <v>#N/A</v>
      </c>
      <c r="T33" s="777" t="s">
        <v>17</v>
      </c>
      <c r="U33" s="778" t="e">
        <f t="shared" si="13"/>
        <v>#N/A</v>
      </c>
      <c r="V33" s="777" t="s">
        <v>17</v>
      </c>
      <c r="W33" s="778" t="e">
        <f t="shared" si="14"/>
        <v>#N/A</v>
      </c>
      <c r="X33" s="779"/>
      <c r="Y33" s="3259"/>
      <c r="Z33" s="780" t="str">
        <f t="shared" si="15"/>
        <v>项目建筑规模</v>
      </c>
      <c r="AA33" s="1811" t="e">
        <f t="shared" si="3"/>
        <v>#N/A</v>
      </c>
      <c r="AB33" s="1811" t="e">
        <f t="shared" si="4"/>
        <v>#N/A</v>
      </c>
      <c r="AC33" s="1811"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03"/>
      <c r="Q34" s="1810" t="str">
        <f t="shared" si="11"/>
        <v>建筑结构</v>
      </c>
      <c r="R34" s="774" t="s">
        <v>17</v>
      </c>
      <c r="S34" s="775">
        <f t="shared" si="12"/>
        <v>100</v>
      </c>
      <c r="T34" s="774" t="s">
        <v>17</v>
      </c>
      <c r="U34" s="775">
        <f t="shared" si="13"/>
        <v>100</v>
      </c>
      <c r="V34" s="774" t="s">
        <v>17</v>
      </c>
      <c r="W34" s="775">
        <f t="shared" si="14"/>
        <v>100</v>
      </c>
      <c r="X34" s="1813"/>
      <c r="Y34" s="3259"/>
      <c r="Z34" s="1814" t="str">
        <f t="shared" si="15"/>
        <v>建筑结构</v>
      </c>
      <c r="AA34" s="1811">
        <f t="shared" si="3"/>
        <v>1</v>
      </c>
      <c r="AB34" s="1811">
        <f t="shared" si="4"/>
        <v>1</v>
      </c>
      <c r="AC34" s="1811">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03"/>
      <c r="Q35" s="1810" t="str">
        <f t="shared" si="11"/>
        <v>公共部分装修</v>
      </c>
      <c r="R35" s="774" t="s">
        <v>17</v>
      </c>
      <c r="S35" s="775">
        <f t="shared" si="12"/>
        <v>100</v>
      </c>
      <c r="T35" s="774" t="s">
        <v>17</v>
      </c>
      <c r="U35" s="775">
        <f t="shared" si="13"/>
        <v>100</v>
      </c>
      <c r="V35" s="774" t="s">
        <v>17</v>
      </c>
      <c r="W35" s="775">
        <f t="shared" si="14"/>
        <v>100</v>
      </c>
      <c r="X35" s="1813"/>
      <c r="Y35" s="3259"/>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3"/>
      <c r="Q36" s="1810" t="str">
        <f t="shared" si="11"/>
        <v>成新度</v>
      </c>
      <c r="R36" s="774" t="s">
        <v>17</v>
      </c>
      <c r="S36" s="775" t="e">
        <f t="shared" si="12"/>
        <v>#N/A</v>
      </c>
      <c r="T36" s="774" t="s">
        <v>17</v>
      </c>
      <c r="U36" s="775" t="e">
        <f t="shared" si="13"/>
        <v>#N/A</v>
      </c>
      <c r="V36" s="774" t="s">
        <v>17</v>
      </c>
      <c r="W36" s="775" t="e">
        <f t="shared" si="14"/>
        <v>#N/A</v>
      </c>
      <c r="X36" s="1813"/>
      <c r="Y36" s="3259"/>
      <c r="Z36" s="1814" t="str">
        <f t="shared" si="15"/>
        <v>成新度</v>
      </c>
      <c r="AA36" s="1811" t="e">
        <f t="shared" si="3"/>
        <v>#N/A</v>
      </c>
      <c r="AB36" s="1811" t="e">
        <f t="shared" si="4"/>
        <v>#N/A</v>
      </c>
      <c r="AC36" s="1811"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03"/>
      <c r="Q37" s="1795" t="str">
        <f t="shared" si="11"/>
        <v>市政基础设施</v>
      </c>
      <c r="R37" s="770" t="s">
        <v>17</v>
      </c>
      <c r="S37" s="771">
        <f t="shared" si="12"/>
        <v>100</v>
      </c>
      <c r="T37" s="770" t="s">
        <v>17</v>
      </c>
      <c r="U37" s="771">
        <f t="shared" si="13"/>
        <v>100</v>
      </c>
      <c r="V37" s="770" t="s">
        <v>17</v>
      </c>
      <c r="W37" s="771">
        <f t="shared" si="14"/>
        <v>100</v>
      </c>
      <c r="X37" s="772"/>
      <c r="Y37" s="3259"/>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03" t="s">
        <v>2559</v>
      </c>
      <c r="Q38" s="1810" t="str">
        <f t="shared" si="11"/>
        <v>业态</v>
      </c>
      <c r="R38" s="774" t="s">
        <v>17</v>
      </c>
      <c r="S38" s="775">
        <f t="shared" si="12"/>
        <v>100</v>
      </c>
      <c r="T38" s="774" t="s">
        <v>17</v>
      </c>
      <c r="U38" s="775">
        <f t="shared" si="13"/>
        <v>100</v>
      </c>
      <c r="V38" s="774" t="s">
        <v>17</v>
      </c>
      <c r="W38" s="775">
        <f t="shared" si="14"/>
        <v>100</v>
      </c>
      <c r="X38" s="1813"/>
      <c r="Y38" s="3259" t="s">
        <v>2559</v>
      </c>
      <c r="Z38" s="1814" t="str">
        <f t="shared" si="15"/>
        <v>业态</v>
      </c>
      <c r="AA38" s="1811">
        <f t="shared" si="3"/>
        <v>1</v>
      </c>
      <c r="AB38" s="1811">
        <f t="shared" si="4"/>
        <v>1</v>
      </c>
      <c r="AC38" s="1811">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03"/>
      <c r="Q39" s="1810" t="str">
        <f t="shared" si="11"/>
        <v>层高</v>
      </c>
      <c r="R39" s="774" t="s">
        <v>17</v>
      </c>
      <c r="S39" s="775">
        <f t="shared" si="12"/>
        <v>100</v>
      </c>
      <c r="T39" s="774" t="s">
        <v>17</v>
      </c>
      <c r="U39" s="775">
        <f t="shared" si="13"/>
        <v>100</v>
      </c>
      <c r="V39" s="774" t="s">
        <v>17</v>
      </c>
      <c r="W39" s="775">
        <f t="shared" si="14"/>
        <v>100</v>
      </c>
      <c r="X39" s="1813"/>
      <c r="Y39" s="3259"/>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3"/>
      <c r="Q40" s="1810" t="str">
        <f t="shared" si="11"/>
        <v>单套建筑面积</v>
      </c>
      <c r="R40" s="774" t="s">
        <v>17</v>
      </c>
      <c r="S40" s="775">
        <f t="shared" si="12"/>
        <v>100</v>
      </c>
      <c r="T40" s="774" t="s">
        <v>17</v>
      </c>
      <c r="U40" s="775">
        <f t="shared" si="13"/>
        <v>100</v>
      </c>
      <c r="V40" s="774" t="s">
        <v>17</v>
      </c>
      <c r="W40" s="775">
        <f t="shared" si="14"/>
        <v>100</v>
      </c>
      <c r="X40" s="1813"/>
      <c r="Y40" s="3259"/>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3"/>
      <c r="Q41" s="776" t="str">
        <f t="shared" si="11"/>
        <v>进深比</v>
      </c>
      <c r="R41" s="777" t="s">
        <v>17</v>
      </c>
      <c r="S41" s="778">
        <f t="shared" si="12"/>
        <v>100</v>
      </c>
      <c r="T41" s="777" t="s">
        <v>17</v>
      </c>
      <c r="U41" s="778">
        <f t="shared" si="13"/>
        <v>100</v>
      </c>
      <c r="V41" s="777" t="s">
        <v>17</v>
      </c>
      <c r="W41" s="778">
        <f t="shared" si="14"/>
        <v>100</v>
      </c>
      <c r="X41" s="779"/>
      <c r="Y41" s="3259"/>
      <c r="Z41" s="780" t="str">
        <f t="shared" si="15"/>
        <v>进深比</v>
      </c>
      <c r="AA41" s="1811">
        <f t="shared" si="3"/>
        <v>1</v>
      </c>
      <c r="AB41" s="1811">
        <f t="shared" si="4"/>
        <v>1</v>
      </c>
      <c r="AC41" s="1811">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03"/>
      <c r="Q42" s="1810" t="str">
        <f t="shared" si="11"/>
        <v>内部装修</v>
      </c>
      <c r="R42" s="774" t="s">
        <v>17</v>
      </c>
      <c r="S42" s="775">
        <f t="shared" si="12"/>
        <v>100</v>
      </c>
      <c r="T42" s="774" t="s">
        <v>17</v>
      </c>
      <c r="U42" s="775">
        <f t="shared" si="13"/>
        <v>100</v>
      </c>
      <c r="V42" s="774" t="s">
        <v>17</v>
      </c>
      <c r="W42" s="775">
        <f t="shared" si="14"/>
        <v>100</v>
      </c>
      <c r="X42" s="1813"/>
      <c r="Y42" s="3259"/>
      <c r="Z42" s="1814" t="str">
        <f t="shared" si="15"/>
        <v>内部装修</v>
      </c>
      <c r="AA42" s="1811">
        <f t="shared" si="3"/>
        <v>1</v>
      </c>
      <c r="AB42" s="1811">
        <f t="shared" si="4"/>
        <v>1</v>
      </c>
      <c r="AC42" s="1811">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03"/>
      <c r="Q43" s="1810" t="str">
        <f t="shared" si="11"/>
        <v>内部装修维护情况</v>
      </c>
      <c r="R43" s="774" t="s">
        <v>17</v>
      </c>
      <c r="S43" s="775">
        <f t="shared" si="12"/>
        <v>100</v>
      </c>
      <c r="T43" s="774" t="s">
        <v>17</v>
      </c>
      <c r="U43" s="775">
        <f t="shared" si="13"/>
        <v>100</v>
      </c>
      <c r="V43" s="774" t="s">
        <v>17</v>
      </c>
      <c r="W43" s="775">
        <f t="shared" si="14"/>
        <v>100</v>
      </c>
      <c r="X43" s="1813"/>
      <c r="Y43" s="325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3"/>
      <c r="Q44" s="1795">
        <f t="shared" si="11"/>
        <v>111</v>
      </c>
      <c r="R44" s="770" t="s">
        <v>17</v>
      </c>
      <c r="S44" s="771">
        <f t="shared" si="12"/>
        <v>100</v>
      </c>
      <c r="T44" s="770" t="s">
        <v>17</v>
      </c>
      <c r="U44" s="771">
        <f t="shared" si="13"/>
        <v>100</v>
      </c>
      <c r="V44" s="770" t="s">
        <v>17</v>
      </c>
      <c r="W44" s="771">
        <f t="shared" si="14"/>
        <v>100</v>
      </c>
      <c r="X44" s="772"/>
      <c r="Y44" s="325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3"/>
      <c r="Q45" s="1810">
        <f t="shared" si="11"/>
        <v>111</v>
      </c>
      <c r="R45" s="774" t="s">
        <v>17</v>
      </c>
      <c r="S45" s="775">
        <f t="shared" si="12"/>
        <v>100</v>
      </c>
      <c r="T45" s="774" t="s">
        <v>17</v>
      </c>
      <c r="U45" s="775">
        <f t="shared" si="13"/>
        <v>100</v>
      </c>
      <c r="V45" s="774" t="s">
        <v>17</v>
      </c>
      <c r="W45" s="775">
        <f t="shared" si="14"/>
        <v>100</v>
      </c>
      <c r="X45" s="1813"/>
      <c r="Y45" s="3259"/>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4"/>
      <c r="Q46" s="1810">
        <f t="shared" si="11"/>
        <v>111</v>
      </c>
      <c r="R46" s="774" t="s">
        <v>17</v>
      </c>
      <c r="S46" s="775">
        <f t="shared" si="12"/>
        <v>100</v>
      </c>
      <c r="T46" s="774" t="s">
        <v>17</v>
      </c>
      <c r="U46" s="775">
        <f t="shared" si="13"/>
        <v>100</v>
      </c>
      <c r="V46" s="774" t="s">
        <v>17</v>
      </c>
      <c r="W46" s="775">
        <f t="shared" si="14"/>
        <v>100</v>
      </c>
      <c r="X46" s="1813"/>
      <c r="Y46" s="3305"/>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41" t="str">
        <f>A47</f>
        <v>成交单价（元/平方米）</v>
      </c>
      <c r="Q47" s="3241"/>
      <c r="R47" s="3254">
        <f>E47</f>
        <v>0</v>
      </c>
      <c r="S47" s="3254"/>
      <c r="T47" s="3254">
        <f>G47</f>
        <v>0</v>
      </c>
      <c r="U47" s="3254"/>
      <c r="V47" s="3254">
        <f>I47</f>
        <v>0</v>
      </c>
      <c r="W47" s="3254"/>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41" t="str">
        <f>A48</f>
        <v>比较价值（元/平方米）</v>
      </c>
      <c r="Q48" s="3241"/>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61" t="str">
        <f>A49</f>
        <v>估价对象XX用房的比较价值（楼面单价，元/平方米）</v>
      </c>
      <c r="Q49" s="3262"/>
      <c r="R49" s="3300" t="e">
        <f>IF(F1="售价",ROUND(AVERAGE(R48:V48),0),ROUND(AVERAGE(R48:V48),1))</f>
        <v>#DIV/0!</v>
      </c>
      <c r="S49" s="3300"/>
      <c r="T49" s="3300"/>
      <c r="U49" s="3300"/>
      <c r="V49" s="3300"/>
      <c r="W49" s="33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2557</v>
      </c>
      <c r="B100" s="528" t="s">
        <v>2675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2610</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2678</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2680</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48562.030000000006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314" t="s">
        <v>2645</v>
      </c>
      <c r="Q4" s="3315"/>
      <c r="R4" s="3309" t="s">
        <v>2641</v>
      </c>
      <c r="S4" s="3310"/>
      <c r="T4" s="3309" t="s">
        <v>2642</v>
      </c>
      <c r="U4" s="3310"/>
      <c r="V4" s="3318" t="s">
        <v>2643</v>
      </c>
      <c r="W4" s="3318"/>
      <c r="X4" s="2673"/>
      <c r="Y4" s="3309" t="s">
        <v>2645</v>
      </c>
      <c r="Z4" s="3310"/>
      <c r="AA4" s="3308" t="s">
        <v>2641</v>
      </c>
      <c r="AB4" s="3308" t="s">
        <v>2642</v>
      </c>
      <c r="AC4" s="3311" t="s">
        <v>2643</v>
      </c>
    </row>
    <row r="5" spans="1:29" ht="15">
      <c r="A5" s="404"/>
      <c r="B5" s="405"/>
      <c r="C5" s="3235" t="s">
        <v>2536</v>
      </c>
      <c r="D5" s="3236"/>
      <c r="E5" s="3233" t="s">
        <v>2537</v>
      </c>
      <c r="F5" s="3234"/>
      <c r="G5" s="3235" t="s">
        <v>2538</v>
      </c>
      <c r="H5" s="3236"/>
      <c r="I5" s="3235" t="s">
        <v>2539</v>
      </c>
      <c r="J5" s="3236"/>
      <c r="K5" s="610"/>
      <c r="L5" s="1130"/>
      <c r="M5" s="1131"/>
      <c r="N5" s="1131"/>
      <c r="O5" s="1131"/>
      <c r="P5" s="3316"/>
      <c r="Q5" s="3249"/>
      <c r="R5" s="3231"/>
      <c r="S5" s="3232"/>
      <c r="T5" s="3231"/>
      <c r="U5" s="3232"/>
      <c r="V5" s="3254"/>
      <c r="W5" s="3254"/>
      <c r="X5" s="1813"/>
      <c r="Y5" s="3231"/>
      <c r="Z5" s="3232"/>
      <c r="AA5" s="3225"/>
      <c r="AB5" s="3225"/>
      <c r="AC5" s="3312"/>
    </row>
    <row r="6" spans="1:29" ht="15.75" thickBot="1">
      <c r="A6" s="406"/>
      <c r="B6" s="407"/>
      <c r="C6" s="3237" t="s">
        <v>2540</v>
      </c>
      <c r="D6" s="3238"/>
      <c r="E6" s="3239" t="s">
        <v>2540</v>
      </c>
      <c r="F6" s="3240"/>
      <c r="G6" s="3237" t="s">
        <v>2540</v>
      </c>
      <c r="H6" s="3238"/>
      <c r="I6" s="3237" t="s">
        <v>2540</v>
      </c>
      <c r="J6" s="3238"/>
      <c r="K6" s="610" t="s">
        <v>2541</v>
      </c>
      <c r="L6" s="1130"/>
      <c r="M6" s="1131"/>
      <c r="N6" s="1131"/>
      <c r="O6" s="1131"/>
      <c r="P6" s="3317"/>
      <c r="Q6" s="3251"/>
      <c r="R6" s="3231"/>
      <c r="S6" s="3232"/>
      <c r="T6" s="3252"/>
      <c r="U6" s="3253"/>
      <c r="V6" s="3254"/>
      <c r="W6" s="3254"/>
      <c r="X6" s="1813"/>
      <c r="Y6" s="3252"/>
      <c r="Z6" s="3253"/>
      <c r="AA6" s="3226"/>
      <c r="AB6" s="3226"/>
      <c r="AC6" s="3313"/>
    </row>
    <row r="7" spans="1:29" s="117" customFormat="1" ht="15.75" thickBot="1">
      <c r="A7" s="408" t="s">
        <v>2542</v>
      </c>
      <c r="B7" s="409"/>
      <c r="C7" s="410">
        <f>'数据-取费表'!B2</f>
        <v>43603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9" t="s">
        <v>2543</v>
      </c>
      <c r="Q7" s="3255"/>
      <c r="R7" s="770" t="s">
        <v>17</v>
      </c>
      <c r="S7" s="771">
        <f t="shared" ref="S7:S15" si="0">F7</f>
        <v>0</v>
      </c>
      <c r="T7" s="770" t="s">
        <v>17</v>
      </c>
      <c r="U7" s="771">
        <f t="shared" ref="U7:U15" si="1">H7</f>
        <v>0</v>
      </c>
      <c r="V7" s="770" t="s">
        <v>17</v>
      </c>
      <c r="W7" s="771">
        <f t="shared" ref="W7:W15" si="2">J7</f>
        <v>0</v>
      </c>
      <c r="X7" s="772"/>
      <c r="Y7" s="3227" t="s">
        <v>2543</v>
      </c>
      <c r="Z7" s="3228"/>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9" t="s">
        <v>2546</v>
      </c>
      <c r="Q8" s="3228"/>
      <c r="R8" s="770" t="s">
        <v>17</v>
      </c>
      <c r="S8" s="771">
        <f t="shared" si="0"/>
        <v>0</v>
      </c>
      <c r="T8" s="770" t="s">
        <v>17</v>
      </c>
      <c r="U8" s="771">
        <f t="shared" si="1"/>
        <v>0</v>
      </c>
      <c r="V8" s="770" t="s">
        <v>17</v>
      </c>
      <c r="W8" s="771">
        <f t="shared" si="2"/>
        <v>0</v>
      </c>
      <c r="X8" s="772"/>
      <c r="Y8" s="3227" t="s">
        <v>2546</v>
      </c>
      <c r="Z8" s="3228"/>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5" t="s">
        <v>2549</v>
      </c>
      <c r="Q9" s="1795" t="str">
        <f t="shared" ref="Q9:Q15" si="6">B9</f>
        <v>用途</v>
      </c>
      <c r="R9" s="770" t="s">
        <v>17</v>
      </c>
      <c r="S9" s="771">
        <f t="shared" si="0"/>
        <v>100</v>
      </c>
      <c r="T9" s="770" t="s">
        <v>17</v>
      </c>
      <c r="U9" s="771">
        <f t="shared" si="1"/>
        <v>100</v>
      </c>
      <c r="V9" s="770" t="s">
        <v>17</v>
      </c>
      <c r="W9" s="771">
        <f t="shared" si="2"/>
        <v>100</v>
      </c>
      <c r="X9" s="772"/>
      <c r="Y9" s="3073"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5"/>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5"/>
      <c r="Q11" s="1795"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65"/>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65"/>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65"/>
      <c r="Q14" s="1795">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6" t="s">
        <v>2554</v>
      </c>
      <c r="Q15" s="1810" t="str">
        <f t="shared" si="6"/>
        <v>办公集聚程度</v>
      </c>
      <c r="R15" s="774" t="s">
        <v>17</v>
      </c>
      <c r="S15" s="775">
        <f t="shared" si="0"/>
        <v>100</v>
      </c>
      <c r="T15" s="774" t="s">
        <v>17</v>
      </c>
      <c r="U15" s="775">
        <f t="shared" si="1"/>
        <v>100</v>
      </c>
      <c r="V15" s="774" t="s">
        <v>17</v>
      </c>
      <c r="W15" s="775">
        <f t="shared" si="2"/>
        <v>100</v>
      </c>
      <c r="X15" s="1813"/>
      <c r="Y15" s="3256" t="s">
        <v>2554</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7"/>
      <c r="Q16" s="1810"/>
      <c r="R16" s="774"/>
      <c r="S16" s="775"/>
      <c r="T16" s="774"/>
      <c r="U16" s="775"/>
      <c r="V16" s="774"/>
      <c r="W16" s="775"/>
      <c r="X16" s="1813"/>
      <c r="Y16" s="3257"/>
      <c r="Z16" s="1814"/>
      <c r="AA16" s="1811">
        <v>1</v>
      </c>
      <c r="AB16" s="1811">
        <v>1</v>
      </c>
      <c r="AC16" s="2677">
        <v>1</v>
      </c>
    </row>
    <row r="17" spans="1:29" ht="71.25">
      <c r="A17" s="428"/>
      <c r="B17" s="631" t="s">
        <v>2092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7"/>
      <c r="Q18" s="1810"/>
      <c r="R18" s="774"/>
      <c r="S18" s="775"/>
      <c r="T18" s="774"/>
      <c r="U18" s="775"/>
      <c r="V18" s="774"/>
      <c r="W18" s="775"/>
      <c r="X18" s="1813"/>
      <c r="Y18" s="3257"/>
      <c r="Z18" s="1814"/>
      <c r="AA18" s="1811">
        <v>1</v>
      </c>
      <c r="AB18" s="1811">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7"/>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7"/>
      <c r="Q20" s="1810"/>
      <c r="R20" s="774"/>
      <c r="S20" s="775"/>
      <c r="T20" s="774"/>
      <c r="U20" s="775"/>
      <c r="V20" s="774"/>
      <c r="W20" s="775"/>
      <c r="X20" s="1813"/>
      <c r="Y20" s="3257"/>
      <c r="Z20" s="1814"/>
      <c r="AA20" s="1811">
        <v>1</v>
      </c>
      <c r="AB20" s="1811">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7"/>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7"/>
      <c r="Q22" s="1810"/>
      <c r="R22" s="774"/>
      <c r="S22" s="775"/>
      <c r="T22" s="774"/>
      <c r="U22" s="775"/>
      <c r="V22" s="774"/>
      <c r="W22" s="775"/>
      <c r="X22" s="1813"/>
      <c r="Y22" s="3257"/>
      <c r="Z22" s="1814"/>
      <c r="AA22" s="1811">
        <v>1</v>
      </c>
      <c r="AB22" s="1811">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7"/>
      <c r="Q23" s="1810" t="str">
        <f>B23</f>
        <v>环境质量</v>
      </c>
      <c r="R23" s="774" t="s">
        <v>17</v>
      </c>
      <c r="S23" s="775">
        <f>F23</f>
        <v>100</v>
      </c>
      <c r="T23" s="774" t="s">
        <v>17</v>
      </c>
      <c r="U23" s="775">
        <f>H23</f>
        <v>100</v>
      </c>
      <c r="V23" s="774" t="s">
        <v>17</v>
      </c>
      <c r="W23" s="775">
        <f>J23</f>
        <v>100</v>
      </c>
      <c r="X23" s="1813"/>
      <c r="Y23" s="3257"/>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7"/>
      <c r="Q24" s="1810"/>
      <c r="R24" s="774"/>
      <c r="S24" s="775"/>
      <c r="T24" s="774"/>
      <c r="U24" s="775"/>
      <c r="V24" s="774"/>
      <c r="W24" s="775"/>
      <c r="X24" s="1813"/>
      <c r="Y24" s="3257"/>
      <c r="Z24" s="1814"/>
      <c r="AA24" s="1811">
        <v>1</v>
      </c>
      <c r="AB24" s="1811">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7"/>
      <c r="Q25" s="1810" t="str">
        <f>B25</f>
        <v>毗邻道路的类型与等级</v>
      </c>
      <c r="R25" s="774" t="s">
        <v>17</v>
      </c>
      <c r="S25" s="775">
        <f>F25</f>
        <v>100</v>
      </c>
      <c r="T25" s="774" t="s">
        <v>17</v>
      </c>
      <c r="U25" s="775">
        <f>H25</f>
        <v>100</v>
      </c>
      <c r="V25" s="774" t="s">
        <v>17</v>
      </c>
      <c r="W25" s="775">
        <f>J25</f>
        <v>100</v>
      </c>
      <c r="X25" s="1813"/>
      <c r="Y25" s="3257"/>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7"/>
      <c r="Q26" s="1810"/>
      <c r="R26" s="774"/>
      <c r="S26" s="775"/>
      <c r="T26" s="774"/>
      <c r="U26" s="775"/>
      <c r="V26" s="774"/>
      <c r="W26" s="775"/>
      <c r="X26" s="1813"/>
      <c r="Y26" s="3257"/>
      <c r="Z26" s="1814"/>
      <c r="AA26" s="1811">
        <v>1</v>
      </c>
      <c r="AB26" s="1811">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7"/>
      <c r="Q27" s="1810" t="str">
        <f t="shared" ref="Q27:Q47" si="11">B27</f>
        <v>楼层</v>
      </c>
      <c r="R27" s="774" t="s">
        <v>17</v>
      </c>
      <c r="S27" s="775">
        <f>F27</f>
        <v>100</v>
      </c>
      <c r="T27" s="774" t="s">
        <v>17</v>
      </c>
      <c r="U27" s="775">
        <f>H27</f>
        <v>100</v>
      </c>
      <c r="V27" s="774" t="s">
        <v>17</v>
      </c>
      <c r="W27" s="775">
        <f>J27</f>
        <v>100</v>
      </c>
      <c r="X27" s="1813"/>
      <c r="Y27" s="3257"/>
      <c r="Z27" s="1814" t="str">
        <f>Q27</f>
        <v>楼层</v>
      </c>
      <c r="AA27" s="1811">
        <f t="shared" si="3"/>
        <v>1</v>
      </c>
      <c r="AB27" s="1811">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7"/>
      <c r="Q28" s="1795" t="str">
        <f t="shared" si="11"/>
        <v>朝向</v>
      </c>
      <c r="R28" s="770" t="s">
        <v>17</v>
      </c>
      <c r="S28" s="771">
        <f>F28</f>
        <v>100</v>
      </c>
      <c r="T28" s="770" t="s">
        <v>17</v>
      </c>
      <c r="U28" s="771">
        <f>H28</f>
        <v>100</v>
      </c>
      <c r="V28" s="770" t="s">
        <v>17</v>
      </c>
      <c r="W28" s="771">
        <f>J28</f>
        <v>100</v>
      </c>
      <c r="X28" s="772"/>
      <c r="Y28" s="3257"/>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7"/>
      <c r="Q29" s="1810">
        <f t="shared" si="11"/>
        <v>111</v>
      </c>
      <c r="R29" s="774" t="s">
        <v>17</v>
      </c>
      <c r="S29" s="775">
        <f t="shared" ref="S29:S47" si="12">F29</f>
        <v>100</v>
      </c>
      <c r="T29" s="774" t="s">
        <v>17</v>
      </c>
      <c r="U29" s="775">
        <f t="shared" ref="U29:U47" si="13">H29</f>
        <v>100</v>
      </c>
      <c r="V29" s="774" t="s">
        <v>17</v>
      </c>
      <c r="W29" s="775">
        <f t="shared" ref="W29:W47" si="14">J29</f>
        <v>100</v>
      </c>
      <c r="X29" s="1813"/>
      <c r="Y29" s="3257"/>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7"/>
      <c r="Q30" s="1810">
        <f t="shared" si="11"/>
        <v>111</v>
      </c>
      <c r="R30" s="774" t="s">
        <v>17</v>
      </c>
      <c r="S30" s="775">
        <f t="shared" si="12"/>
        <v>100</v>
      </c>
      <c r="T30" s="774" t="s">
        <v>17</v>
      </c>
      <c r="U30" s="775">
        <f t="shared" si="13"/>
        <v>100</v>
      </c>
      <c r="V30" s="774" t="s">
        <v>17</v>
      </c>
      <c r="W30" s="775">
        <f t="shared" si="14"/>
        <v>100</v>
      </c>
      <c r="X30" s="1813"/>
      <c r="Y30" s="3257"/>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7"/>
      <c r="Q31" s="1810">
        <f t="shared" si="11"/>
        <v>111</v>
      </c>
      <c r="R31" s="774" t="s">
        <v>17</v>
      </c>
      <c r="S31" s="775">
        <f t="shared" si="12"/>
        <v>100</v>
      </c>
      <c r="T31" s="774" t="s">
        <v>17</v>
      </c>
      <c r="U31" s="775">
        <f t="shared" si="13"/>
        <v>100</v>
      </c>
      <c r="V31" s="774" t="s">
        <v>17</v>
      </c>
      <c r="W31" s="775">
        <f t="shared" si="14"/>
        <v>100</v>
      </c>
      <c r="X31" s="1813"/>
      <c r="Y31" s="3257"/>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7"/>
      <c r="Q32" s="1810">
        <f t="shared" si="11"/>
        <v>111</v>
      </c>
      <c r="R32" s="774" t="s">
        <v>17</v>
      </c>
      <c r="S32" s="775">
        <f t="shared" si="12"/>
        <v>100</v>
      </c>
      <c r="T32" s="774" t="s">
        <v>17</v>
      </c>
      <c r="U32" s="775">
        <f t="shared" si="13"/>
        <v>100</v>
      </c>
      <c r="V32" s="774" t="s">
        <v>17</v>
      </c>
      <c r="W32" s="775">
        <f t="shared" si="14"/>
        <v>100</v>
      </c>
      <c r="X32" s="1813"/>
      <c r="Y32" s="3257"/>
      <c r="Z32" s="1814">
        <f t="shared" si="15"/>
        <v>111</v>
      </c>
      <c r="AA32" s="1811">
        <f t="shared" si="3"/>
        <v>1</v>
      </c>
      <c r="AB32" s="1811">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02" t="s">
        <v>2559</v>
      </c>
      <c r="Q33" s="1810" t="str">
        <f t="shared" si="11"/>
        <v>建筑类型</v>
      </c>
      <c r="R33" s="774" t="s">
        <v>17</v>
      </c>
      <c r="S33" s="775">
        <f t="shared" si="12"/>
        <v>100</v>
      </c>
      <c r="T33" s="774" t="s">
        <v>17</v>
      </c>
      <c r="U33" s="775">
        <f t="shared" si="13"/>
        <v>100</v>
      </c>
      <c r="V33" s="774" t="s">
        <v>17</v>
      </c>
      <c r="W33" s="775">
        <f t="shared" si="14"/>
        <v>100</v>
      </c>
      <c r="X33" s="1813"/>
      <c r="Y33" s="3259" t="s">
        <v>2559</v>
      </c>
      <c r="Z33" s="1814" t="str">
        <f t="shared" si="15"/>
        <v>建筑类型</v>
      </c>
      <c r="AA33" s="1811">
        <f t="shared" si="3"/>
        <v>1</v>
      </c>
      <c r="AB33" s="1811">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3"/>
      <c r="Q34" s="776" t="str">
        <f t="shared" si="11"/>
        <v>项目建筑规模</v>
      </c>
      <c r="R34" s="777" t="s">
        <v>17</v>
      </c>
      <c r="S34" s="778" t="e">
        <f t="shared" si="12"/>
        <v>#N/A</v>
      </c>
      <c r="T34" s="777" t="s">
        <v>17</v>
      </c>
      <c r="U34" s="778" t="e">
        <f t="shared" si="13"/>
        <v>#N/A</v>
      </c>
      <c r="V34" s="777" t="s">
        <v>17</v>
      </c>
      <c r="W34" s="778" t="e">
        <f t="shared" si="14"/>
        <v>#N/A</v>
      </c>
      <c r="X34" s="779"/>
      <c r="Y34" s="3259"/>
      <c r="Z34" s="780" t="str">
        <f t="shared" si="15"/>
        <v>项目建筑规模</v>
      </c>
      <c r="AA34" s="1811" t="e">
        <f t="shared" si="3"/>
        <v>#N/A</v>
      </c>
      <c r="AB34" s="1811"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3"/>
      <c r="Q35" s="1810" t="str">
        <f t="shared" si="11"/>
        <v>建筑结构</v>
      </c>
      <c r="R35" s="774" t="s">
        <v>17</v>
      </c>
      <c r="S35" s="775">
        <f t="shared" si="12"/>
        <v>100</v>
      </c>
      <c r="T35" s="774" t="s">
        <v>17</v>
      </c>
      <c r="U35" s="775">
        <f t="shared" si="13"/>
        <v>100</v>
      </c>
      <c r="V35" s="774" t="s">
        <v>17</v>
      </c>
      <c r="W35" s="775">
        <f t="shared" si="14"/>
        <v>100</v>
      </c>
      <c r="X35" s="1813"/>
      <c r="Y35" s="3259"/>
      <c r="Z35" s="1814" t="str">
        <f t="shared" si="15"/>
        <v>建筑结构</v>
      </c>
      <c r="AA35" s="1811">
        <f t="shared" si="3"/>
        <v>1</v>
      </c>
      <c r="AB35" s="1811">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3"/>
      <c r="Q36" s="1810" t="str">
        <f t="shared" si="11"/>
        <v>公共部分装修</v>
      </c>
      <c r="R36" s="774" t="s">
        <v>17</v>
      </c>
      <c r="S36" s="775">
        <f t="shared" si="12"/>
        <v>100</v>
      </c>
      <c r="T36" s="774" t="s">
        <v>17</v>
      </c>
      <c r="U36" s="775">
        <f t="shared" si="13"/>
        <v>100</v>
      </c>
      <c r="V36" s="774" t="s">
        <v>17</v>
      </c>
      <c r="W36" s="775">
        <f t="shared" si="14"/>
        <v>100</v>
      </c>
      <c r="X36" s="1813"/>
      <c r="Y36" s="3259"/>
      <c r="Z36" s="1814" t="str">
        <f t="shared" si="15"/>
        <v>公共部分装修</v>
      </c>
      <c r="AA36" s="1811">
        <f t="shared" si="3"/>
        <v>1</v>
      </c>
      <c r="AB36" s="1811">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3"/>
      <c r="Q37" s="1810" t="str">
        <f t="shared" si="11"/>
        <v>成新度</v>
      </c>
      <c r="R37" s="774" t="s">
        <v>17</v>
      </c>
      <c r="S37" s="775" t="e">
        <f t="shared" si="12"/>
        <v>#N/A</v>
      </c>
      <c r="T37" s="774" t="s">
        <v>17</v>
      </c>
      <c r="U37" s="775" t="e">
        <f t="shared" si="13"/>
        <v>#N/A</v>
      </c>
      <c r="V37" s="774" t="s">
        <v>17</v>
      </c>
      <c r="W37" s="775" t="e">
        <f t="shared" si="14"/>
        <v>#N/A</v>
      </c>
      <c r="X37" s="1813"/>
      <c r="Y37" s="3259"/>
      <c r="Z37" s="1814" t="str">
        <f t="shared" si="15"/>
        <v>成新度</v>
      </c>
      <c r="AA37" s="1811" t="e">
        <f t="shared" si="3"/>
        <v>#N/A</v>
      </c>
      <c r="AB37" s="1811"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3"/>
      <c r="Q38" s="1795" t="str">
        <f t="shared" si="11"/>
        <v>写字楼等级</v>
      </c>
      <c r="R38" s="770" t="s">
        <v>17</v>
      </c>
      <c r="S38" s="771">
        <f t="shared" si="12"/>
        <v>100</v>
      </c>
      <c r="T38" s="770" t="s">
        <v>17</v>
      </c>
      <c r="U38" s="771">
        <f t="shared" si="13"/>
        <v>100</v>
      </c>
      <c r="V38" s="770" t="s">
        <v>17</v>
      </c>
      <c r="W38" s="771">
        <f t="shared" si="14"/>
        <v>100</v>
      </c>
      <c r="X38" s="772"/>
      <c r="Y38" s="3259"/>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3" t="s">
        <v>2559</v>
      </c>
      <c r="Q39" s="1810" t="str">
        <f t="shared" si="11"/>
        <v>物业管理</v>
      </c>
      <c r="R39" s="774" t="s">
        <v>17</v>
      </c>
      <c r="S39" s="775">
        <f t="shared" si="12"/>
        <v>100</v>
      </c>
      <c r="T39" s="774" t="s">
        <v>17</v>
      </c>
      <c r="U39" s="775">
        <f t="shared" si="13"/>
        <v>100</v>
      </c>
      <c r="V39" s="774" t="s">
        <v>17</v>
      </c>
      <c r="W39" s="775">
        <f t="shared" si="14"/>
        <v>100</v>
      </c>
      <c r="X39" s="1813"/>
      <c r="Y39" s="3259" t="s">
        <v>2559</v>
      </c>
      <c r="Z39" s="1814" t="str">
        <f t="shared" si="15"/>
        <v>物业管理</v>
      </c>
      <c r="AA39" s="1811">
        <f t="shared" si="3"/>
        <v>1</v>
      </c>
      <c r="AB39" s="1811">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3"/>
      <c r="Q40" s="1810" t="str">
        <f t="shared" si="11"/>
        <v>市政基础设施</v>
      </c>
      <c r="R40" s="774" t="s">
        <v>17</v>
      </c>
      <c r="S40" s="775">
        <f t="shared" si="12"/>
        <v>100</v>
      </c>
      <c r="T40" s="774" t="s">
        <v>17</v>
      </c>
      <c r="U40" s="775">
        <f t="shared" si="13"/>
        <v>100</v>
      </c>
      <c r="V40" s="774" t="s">
        <v>17</v>
      </c>
      <c r="W40" s="775">
        <f t="shared" si="14"/>
        <v>100</v>
      </c>
      <c r="X40" s="1813"/>
      <c r="Y40" s="3259"/>
      <c r="Z40" s="1814" t="str">
        <f t="shared" si="15"/>
        <v>市政基础设施</v>
      </c>
      <c r="AA40" s="1811">
        <f t="shared" si="3"/>
        <v>1</v>
      </c>
      <c r="AB40" s="1811">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3"/>
      <c r="Q41" s="1810" t="str">
        <f t="shared" si="11"/>
        <v>层高</v>
      </c>
      <c r="R41" s="774" t="s">
        <v>17</v>
      </c>
      <c r="S41" s="775">
        <f t="shared" si="12"/>
        <v>100</v>
      </c>
      <c r="T41" s="774" t="s">
        <v>17</v>
      </c>
      <c r="U41" s="775">
        <f t="shared" si="13"/>
        <v>100</v>
      </c>
      <c r="V41" s="774" t="s">
        <v>17</v>
      </c>
      <c r="W41" s="775">
        <f t="shared" si="14"/>
        <v>100</v>
      </c>
      <c r="X41" s="1813"/>
      <c r="Y41" s="3259"/>
      <c r="Z41" s="1814" t="str">
        <f t="shared" si="15"/>
        <v>层高</v>
      </c>
      <c r="AA41" s="1811">
        <f t="shared" si="3"/>
        <v>1</v>
      </c>
      <c r="AB41" s="1811">
        <f t="shared" si="4"/>
        <v>1</v>
      </c>
      <c r="AC41" s="2677">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3"/>
      <c r="Q42" s="776" t="str">
        <f t="shared" si="11"/>
        <v>单套建筑面积</v>
      </c>
      <c r="R42" s="777" t="s">
        <v>17</v>
      </c>
      <c r="S42" s="778">
        <f t="shared" si="12"/>
        <v>100</v>
      </c>
      <c r="T42" s="777" t="s">
        <v>17</v>
      </c>
      <c r="U42" s="778">
        <f t="shared" si="13"/>
        <v>100</v>
      </c>
      <c r="V42" s="777" t="s">
        <v>17</v>
      </c>
      <c r="W42" s="778">
        <f t="shared" si="14"/>
        <v>100</v>
      </c>
      <c r="X42" s="779"/>
      <c r="Y42" s="3259"/>
      <c r="Z42" s="780" t="str">
        <f t="shared" si="15"/>
        <v>单套建筑面积</v>
      </c>
      <c r="AA42" s="1811">
        <f t="shared" si="3"/>
        <v>1</v>
      </c>
      <c r="AB42" s="1811">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3"/>
      <c r="Q43" s="1810" t="str">
        <f t="shared" si="11"/>
        <v>内部装修</v>
      </c>
      <c r="R43" s="774" t="s">
        <v>17</v>
      </c>
      <c r="S43" s="775">
        <f t="shared" si="12"/>
        <v>100</v>
      </c>
      <c r="T43" s="774" t="s">
        <v>17</v>
      </c>
      <c r="U43" s="775">
        <f t="shared" si="13"/>
        <v>100</v>
      </c>
      <c r="V43" s="774" t="s">
        <v>17</v>
      </c>
      <c r="W43" s="775">
        <f t="shared" si="14"/>
        <v>100</v>
      </c>
      <c r="X43" s="1813"/>
      <c r="Y43" s="3259"/>
      <c r="Z43" s="1814" t="str">
        <f t="shared" si="15"/>
        <v>内部装修</v>
      </c>
      <c r="AA43" s="1811">
        <f t="shared" si="3"/>
        <v>1</v>
      </c>
      <c r="AB43" s="1811">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03"/>
      <c r="Q44" s="1810" t="str">
        <f t="shared" si="11"/>
        <v>内部装修维护情况</v>
      </c>
      <c r="R44" s="774" t="s">
        <v>17</v>
      </c>
      <c r="S44" s="775">
        <f t="shared" si="12"/>
        <v>100</v>
      </c>
      <c r="T44" s="774" t="s">
        <v>17</v>
      </c>
      <c r="U44" s="775">
        <f t="shared" si="13"/>
        <v>100</v>
      </c>
      <c r="V44" s="774" t="s">
        <v>17</v>
      </c>
      <c r="W44" s="775">
        <f t="shared" si="14"/>
        <v>100</v>
      </c>
      <c r="X44" s="1813"/>
      <c r="Y44" s="3259"/>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3"/>
      <c r="Q45" s="1795">
        <f t="shared" si="11"/>
        <v>111</v>
      </c>
      <c r="R45" s="770" t="s">
        <v>17</v>
      </c>
      <c r="S45" s="771">
        <f t="shared" si="12"/>
        <v>100</v>
      </c>
      <c r="T45" s="770" t="s">
        <v>17</v>
      </c>
      <c r="U45" s="771">
        <f t="shared" si="13"/>
        <v>100</v>
      </c>
      <c r="V45" s="770" t="s">
        <v>17</v>
      </c>
      <c r="W45" s="771">
        <f t="shared" si="14"/>
        <v>100</v>
      </c>
      <c r="X45" s="772"/>
      <c r="Y45" s="3259"/>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259"/>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4"/>
      <c r="Q47" s="1810">
        <f t="shared" si="11"/>
        <v>111</v>
      </c>
      <c r="R47" s="774" t="s">
        <v>17</v>
      </c>
      <c r="S47" s="775">
        <f t="shared" si="12"/>
        <v>100</v>
      </c>
      <c r="T47" s="774" t="s">
        <v>17</v>
      </c>
      <c r="U47" s="775">
        <f t="shared" si="13"/>
        <v>100</v>
      </c>
      <c r="V47" s="774" t="s">
        <v>17</v>
      </c>
      <c r="W47" s="775">
        <f t="shared" si="14"/>
        <v>100</v>
      </c>
      <c r="X47" s="1813"/>
      <c r="Y47" s="3305"/>
      <c r="Z47" s="1814">
        <f t="shared" si="15"/>
        <v>111</v>
      </c>
      <c r="AA47" s="1811">
        <f t="shared" si="3"/>
        <v>1</v>
      </c>
      <c r="AB47" s="1811">
        <f t="shared" si="4"/>
        <v>1</v>
      </c>
      <c r="AC47" s="2677">
        <f t="shared" si="5"/>
        <v>1</v>
      </c>
    </row>
    <row r="48" spans="1:29" ht="15">
      <c r="A48" s="479" t="s">
        <v>2571</v>
      </c>
      <c r="B48" s="480"/>
      <c r="C48" s="1407" t="s">
        <v>1</v>
      </c>
      <c r="D48" s="1408"/>
      <c r="E48" s="1409"/>
      <c r="F48" s="1410"/>
      <c r="G48" s="1411"/>
      <c r="H48" s="1412"/>
      <c r="I48" s="1409"/>
      <c r="J48" s="485"/>
      <c r="K48" s="783"/>
      <c r="L48" s="1143"/>
      <c r="M48" s="1131"/>
      <c r="N48" s="1131"/>
      <c r="O48" s="1131"/>
      <c r="P48" s="3265" t="str">
        <f>A48</f>
        <v>成交单价（元/平方米）</v>
      </c>
      <c r="Q48" s="3241"/>
      <c r="R48" s="3301">
        <f>E48</f>
        <v>0</v>
      </c>
      <c r="S48" s="3301"/>
      <c r="T48" s="3301">
        <f>G48</f>
        <v>0</v>
      </c>
      <c r="U48" s="3301"/>
      <c r="V48" s="3301">
        <f>I48</f>
        <v>0</v>
      </c>
      <c r="W48" s="3301"/>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65" t="str">
        <f>A49</f>
        <v>比较价值（元/平方米）</v>
      </c>
      <c r="Q49" s="3241"/>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20" t="str">
        <f>A50</f>
        <v>估价对象XX用房的比较价值（楼面单价，元/平方米）</v>
      </c>
      <c r="Q50" s="3321"/>
      <c r="R50" s="3322" t="e">
        <f>IF(F1="售价",ROUND(AVERAGE(R49:V49),0),ROUND(AVERAGE(R49:V49),1))</f>
        <v>#DIV/0!</v>
      </c>
      <c r="S50" s="3322"/>
      <c r="T50" s="3322"/>
      <c r="U50" s="3322"/>
      <c r="V50" s="3322"/>
      <c r="W50" s="332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4"/>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2582</v>
      </c>
      <c r="B64" s="528" t="s">
        <v>2548</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2693</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2557</v>
      </c>
      <c r="B101" s="528" t="s">
        <v>2606</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2608</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2610</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2611</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2612</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2695</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2614</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2696</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48562.030000000006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25" t="s">
        <v>2642</v>
      </c>
      <c r="AC4" s="3224" t="s">
        <v>2643</v>
      </c>
    </row>
    <row r="5" spans="1:29" ht="15">
      <c r="A5" s="404"/>
      <c r="B5" s="405"/>
      <c r="C5" s="3235" t="s">
        <v>2536</v>
      </c>
      <c r="D5" s="3236"/>
      <c r="E5" s="3233" t="s">
        <v>2537</v>
      </c>
      <c r="F5" s="3234"/>
      <c r="G5" s="3235" t="s">
        <v>2538</v>
      </c>
      <c r="H5" s="3236"/>
      <c r="I5" s="3235" t="s">
        <v>2539</v>
      </c>
      <c r="J5" s="3236"/>
      <c r="K5" s="610"/>
      <c r="L5" s="1130"/>
      <c r="M5" s="1131"/>
      <c r="N5" s="1131"/>
      <c r="O5" s="1131"/>
      <c r="P5" s="3248"/>
      <c r="Q5" s="3249"/>
      <c r="R5" s="3231"/>
      <c r="S5" s="3232"/>
      <c r="T5" s="3231"/>
      <c r="U5" s="3232"/>
      <c r="V5" s="3254"/>
      <c r="W5" s="3254"/>
      <c r="X5" s="1813"/>
      <c r="Y5" s="3231"/>
      <c r="Z5" s="3232"/>
      <c r="AA5" s="3225"/>
      <c r="AB5" s="3225"/>
      <c r="AC5" s="3225"/>
    </row>
    <row r="6" spans="1:29" ht="15.75" thickBot="1">
      <c r="A6" s="406"/>
      <c r="B6" s="407"/>
      <c r="C6" s="3237" t="s">
        <v>2540</v>
      </c>
      <c r="D6" s="3238"/>
      <c r="E6" s="3239" t="s">
        <v>2540</v>
      </c>
      <c r="F6" s="3240"/>
      <c r="G6" s="3237" t="s">
        <v>2540</v>
      </c>
      <c r="H6" s="3238"/>
      <c r="I6" s="3237" t="s">
        <v>2540</v>
      </c>
      <c r="J6" s="3238"/>
      <c r="K6" s="610" t="s">
        <v>2541</v>
      </c>
      <c r="L6" s="1130"/>
      <c r="M6" s="1131"/>
      <c r="N6" s="1131"/>
      <c r="O6" s="1131"/>
      <c r="P6" s="3250"/>
      <c r="Q6" s="3251"/>
      <c r="R6" s="3231"/>
      <c r="S6" s="3232"/>
      <c r="T6" s="3252"/>
      <c r="U6" s="3253"/>
      <c r="V6" s="3254"/>
      <c r="W6" s="3254"/>
      <c r="X6" s="1813"/>
      <c r="Y6" s="3252"/>
      <c r="Z6" s="3253"/>
      <c r="AA6" s="3226"/>
      <c r="AB6" s="3226"/>
      <c r="AC6" s="3226"/>
    </row>
    <row r="7" spans="1:29" s="117" customFormat="1" ht="15.75" thickBot="1">
      <c r="A7" s="408" t="s">
        <v>2542</v>
      </c>
      <c r="B7" s="409"/>
      <c r="C7" s="410">
        <f>'数据-取费表'!B2</f>
        <v>43603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7" t="s">
        <v>2543</v>
      </c>
      <c r="Q7" s="3255"/>
      <c r="R7" s="770" t="s">
        <v>17</v>
      </c>
      <c r="S7" s="771">
        <f t="shared" ref="S7:S15" si="0">F7</f>
        <v>0</v>
      </c>
      <c r="T7" s="770" t="s">
        <v>17</v>
      </c>
      <c r="U7" s="771">
        <f t="shared" ref="U7:U15" si="1">H7</f>
        <v>0</v>
      </c>
      <c r="V7" s="770" t="s">
        <v>17</v>
      </c>
      <c r="W7" s="771">
        <f t="shared" ref="W7:W15" si="2">J7</f>
        <v>0</v>
      </c>
      <c r="X7" s="772"/>
      <c r="Y7" s="3227" t="s">
        <v>2543</v>
      </c>
      <c r="Z7" s="3228"/>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7" t="s">
        <v>2546</v>
      </c>
      <c r="Q8" s="3228"/>
      <c r="R8" s="770" t="s">
        <v>17</v>
      </c>
      <c r="S8" s="771">
        <f t="shared" si="0"/>
        <v>0</v>
      </c>
      <c r="T8" s="770" t="s">
        <v>17</v>
      </c>
      <c r="U8" s="771">
        <f t="shared" si="1"/>
        <v>0</v>
      </c>
      <c r="V8" s="770" t="s">
        <v>17</v>
      </c>
      <c r="W8" s="771">
        <f t="shared" si="2"/>
        <v>0</v>
      </c>
      <c r="X8" s="772"/>
      <c r="Y8" s="3227" t="s">
        <v>2546</v>
      </c>
      <c r="Z8" s="3228"/>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1" t="s">
        <v>2549</v>
      </c>
      <c r="Q9" s="1795" t="str">
        <f t="shared" ref="Q9:Q15" si="6">B9</f>
        <v>用途</v>
      </c>
      <c r="R9" s="770" t="s">
        <v>17</v>
      </c>
      <c r="S9" s="771">
        <f t="shared" si="0"/>
        <v>100</v>
      </c>
      <c r="T9" s="770" t="s">
        <v>17</v>
      </c>
      <c r="U9" s="771">
        <f t="shared" si="1"/>
        <v>100</v>
      </c>
      <c r="V9" s="770" t="s">
        <v>17</v>
      </c>
      <c r="W9" s="771">
        <f t="shared" si="2"/>
        <v>100</v>
      </c>
      <c r="X9" s="772"/>
      <c r="Y9" s="307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2554</v>
      </c>
      <c r="Q15" s="1810" t="str">
        <f t="shared" si="6"/>
        <v>产业集聚程度</v>
      </c>
      <c r="R15" s="774" t="s">
        <v>17</v>
      </c>
      <c r="S15" s="775">
        <f t="shared" si="0"/>
        <v>100</v>
      </c>
      <c r="T15" s="774" t="s">
        <v>17</v>
      </c>
      <c r="U15" s="775">
        <f t="shared" si="1"/>
        <v>100</v>
      </c>
      <c r="V15" s="774" t="s">
        <v>17</v>
      </c>
      <c r="W15" s="775">
        <f t="shared" si="2"/>
        <v>100</v>
      </c>
      <c r="X15" s="1813"/>
      <c r="Y15" s="3256"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7"/>
      <c r="Q16" s="1810"/>
      <c r="R16" s="774"/>
      <c r="S16" s="775"/>
      <c r="T16" s="774"/>
      <c r="U16" s="775"/>
      <c r="V16" s="774"/>
      <c r="W16" s="775"/>
      <c r="X16" s="1813"/>
      <c r="Y16" s="3257"/>
      <c r="Z16" s="1814"/>
      <c r="AA16" s="1811">
        <v>1</v>
      </c>
      <c r="AB16" s="1811">
        <v>1</v>
      </c>
      <c r="AC16" s="1811">
        <v>1</v>
      </c>
    </row>
    <row r="17" spans="1:29" ht="85.5">
      <c r="A17" s="428"/>
      <c r="B17" s="451" t="s">
        <v>2092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57"/>
      <c r="Q18" s="1810"/>
      <c r="R18" s="774"/>
      <c r="S18" s="775"/>
      <c r="T18" s="774"/>
      <c r="U18" s="775"/>
      <c r="V18" s="774"/>
      <c r="W18" s="775"/>
      <c r="X18" s="1813"/>
      <c r="Y18" s="3257"/>
      <c r="Z18" s="1814"/>
      <c r="AA18" s="1811">
        <v>1</v>
      </c>
      <c r="AB18" s="1811">
        <v>1</v>
      </c>
      <c r="AC18" s="1811">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10" t="str">
        <f>B19</f>
        <v>公共配套设施</v>
      </c>
      <c r="R19" s="774" t="s">
        <v>17</v>
      </c>
      <c r="S19" s="775">
        <f>F19</f>
        <v>100</v>
      </c>
      <c r="T19" s="774" t="s">
        <v>17</v>
      </c>
      <c r="U19" s="775">
        <f>H19</f>
        <v>100</v>
      </c>
      <c r="V19" s="774" t="s">
        <v>17</v>
      </c>
      <c r="W19" s="775">
        <f>J19</f>
        <v>100</v>
      </c>
      <c r="X19" s="1813"/>
      <c r="Y19" s="325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57"/>
      <c r="Q20" s="1810"/>
      <c r="R20" s="774"/>
      <c r="S20" s="775"/>
      <c r="T20" s="774"/>
      <c r="U20" s="775"/>
      <c r="V20" s="774"/>
      <c r="W20" s="775"/>
      <c r="X20" s="1813"/>
      <c r="Y20" s="3257"/>
      <c r="Z20" s="1814"/>
      <c r="AA20" s="1811">
        <v>1</v>
      </c>
      <c r="AB20" s="1811">
        <v>1</v>
      </c>
      <c r="AC20" s="1811">
        <v>1</v>
      </c>
    </row>
    <row r="21" spans="1:29" ht="28.5">
      <c r="A21" s="428"/>
      <c r="B21" s="1384"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10" t="str">
        <f>B21</f>
        <v>基础设施水平</v>
      </c>
      <c r="R21" s="774" t="s">
        <v>17</v>
      </c>
      <c r="S21" s="775">
        <f>F21</f>
        <v>100</v>
      </c>
      <c r="T21" s="774" t="s">
        <v>17</v>
      </c>
      <c r="U21" s="775">
        <f>H21</f>
        <v>100</v>
      </c>
      <c r="V21" s="774" t="s">
        <v>17</v>
      </c>
      <c r="W21" s="775">
        <f>J21</f>
        <v>100</v>
      </c>
      <c r="X21" s="1813"/>
      <c r="Y21" s="325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57"/>
      <c r="Q22" s="1810"/>
      <c r="R22" s="774"/>
      <c r="S22" s="775"/>
      <c r="T22" s="774"/>
      <c r="U22" s="775"/>
      <c r="V22" s="774"/>
      <c r="W22" s="775"/>
      <c r="X22" s="1813"/>
      <c r="Y22" s="3257"/>
      <c r="Z22" s="1814"/>
      <c r="AA22" s="1811">
        <v>1</v>
      </c>
      <c r="AB22" s="1811">
        <v>1</v>
      </c>
      <c r="AC22" s="1811">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10" t="str">
        <f>B23</f>
        <v>环境质量</v>
      </c>
      <c r="R23" s="774" t="s">
        <v>17</v>
      </c>
      <c r="S23" s="775">
        <f>F23</f>
        <v>100</v>
      </c>
      <c r="T23" s="774" t="s">
        <v>17</v>
      </c>
      <c r="U23" s="775">
        <f>H23</f>
        <v>100</v>
      </c>
      <c r="V23" s="774" t="s">
        <v>17</v>
      </c>
      <c r="W23" s="775">
        <f>J23</f>
        <v>100</v>
      </c>
      <c r="X23" s="1813"/>
      <c r="Y23" s="3257"/>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57"/>
      <c r="Q24" s="1810"/>
      <c r="R24" s="774"/>
      <c r="S24" s="775"/>
      <c r="T24" s="774"/>
      <c r="U24" s="775"/>
      <c r="V24" s="774"/>
      <c r="W24" s="775"/>
      <c r="X24" s="1813"/>
      <c r="Y24" s="325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10">
        <f>B25</f>
        <v>111</v>
      </c>
      <c r="R25" s="774" t="s">
        <v>17</v>
      </c>
      <c r="S25" s="775">
        <f>F25</f>
        <v>100</v>
      </c>
      <c r="T25" s="774" t="s">
        <v>17</v>
      </c>
      <c r="U25" s="775">
        <f>H25</f>
        <v>100</v>
      </c>
      <c r="V25" s="774" t="s">
        <v>17</v>
      </c>
      <c r="W25" s="775">
        <f>J25</f>
        <v>100</v>
      </c>
      <c r="X25" s="1813"/>
      <c r="Y25" s="325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10">
        <f t="shared" ref="Q26:Q40" si="11">B26</f>
        <v>111</v>
      </c>
      <c r="R26" s="774" t="s">
        <v>17</v>
      </c>
      <c r="S26" s="775">
        <f>F26</f>
        <v>100</v>
      </c>
      <c r="T26" s="774" t="s">
        <v>17</v>
      </c>
      <c r="U26" s="775">
        <f>H26</f>
        <v>100</v>
      </c>
      <c r="V26" s="774" t="s">
        <v>17</v>
      </c>
      <c r="W26" s="775">
        <f>J26</f>
        <v>100</v>
      </c>
      <c r="X26" s="1813"/>
      <c r="Y26" s="325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95">
        <f t="shared" si="11"/>
        <v>111</v>
      </c>
      <c r="R27" s="770" t="s">
        <v>17</v>
      </c>
      <c r="S27" s="771">
        <f>F27</f>
        <v>100</v>
      </c>
      <c r="T27" s="770" t="s">
        <v>17</v>
      </c>
      <c r="U27" s="771">
        <f>H27</f>
        <v>100</v>
      </c>
      <c r="V27" s="770" t="s">
        <v>17</v>
      </c>
      <c r="W27" s="771">
        <f>J27</f>
        <v>100</v>
      </c>
      <c r="X27" s="772"/>
      <c r="Y27" s="325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10">
        <f t="shared" si="11"/>
        <v>111</v>
      </c>
      <c r="R28" s="774" t="s">
        <v>17</v>
      </c>
      <c r="S28" s="775">
        <f t="shared" ref="S28:S40" si="12">F28</f>
        <v>100</v>
      </c>
      <c r="T28" s="774" t="s">
        <v>17</v>
      </c>
      <c r="U28" s="775">
        <f t="shared" ref="U28:U40" si="13">H28</f>
        <v>100</v>
      </c>
      <c r="V28" s="774" t="s">
        <v>17</v>
      </c>
      <c r="W28" s="775">
        <f t="shared" ref="W28:W40" si="14">J28</f>
        <v>100</v>
      </c>
      <c r="X28" s="1813"/>
      <c r="Y28" s="3257"/>
      <c r="Z28" s="1814">
        <f t="shared" ref="Z28:Z40" si="15">Q28</f>
        <v>111</v>
      </c>
      <c r="AA28" s="1811">
        <f t="shared" si="3"/>
        <v>1</v>
      </c>
      <c r="AB28" s="1811">
        <f t="shared" si="4"/>
        <v>1</v>
      </c>
      <c r="AC28" s="1811">
        <f t="shared" si="5"/>
        <v>1</v>
      </c>
    </row>
    <row r="29" spans="1:29" ht="28.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8" t="s">
        <v>2559</v>
      </c>
      <c r="Q29" s="1810" t="str">
        <f t="shared" si="11"/>
        <v>建筑类型</v>
      </c>
      <c r="R29" s="774" t="s">
        <v>17</v>
      </c>
      <c r="S29" s="775">
        <f t="shared" si="12"/>
        <v>100</v>
      </c>
      <c r="T29" s="774" t="s">
        <v>17</v>
      </c>
      <c r="U29" s="775">
        <f t="shared" si="13"/>
        <v>100</v>
      </c>
      <c r="V29" s="774" t="s">
        <v>17</v>
      </c>
      <c r="W29" s="775">
        <f t="shared" si="14"/>
        <v>100</v>
      </c>
      <c r="X29" s="1813"/>
      <c r="Y29" s="3259"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9"/>
      <c r="Q30" s="776" t="str">
        <f t="shared" si="11"/>
        <v>项目建筑规模</v>
      </c>
      <c r="R30" s="777" t="s">
        <v>17</v>
      </c>
      <c r="S30" s="778" t="e">
        <f t="shared" si="12"/>
        <v>#N/A</v>
      </c>
      <c r="T30" s="777" t="s">
        <v>17</v>
      </c>
      <c r="U30" s="778" t="e">
        <f t="shared" si="13"/>
        <v>#N/A</v>
      </c>
      <c r="V30" s="777" t="s">
        <v>17</v>
      </c>
      <c r="W30" s="778" t="e">
        <f t="shared" si="14"/>
        <v>#N/A</v>
      </c>
      <c r="X30" s="779"/>
      <c r="Y30" s="3259"/>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9"/>
      <c r="Q31" s="1810" t="str">
        <f t="shared" si="11"/>
        <v>建筑结构</v>
      </c>
      <c r="R31" s="774" t="s">
        <v>17</v>
      </c>
      <c r="S31" s="775">
        <f t="shared" si="12"/>
        <v>100</v>
      </c>
      <c r="T31" s="774" t="s">
        <v>17</v>
      </c>
      <c r="U31" s="775">
        <f t="shared" si="13"/>
        <v>100</v>
      </c>
      <c r="V31" s="774" t="s">
        <v>17</v>
      </c>
      <c r="W31" s="775">
        <f t="shared" si="14"/>
        <v>100</v>
      </c>
      <c r="X31" s="1813"/>
      <c r="Y31" s="3259"/>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9"/>
      <c r="Q32" s="1810" t="str">
        <f t="shared" si="11"/>
        <v>公共部分装修</v>
      </c>
      <c r="R32" s="774" t="s">
        <v>17</v>
      </c>
      <c r="S32" s="775">
        <f t="shared" si="12"/>
        <v>100</v>
      </c>
      <c r="T32" s="774" t="s">
        <v>17</v>
      </c>
      <c r="U32" s="775">
        <f t="shared" si="13"/>
        <v>100</v>
      </c>
      <c r="V32" s="774" t="s">
        <v>17</v>
      </c>
      <c r="W32" s="775">
        <f t="shared" si="14"/>
        <v>100</v>
      </c>
      <c r="X32" s="1813"/>
      <c r="Y32" s="3259"/>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9"/>
      <c r="Q33" s="1810" t="str">
        <f t="shared" si="11"/>
        <v>成新度</v>
      </c>
      <c r="R33" s="774" t="s">
        <v>17</v>
      </c>
      <c r="S33" s="775" t="e">
        <f t="shared" si="12"/>
        <v>#N/A</v>
      </c>
      <c r="T33" s="774" t="s">
        <v>17</v>
      </c>
      <c r="U33" s="775" t="e">
        <f t="shared" si="13"/>
        <v>#N/A</v>
      </c>
      <c r="V33" s="774" t="s">
        <v>17</v>
      </c>
      <c r="W33" s="775" t="e">
        <f t="shared" si="14"/>
        <v>#N/A</v>
      </c>
      <c r="X33" s="1813"/>
      <c r="Y33" s="3259"/>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9"/>
      <c r="Q34" s="1795" t="str">
        <f t="shared" si="11"/>
        <v>物业管理</v>
      </c>
      <c r="R34" s="770" t="s">
        <v>17</v>
      </c>
      <c r="S34" s="771">
        <f t="shared" si="12"/>
        <v>100</v>
      </c>
      <c r="T34" s="770" t="s">
        <v>17</v>
      </c>
      <c r="U34" s="771">
        <f t="shared" si="13"/>
        <v>100</v>
      </c>
      <c r="V34" s="770" t="s">
        <v>17</v>
      </c>
      <c r="W34" s="771">
        <f t="shared" si="14"/>
        <v>100</v>
      </c>
      <c r="X34" s="772"/>
      <c r="Y34" s="3259"/>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9" t="s">
        <v>2559</v>
      </c>
      <c r="Q35" s="1810" t="str">
        <f t="shared" si="11"/>
        <v>市政基础设施</v>
      </c>
      <c r="R35" s="774" t="s">
        <v>17</v>
      </c>
      <c r="S35" s="775">
        <f t="shared" si="12"/>
        <v>100</v>
      </c>
      <c r="T35" s="774" t="s">
        <v>17</v>
      </c>
      <c r="U35" s="775">
        <f t="shared" si="13"/>
        <v>100</v>
      </c>
      <c r="V35" s="774" t="s">
        <v>17</v>
      </c>
      <c r="W35" s="775">
        <f t="shared" si="14"/>
        <v>100</v>
      </c>
      <c r="X35" s="1813"/>
      <c r="Y35" s="3259"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9"/>
      <c r="Q36" s="1810" t="str">
        <f t="shared" si="11"/>
        <v>内部装修</v>
      </c>
      <c r="R36" s="774" t="s">
        <v>17</v>
      </c>
      <c r="S36" s="775">
        <f t="shared" si="12"/>
        <v>100</v>
      </c>
      <c r="T36" s="774" t="s">
        <v>17</v>
      </c>
      <c r="U36" s="775">
        <f t="shared" si="13"/>
        <v>100</v>
      </c>
      <c r="V36" s="774" t="s">
        <v>17</v>
      </c>
      <c r="W36" s="775">
        <f t="shared" si="14"/>
        <v>100</v>
      </c>
      <c r="X36" s="1813"/>
      <c r="Y36" s="3259"/>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9"/>
      <c r="Q37" s="1810" t="str">
        <f t="shared" si="11"/>
        <v>内部装修状况</v>
      </c>
      <c r="R37" s="774" t="s">
        <v>17</v>
      </c>
      <c r="S37" s="775">
        <f t="shared" si="12"/>
        <v>100</v>
      </c>
      <c r="T37" s="774" t="s">
        <v>17</v>
      </c>
      <c r="U37" s="775">
        <f t="shared" si="13"/>
        <v>100</v>
      </c>
      <c r="V37" s="774" t="s">
        <v>17</v>
      </c>
      <c r="W37" s="775">
        <f t="shared" si="14"/>
        <v>100</v>
      </c>
      <c r="X37" s="1813"/>
      <c r="Y37" s="325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9"/>
      <c r="Q38" s="776">
        <f t="shared" si="11"/>
        <v>111</v>
      </c>
      <c r="R38" s="777" t="s">
        <v>17</v>
      </c>
      <c r="S38" s="778">
        <f t="shared" si="12"/>
        <v>100</v>
      </c>
      <c r="T38" s="777" t="s">
        <v>17</v>
      </c>
      <c r="U38" s="778">
        <f t="shared" si="13"/>
        <v>100</v>
      </c>
      <c r="V38" s="777" t="s">
        <v>17</v>
      </c>
      <c r="W38" s="778">
        <f t="shared" si="14"/>
        <v>100</v>
      </c>
      <c r="X38" s="779"/>
      <c r="Y38" s="325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9"/>
      <c r="Q39" s="1810">
        <f t="shared" si="11"/>
        <v>111</v>
      </c>
      <c r="R39" s="774" t="s">
        <v>17</v>
      </c>
      <c r="S39" s="775">
        <f t="shared" si="12"/>
        <v>100</v>
      </c>
      <c r="T39" s="774" t="s">
        <v>17</v>
      </c>
      <c r="U39" s="775">
        <f t="shared" si="13"/>
        <v>100</v>
      </c>
      <c r="V39" s="774" t="s">
        <v>17</v>
      </c>
      <c r="W39" s="775">
        <f t="shared" si="14"/>
        <v>100</v>
      </c>
      <c r="X39" s="1813"/>
      <c r="Y39" s="3259"/>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5"/>
      <c r="Q40" s="1810">
        <f t="shared" si="11"/>
        <v>111</v>
      </c>
      <c r="R40" s="774" t="s">
        <v>17</v>
      </c>
      <c r="S40" s="775">
        <f t="shared" si="12"/>
        <v>100</v>
      </c>
      <c r="T40" s="774" t="s">
        <v>17</v>
      </c>
      <c r="U40" s="775">
        <f t="shared" si="13"/>
        <v>100</v>
      </c>
      <c r="V40" s="774" t="s">
        <v>17</v>
      </c>
      <c r="W40" s="775">
        <f t="shared" si="14"/>
        <v>100</v>
      </c>
      <c r="X40" s="1813"/>
      <c r="Y40" s="3305"/>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41" t="str">
        <f>A41</f>
        <v>成交单价（元/平方米）</v>
      </c>
      <c r="Q41" s="3241"/>
      <c r="R41" s="3301">
        <f>E41</f>
        <v>0</v>
      </c>
      <c r="S41" s="3301"/>
      <c r="T41" s="3301">
        <f>G41</f>
        <v>0</v>
      </c>
      <c r="U41" s="3301"/>
      <c r="V41" s="3301">
        <f>I41</f>
        <v>0</v>
      </c>
      <c r="W41" s="3301"/>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41" t="str">
        <f>A42</f>
        <v>比较价值（元/平方米）</v>
      </c>
      <c r="Q42" s="3241"/>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61" t="str">
        <f>A43</f>
        <v>估价对象XX用房的比较价值（楼面单价，元/平方米）</v>
      </c>
      <c r="Q43" s="3262"/>
      <c r="R43" s="3300" t="e">
        <f>IF(F1="售价",ROUND(AVERAGE(R42:V42),0),ROUND(AVERAGE(R42:V42),1))</f>
        <v>#DIV/0!</v>
      </c>
      <c r="S43" s="3300"/>
      <c r="T43" s="3300"/>
      <c r="U43" s="3300"/>
      <c r="V43" s="3300"/>
      <c r="W43" s="33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7"/>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25" t="s">
        <v>2642</v>
      </c>
      <c r="AC4" s="3224" t="s">
        <v>2643</v>
      </c>
    </row>
    <row r="5" spans="1:29" ht="15">
      <c r="A5" s="404"/>
      <c r="B5" s="405"/>
      <c r="C5" s="3235" t="s">
        <v>2536</v>
      </c>
      <c r="D5" s="3236"/>
      <c r="E5" s="3233" t="s">
        <v>2537</v>
      </c>
      <c r="F5" s="3234"/>
      <c r="G5" s="3235" t="s">
        <v>2538</v>
      </c>
      <c r="H5" s="3236"/>
      <c r="I5" s="3235" t="s">
        <v>2539</v>
      </c>
      <c r="J5" s="3236"/>
      <c r="K5" s="610"/>
      <c r="L5" s="1130"/>
      <c r="M5" s="1131"/>
      <c r="N5" s="1131"/>
      <c r="O5" s="1131"/>
      <c r="P5" s="3248"/>
      <c r="Q5" s="3249"/>
      <c r="R5" s="3231"/>
      <c r="S5" s="3232"/>
      <c r="T5" s="3231"/>
      <c r="U5" s="3232"/>
      <c r="V5" s="3254"/>
      <c r="W5" s="3254"/>
      <c r="X5" s="1813"/>
      <c r="Y5" s="3231"/>
      <c r="Z5" s="3232"/>
      <c r="AA5" s="3225"/>
      <c r="AB5" s="3225"/>
      <c r="AC5" s="3225"/>
    </row>
    <row r="6" spans="1:29" ht="15.75" thickBot="1">
      <c r="A6" s="406"/>
      <c r="B6" s="407"/>
      <c r="C6" s="3237" t="s">
        <v>2540</v>
      </c>
      <c r="D6" s="3238"/>
      <c r="E6" s="3239" t="s">
        <v>2540</v>
      </c>
      <c r="F6" s="3240"/>
      <c r="G6" s="3237" t="s">
        <v>2540</v>
      </c>
      <c r="H6" s="3238"/>
      <c r="I6" s="3237" t="s">
        <v>2540</v>
      </c>
      <c r="J6" s="3238"/>
      <c r="K6" s="610" t="s">
        <v>2541</v>
      </c>
      <c r="L6" s="1130"/>
      <c r="M6" s="1131"/>
      <c r="N6" s="1131"/>
      <c r="O6" s="1131"/>
      <c r="P6" s="3250"/>
      <c r="Q6" s="3251"/>
      <c r="R6" s="3231"/>
      <c r="S6" s="3232"/>
      <c r="T6" s="3252"/>
      <c r="U6" s="3253"/>
      <c r="V6" s="3254"/>
      <c r="W6" s="3254"/>
      <c r="X6" s="1813"/>
      <c r="Y6" s="3252"/>
      <c r="Z6" s="3253"/>
      <c r="AA6" s="3226"/>
      <c r="AB6" s="3226"/>
      <c r="AC6" s="3226"/>
    </row>
    <row r="7" spans="1:29" s="117" customFormat="1" ht="15.75" thickBot="1">
      <c r="A7" s="408" t="s">
        <v>2542</v>
      </c>
      <c r="B7" s="409"/>
      <c r="C7" s="410">
        <f>'数据-取费表'!B2</f>
        <v>43603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7" t="s">
        <v>2543</v>
      </c>
      <c r="Q7" s="3255"/>
      <c r="R7" s="770" t="s">
        <v>17</v>
      </c>
      <c r="S7" s="771">
        <f t="shared" ref="S7:S14" si="0">F7</f>
        <v>0</v>
      </c>
      <c r="T7" s="770" t="s">
        <v>17</v>
      </c>
      <c r="U7" s="771">
        <f t="shared" ref="U7:U14" si="1">H7</f>
        <v>0</v>
      </c>
      <c r="V7" s="770" t="s">
        <v>17</v>
      </c>
      <c r="W7" s="771">
        <f t="shared" ref="W7:W14" si="2">J7</f>
        <v>0</v>
      </c>
      <c r="X7" s="772"/>
      <c r="Y7" s="3227" t="s">
        <v>2543</v>
      </c>
      <c r="Z7" s="3228"/>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7" t="s">
        <v>2546</v>
      </c>
      <c r="Q8" s="3228"/>
      <c r="R8" s="770" t="s">
        <v>17</v>
      </c>
      <c r="S8" s="771">
        <f t="shared" si="0"/>
        <v>0</v>
      </c>
      <c r="T8" s="770" t="s">
        <v>17</v>
      </c>
      <c r="U8" s="771">
        <f t="shared" si="1"/>
        <v>0</v>
      </c>
      <c r="V8" s="770" t="s">
        <v>17</v>
      </c>
      <c r="W8" s="771">
        <f t="shared" si="2"/>
        <v>0</v>
      </c>
      <c r="X8" s="772"/>
      <c r="Y8" s="3227" t="s">
        <v>2546</v>
      </c>
      <c r="Z8" s="3228"/>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1" t="s">
        <v>2549</v>
      </c>
      <c r="Q9" s="1795" t="str">
        <f t="shared" ref="Q9:Q14" si="6">B9</f>
        <v>用途</v>
      </c>
      <c r="R9" s="770" t="s">
        <v>17</v>
      </c>
      <c r="S9" s="771">
        <f t="shared" si="0"/>
        <v>100</v>
      </c>
      <c r="T9" s="770" t="s">
        <v>17</v>
      </c>
      <c r="U9" s="771">
        <f t="shared" si="1"/>
        <v>100</v>
      </c>
      <c r="V9" s="770" t="s">
        <v>17</v>
      </c>
      <c r="W9" s="771">
        <f t="shared" si="2"/>
        <v>100</v>
      </c>
      <c r="X9" s="772"/>
      <c r="Y9" s="3073"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1"/>
      <c r="Q11" s="1795">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2554</v>
      </c>
      <c r="Q14" s="1810" t="str">
        <f t="shared" si="6"/>
        <v>交通便捷度</v>
      </c>
      <c r="R14" s="774" t="s">
        <v>17</v>
      </c>
      <c r="S14" s="775">
        <f t="shared" si="0"/>
        <v>100</v>
      </c>
      <c r="T14" s="774" t="s">
        <v>17</v>
      </c>
      <c r="U14" s="775">
        <f t="shared" si="1"/>
        <v>100</v>
      </c>
      <c r="V14" s="774" t="s">
        <v>17</v>
      </c>
      <c r="W14" s="775">
        <f t="shared" si="2"/>
        <v>100</v>
      </c>
      <c r="X14" s="1813"/>
      <c r="Y14" s="3256"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7"/>
      <c r="Q15" s="1810"/>
      <c r="R15" s="774"/>
      <c r="S15" s="775"/>
      <c r="T15" s="774"/>
      <c r="U15" s="775"/>
      <c r="V15" s="774"/>
      <c r="W15" s="775"/>
      <c r="X15" s="1813"/>
      <c r="Y15" s="3257"/>
      <c r="Z15" s="1814"/>
      <c r="AA15" s="1811">
        <v>1</v>
      </c>
      <c r="AB15" s="1811">
        <v>1</v>
      </c>
      <c r="AC15" s="1811">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10" t="str">
        <f>B16</f>
        <v>公共配套设施</v>
      </c>
      <c r="R16" s="774" t="s">
        <v>17</v>
      </c>
      <c r="S16" s="775">
        <f>F16</f>
        <v>100</v>
      </c>
      <c r="T16" s="774" t="s">
        <v>17</v>
      </c>
      <c r="U16" s="775">
        <f>H16</f>
        <v>100</v>
      </c>
      <c r="V16" s="774" t="s">
        <v>17</v>
      </c>
      <c r="W16" s="775">
        <f>J16</f>
        <v>100</v>
      </c>
      <c r="X16" s="1813"/>
      <c r="Y16" s="3257"/>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57"/>
      <c r="Q17" s="1810"/>
      <c r="R17" s="774"/>
      <c r="S17" s="775"/>
      <c r="T17" s="774"/>
      <c r="U17" s="775"/>
      <c r="V17" s="774"/>
      <c r="W17" s="775"/>
      <c r="X17" s="1813"/>
      <c r="Y17" s="3257"/>
      <c r="Z17" s="1814"/>
      <c r="AA17" s="1811">
        <v>1</v>
      </c>
      <c r="AB17" s="1811">
        <v>1</v>
      </c>
      <c r="AC17" s="1811">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10" t="str">
        <f>B18</f>
        <v>基础设施水平</v>
      </c>
      <c r="R18" s="774" t="s">
        <v>17</v>
      </c>
      <c r="S18" s="775">
        <f>F18</f>
        <v>100</v>
      </c>
      <c r="T18" s="774" t="s">
        <v>17</v>
      </c>
      <c r="U18" s="775">
        <f>H18</f>
        <v>100</v>
      </c>
      <c r="V18" s="774" t="s">
        <v>17</v>
      </c>
      <c r="W18" s="775">
        <f>J18</f>
        <v>100</v>
      </c>
      <c r="X18" s="1813"/>
      <c r="Y18" s="3257"/>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57"/>
      <c r="Q19" s="1810"/>
      <c r="R19" s="774"/>
      <c r="S19" s="775"/>
      <c r="T19" s="774"/>
      <c r="U19" s="775"/>
      <c r="V19" s="774"/>
      <c r="W19" s="775"/>
      <c r="X19" s="1813"/>
      <c r="Y19" s="3257"/>
      <c r="Z19" s="1814"/>
      <c r="AA19" s="1811">
        <v>1</v>
      </c>
      <c r="AB19" s="1811">
        <v>1</v>
      </c>
      <c r="AC19" s="1811">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10" t="str">
        <f>B20</f>
        <v>自然及人文环境</v>
      </c>
      <c r="R20" s="774" t="s">
        <v>17</v>
      </c>
      <c r="S20" s="775">
        <f>F20</f>
        <v>100</v>
      </c>
      <c r="T20" s="774" t="s">
        <v>17</v>
      </c>
      <c r="U20" s="775">
        <f>H20</f>
        <v>100</v>
      </c>
      <c r="V20" s="774" t="s">
        <v>17</v>
      </c>
      <c r="W20" s="775">
        <f>J20</f>
        <v>100</v>
      </c>
      <c r="X20" s="1813"/>
      <c r="Y20" s="325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7"/>
      <c r="Q21" s="1810"/>
      <c r="R21" s="774"/>
      <c r="S21" s="775"/>
      <c r="T21" s="774"/>
      <c r="U21" s="775"/>
      <c r="V21" s="774"/>
      <c r="W21" s="775"/>
      <c r="X21" s="1813"/>
      <c r="Y21" s="3257"/>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10" t="str">
        <f>B22</f>
        <v>楼层</v>
      </c>
      <c r="R22" s="774" t="s">
        <v>17</v>
      </c>
      <c r="S22" s="775">
        <f>F22</f>
        <v>100</v>
      </c>
      <c r="T22" s="774" t="s">
        <v>17</v>
      </c>
      <c r="U22" s="775">
        <f>H22</f>
        <v>100</v>
      </c>
      <c r="V22" s="774" t="s">
        <v>17</v>
      </c>
      <c r="W22" s="775">
        <f>J22</f>
        <v>100</v>
      </c>
      <c r="X22" s="1813"/>
      <c r="Y22" s="325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10">
        <f>B23</f>
        <v>111</v>
      </c>
      <c r="R23" s="774" t="s">
        <v>17</v>
      </c>
      <c r="S23" s="775">
        <f>F23</f>
        <v>100</v>
      </c>
      <c r="T23" s="774" t="s">
        <v>17</v>
      </c>
      <c r="U23" s="775">
        <f>H23</f>
        <v>100</v>
      </c>
      <c r="V23" s="774" t="s">
        <v>17</v>
      </c>
      <c r="W23" s="775">
        <f>J23</f>
        <v>100</v>
      </c>
      <c r="X23" s="1813"/>
      <c r="Y23" s="325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10">
        <f t="shared" ref="Q24:Q36" si="11">B24</f>
        <v>111</v>
      </c>
      <c r="R24" s="774" t="s">
        <v>17</v>
      </c>
      <c r="S24" s="775">
        <f>F24</f>
        <v>100</v>
      </c>
      <c r="T24" s="774" t="s">
        <v>17</v>
      </c>
      <c r="U24" s="775">
        <f>H24</f>
        <v>100</v>
      </c>
      <c r="V24" s="774" t="s">
        <v>17</v>
      </c>
      <c r="W24" s="775">
        <f>J24</f>
        <v>100</v>
      </c>
      <c r="X24" s="1813"/>
      <c r="Y24" s="325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95">
        <f t="shared" si="11"/>
        <v>111</v>
      </c>
      <c r="R25" s="770" t="s">
        <v>17</v>
      </c>
      <c r="S25" s="771">
        <f>F25</f>
        <v>100</v>
      </c>
      <c r="T25" s="770" t="s">
        <v>17</v>
      </c>
      <c r="U25" s="771">
        <f>H25</f>
        <v>100</v>
      </c>
      <c r="V25" s="770" t="s">
        <v>17</v>
      </c>
      <c r="W25" s="771">
        <f>J25</f>
        <v>100</v>
      </c>
      <c r="X25" s="772"/>
      <c r="Y25" s="3257"/>
      <c r="Z25" s="55">
        <f>Q25</f>
        <v>111</v>
      </c>
      <c r="AA25" s="1811">
        <f>D25/F25</f>
        <v>1</v>
      </c>
      <c r="AB25" s="1811">
        <f>D25/H25</f>
        <v>1</v>
      </c>
      <c r="AC25" s="1811">
        <f>D25/J25</f>
        <v>1</v>
      </c>
    </row>
    <row r="26" spans="1:29" ht="28.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9"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9"/>
      <c r="Q27" s="776" t="str">
        <f t="shared" si="11"/>
        <v>项目停车位配比</v>
      </c>
      <c r="R27" s="777" t="s">
        <v>17</v>
      </c>
      <c r="S27" s="778">
        <f t="shared" si="12"/>
        <v>100</v>
      </c>
      <c r="T27" s="777" t="s">
        <v>17</v>
      </c>
      <c r="U27" s="778">
        <f t="shared" si="13"/>
        <v>100</v>
      </c>
      <c r="V27" s="777" t="s">
        <v>17</v>
      </c>
      <c r="W27" s="778">
        <f t="shared" si="14"/>
        <v>100</v>
      </c>
      <c r="X27" s="779"/>
      <c r="Y27" s="3259"/>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9"/>
      <c r="Q28" s="1810" t="str">
        <f t="shared" si="11"/>
        <v>公共部分装修</v>
      </c>
      <c r="R28" s="774" t="s">
        <v>17</v>
      </c>
      <c r="S28" s="775">
        <f t="shared" si="12"/>
        <v>100</v>
      </c>
      <c r="T28" s="774" t="s">
        <v>17</v>
      </c>
      <c r="U28" s="775">
        <f t="shared" si="13"/>
        <v>100</v>
      </c>
      <c r="V28" s="774" t="s">
        <v>17</v>
      </c>
      <c r="W28" s="775">
        <f t="shared" si="14"/>
        <v>100</v>
      </c>
      <c r="X28" s="1813"/>
      <c r="Y28" s="3259"/>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9"/>
      <c r="Q29" s="1810" t="str">
        <f t="shared" si="11"/>
        <v>成新率</v>
      </c>
      <c r="R29" s="774" t="s">
        <v>17</v>
      </c>
      <c r="S29" s="775" t="e">
        <f t="shared" si="12"/>
        <v>#N/A</v>
      </c>
      <c r="T29" s="774" t="s">
        <v>17</v>
      </c>
      <c r="U29" s="775" t="e">
        <f t="shared" si="13"/>
        <v>#N/A</v>
      </c>
      <c r="V29" s="774" t="s">
        <v>17</v>
      </c>
      <c r="W29" s="775" t="e">
        <f t="shared" si="14"/>
        <v>#N/A</v>
      </c>
      <c r="X29" s="1813"/>
      <c r="Y29" s="3259"/>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9"/>
      <c r="Q30" s="1810" t="str">
        <f t="shared" si="11"/>
        <v>物业等级</v>
      </c>
      <c r="R30" s="774" t="s">
        <v>17</v>
      </c>
      <c r="S30" s="775">
        <f t="shared" si="12"/>
        <v>100</v>
      </c>
      <c r="T30" s="774" t="s">
        <v>17</v>
      </c>
      <c r="U30" s="775">
        <f t="shared" si="13"/>
        <v>100</v>
      </c>
      <c r="V30" s="774" t="s">
        <v>17</v>
      </c>
      <c r="W30" s="775">
        <f t="shared" si="14"/>
        <v>100</v>
      </c>
      <c r="X30" s="1813"/>
      <c r="Y30" s="3259"/>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9"/>
      <c r="Q31" s="1795" t="str">
        <f t="shared" si="11"/>
        <v>停车位面积</v>
      </c>
      <c r="R31" s="770" t="s">
        <v>17</v>
      </c>
      <c r="S31" s="771" t="e">
        <f t="shared" si="12"/>
        <v>#N/A</v>
      </c>
      <c r="T31" s="770" t="s">
        <v>17</v>
      </c>
      <c r="U31" s="771" t="e">
        <f t="shared" si="13"/>
        <v>#N/A</v>
      </c>
      <c r="V31" s="770" t="s">
        <v>17</v>
      </c>
      <c r="W31" s="771" t="e">
        <f t="shared" si="14"/>
        <v>#N/A</v>
      </c>
      <c r="X31" s="772"/>
      <c r="Y31" s="3259"/>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9" t="s">
        <v>2559</v>
      </c>
      <c r="Q32" s="1810" t="str">
        <f t="shared" si="11"/>
        <v>车位类型</v>
      </c>
      <c r="R32" s="774" t="s">
        <v>17</v>
      </c>
      <c r="S32" s="775">
        <f t="shared" si="12"/>
        <v>100</v>
      </c>
      <c r="T32" s="774" t="s">
        <v>17</v>
      </c>
      <c r="U32" s="775">
        <f t="shared" si="13"/>
        <v>100</v>
      </c>
      <c r="V32" s="774" t="s">
        <v>17</v>
      </c>
      <c r="W32" s="775">
        <f t="shared" si="14"/>
        <v>100</v>
      </c>
      <c r="X32" s="1813"/>
      <c r="Y32" s="3259"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9"/>
      <c r="Q33" s="1810" t="str">
        <f t="shared" si="11"/>
        <v>是否直接入户</v>
      </c>
      <c r="R33" s="774" t="s">
        <v>17</v>
      </c>
      <c r="S33" s="775">
        <f t="shared" si="12"/>
        <v>100</v>
      </c>
      <c r="T33" s="774" t="s">
        <v>17</v>
      </c>
      <c r="U33" s="775">
        <f t="shared" si="13"/>
        <v>100</v>
      </c>
      <c r="V33" s="774" t="s">
        <v>17</v>
      </c>
      <c r="W33" s="775">
        <f t="shared" si="14"/>
        <v>100</v>
      </c>
      <c r="X33" s="1813"/>
      <c r="Y33" s="325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9"/>
      <c r="Q34" s="1810">
        <f t="shared" si="11"/>
        <v>111</v>
      </c>
      <c r="R34" s="774" t="s">
        <v>17</v>
      </c>
      <c r="S34" s="775">
        <f t="shared" si="12"/>
        <v>100</v>
      </c>
      <c r="T34" s="774" t="s">
        <v>17</v>
      </c>
      <c r="U34" s="775">
        <f t="shared" si="13"/>
        <v>100</v>
      </c>
      <c r="V34" s="774" t="s">
        <v>17</v>
      </c>
      <c r="W34" s="775">
        <f t="shared" si="14"/>
        <v>100</v>
      </c>
      <c r="X34" s="1813"/>
      <c r="Y34" s="325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9"/>
      <c r="Q35" s="776">
        <f t="shared" si="11"/>
        <v>111</v>
      </c>
      <c r="R35" s="777" t="s">
        <v>17</v>
      </c>
      <c r="S35" s="778">
        <f t="shared" si="12"/>
        <v>100</v>
      </c>
      <c r="T35" s="777" t="s">
        <v>17</v>
      </c>
      <c r="U35" s="778">
        <f t="shared" si="13"/>
        <v>100</v>
      </c>
      <c r="V35" s="777" t="s">
        <v>17</v>
      </c>
      <c r="W35" s="778">
        <f t="shared" si="14"/>
        <v>100</v>
      </c>
      <c r="X35" s="779"/>
      <c r="Y35" s="325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9"/>
      <c r="Q36" s="1810">
        <f t="shared" si="11"/>
        <v>111</v>
      </c>
      <c r="R36" s="774" t="s">
        <v>17</v>
      </c>
      <c r="S36" s="775">
        <f t="shared" si="12"/>
        <v>100</v>
      </c>
      <c r="T36" s="774" t="s">
        <v>17</v>
      </c>
      <c r="U36" s="775">
        <f t="shared" si="13"/>
        <v>100</v>
      </c>
      <c r="V36" s="774" t="s">
        <v>17</v>
      </c>
      <c r="W36" s="775">
        <f t="shared" si="14"/>
        <v>100</v>
      </c>
      <c r="X36" s="1813"/>
      <c r="Y36" s="3259"/>
      <c r="Z36" s="1814">
        <f t="shared" si="15"/>
        <v>111</v>
      </c>
      <c r="AA36" s="1811">
        <f t="shared" si="3"/>
        <v>1</v>
      </c>
      <c r="AB36" s="1811">
        <f t="shared" si="4"/>
        <v>1</v>
      </c>
      <c r="AC36" s="1811">
        <f t="shared" si="5"/>
        <v>1</v>
      </c>
    </row>
    <row r="37" spans="1:29" ht="15">
      <c r="A37" s="479" t="s">
        <v>2714</v>
      </c>
      <c r="B37" s="2698" t="s">
        <v>2715</v>
      </c>
      <c r="C37" s="1407" t="s">
        <v>1</v>
      </c>
      <c r="D37" s="1408"/>
      <c r="E37" s="1409"/>
      <c r="F37" s="1410"/>
      <c r="G37" s="1411"/>
      <c r="H37" s="1412"/>
      <c r="I37" s="1409"/>
      <c r="J37" s="1412"/>
      <c r="K37" s="619"/>
      <c r="L37" s="1143"/>
      <c r="M37" s="1144"/>
      <c r="N37" s="1131"/>
      <c r="O37" s="1144"/>
      <c r="P37" s="3241" t="str">
        <f>A37</f>
        <v>成交单价</v>
      </c>
      <c r="Q37" s="3241"/>
      <c r="R37" s="3301">
        <f>E37</f>
        <v>0</v>
      </c>
      <c r="S37" s="3301"/>
      <c r="T37" s="3301">
        <f>G37</f>
        <v>0</v>
      </c>
      <c r="U37" s="3301"/>
      <c r="V37" s="3301">
        <f>I37</f>
        <v>0</v>
      </c>
      <c r="W37" s="3301"/>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1" t="str">
        <f>A38</f>
        <v>比较价值（元/平方米）</v>
      </c>
      <c r="Q38" s="3241"/>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61" t="str">
        <f>A39</f>
        <v>估价对象XX用房的比较价值（楼面单价，元/平方米）</v>
      </c>
      <c r="Q39" s="3262"/>
      <c r="R39" s="3300" t="e">
        <f>IF(F1="售价",ROUND(AVERAGE(R38:V38),0),ROUND(AVERAGE(R38:V38),1))</f>
        <v>#DIV/0!</v>
      </c>
      <c r="S39" s="3300"/>
      <c r="T39" s="3300"/>
      <c r="U39" s="3300"/>
      <c r="V39" s="3300"/>
      <c r="W39" s="33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25" t="s">
        <v>2642</v>
      </c>
      <c r="AC4" s="3224" t="s">
        <v>2643</v>
      </c>
    </row>
    <row r="5" spans="1:29" ht="15">
      <c r="A5" s="404"/>
      <c r="B5" s="405"/>
      <c r="C5" s="3235" t="s">
        <v>2536</v>
      </c>
      <c r="D5" s="3236"/>
      <c r="E5" s="3233" t="s">
        <v>2537</v>
      </c>
      <c r="F5" s="3234"/>
      <c r="G5" s="3235" t="s">
        <v>2538</v>
      </c>
      <c r="H5" s="3236"/>
      <c r="I5" s="3235" t="s">
        <v>2539</v>
      </c>
      <c r="J5" s="3236"/>
      <c r="K5" s="610"/>
      <c r="L5" s="1130"/>
      <c r="M5" s="1131"/>
      <c r="N5" s="1131"/>
      <c r="O5" s="1131"/>
      <c r="P5" s="3248"/>
      <c r="Q5" s="3249"/>
      <c r="R5" s="3231"/>
      <c r="S5" s="3232"/>
      <c r="T5" s="3231"/>
      <c r="U5" s="3232"/>
      <c r="V5" s="3254"/>
      <c r="W5" s="3254"/>
      <c r="X5" s="1813"/>
      <c r="Y5" s="3231"/>
      <c r="Z5" s="3232"/>
      <c r="AA5" s="3225"/>
      <c r="AB5" s="3225"/>
      <c r="AC5" s="3225"/>
    </row>
    <row r="6" spans="1:29" ht="15.75" thickBot="1">
      <c r="A6" s="406"/>
      <c r="B6" s="407"/>
      <c r="C6" s="3237" t="s">
        <v>2540</v>
      </c>
      <c r="D6" s="3238"/>
      <c r="E6" s="3239" t="s">
        <v>2540</v>
      </c>
      <c r="F6" s="3240"/>
      <c r="G6" s="3237" t="s">
        <v>2540</v>
      </c>
      <c r="H6" s="3238"/>
      <c r="I6" s="3237" t="s">
        <v>2540</v>
      </c>
      <c r="J6" s="3238"/>
      <c r="K6" s="610" t="s">
        <v>2541</v>
      </c>
      <c r="L6" s="1130"/>
      <c r="M6" s="1131"/>
      <c r="N6" s="1131"/>
      <c r="O6" s="1131"/>
      <c r="P6" s="3250"/>
      <c r="Q6" s="3251"/>
      <c r="R6" s="3231"/>
      <c r="S6" s="3232"/>
      <c r="T6" s="3252"/>
      <c r="U6" s="3253"/>
      <c r="V6" s="3254"/>
      <c r="W6" s="3254"/>
      <c r="X6" s="1813"/>
      <c r="Y6" s="3252"/>
      <c r="Z6" s="3253"/>
      <c r="AA6" s="3226"/>
      <c r="AB6" s="3226"/>
      <c r="AC6" s="3226"/>
    </row>
    <row r="7" spans="1:29" s="117" customFormat="1" ht="15.75" thickBot="1">
      <c r="A7" s="408" t="s">
        <v>2542</v>
      </c>
      <c r="B7" s="409"/>
      <c r="C7" s="410">
        <f>'数据-取费表'!B2</f>
        <v>43603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7" t="s">
        <v>2543</v>
      </c>
      <c r="Q7" s="3255"/>
      <c r="R7" s="770" t="s">
        <v>17</v>
      </c>
      <c r="S7" s="771">
        <f t="shared" ref="S7:S14" si="0">F7</f>
        <v>0</v>
      </c>
      <c r="T7" s="770" t="s">
        <v>17</v>
      </c>
      <c r="U7" s="771">
        <f t="shared" ref="U7:U14" si="1">H7</f>
        <v>0</v>
      </c>
      <c r="V7" s="770" t="s">
        <v>17</v>
      </c>
      <c r="W7" s="771">
        <f t="shared" ref="W7:W14" si="2">J7</f>
        <v>0</v>
      </c>
      <c r="X7" s="772"/>
      <c r="Y7" s="3227" t="s">
        <v>2543</v>
      </c>
      <c r="Z7" s="3228"/>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7" t="s">
        <v>2546</v>
      </c>
      <c r="Q8" s="3228"/>
      <c r="R8" s="770" t="s">
        <v>17</v>
      </c>
      <c r="S8" s="771">
        <f t="shared" si="0"/>
        <v>0</v>
      </c>
      <c r="T8" s="770" t="s">
        <v>17</v>
      </c>
      <c r="U8" s="771">
        <f t="shared" si="1"/>
        <v>0</v>
      </c>
      <c r="V8" s="770" t="s">
        <v>17</v>
      </c>
      <c r="W8" s="771">
        <f t="shared" si="2"/>
        <v>0</v>
      </c>
      <c r="X8" s="772"/>
      <c r="Y8" s="3227" t="s">
        <v>2546</v>
      </c>
      <c r="Z8" s="3228"/>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1" t="s">
        <v>2549</v>
      </c>
      <c r="Q9" s="1795" t="str">
        <f t="shared" ref="Q9:Q14" si="6">B9</f>
        <v>用途</v>
      </c>
      <c r="R9" s="770" t="s">
        <v>17</v>
      </c>
      <c r="S9" s="771">
        <f t="shared" si="0"/>
        <v>100</v>
      </c>
      <c r="T9" s="770" t="s">
        <v>17</v>
      </c>
      <c r="U9" s="771">
        <f t="shared" si="1"/>
        <v>100</v>
      </c>
      <c r="V9" s="770" t="s">
        <v>17</v>
      </c>
      <c r="W9" s="771">
        <f t="shared" si="2"/>
        <v>100</v>
      </c>
      <c r="X9" s="772"/>
      <c r="Y9" s="3073"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7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1"/>
      <c r="Q11" s="1795">
        <f t="shared" si="6"/>
        <v>111</v>
      </c>
      <c r="R11" s="770" t="s">
        <v>17</v>
      </c>
      <c r="S11" s="771">
        <f t="shared" si="0"/>
        <v>100</v>
      </c>
      <c r="T11" s="770" t="s">
        <v>17</v>
      </c>
      <c r="U11" s="771">
        <f t="shared" si="1"/>
        <v>100</v>
      </c>
      <c r="V11" s="770" t="s">
        <v>17</v>
      </c>
      <c r="W11" s="771">
        <f t="shared" si="2"/>
        <v>100</v>
      </c>
      <c r="X11" s="772"/>
      <c r="Y11" s="307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2554</v>
      </c>
      <c r="Q14" s="1810" t="str">
        <f t="shared" si="6"/>
        <v>交通便捷度</v>
      </c>
      <c r="R14" s="774" t="s">
        <v>17</v>
      </c>
      <c r="S14" s="775">
        <f t="shared" si="0"/>
        <v>100</v>
      </c>
      <c r="T14" s="774" t="s">
        <v>17</v>
      </c>
      <c r="U14" s="775">
        <f t="shared" si="1"/>
        <v>100</v>
      </c>
      <c r="V14" s="774" t="s">
        <v>17</v>
      </c>
      <c r="W14" s="775">
        <f t="shared" si="2"/>
        <v>100</v>
      </c>
      <c r="X14" s="1813"/>
      <c r="Y14" s="3256"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7"/>
      <c r="Q15" s="1810"/>
      <c r="R15" s="774"/>
      <c r="S15" s="775"/>
      <c r="T15" s="774"/>
      <c r="U15" s="775"/>
      <c r="V15" s="774"/>
      <c r="W15" s="775"/>
      <c r="X15" s="1813"/>
      <c r="Y15" s="3257"/>
      <c r="Z15" s="1814"/>
      <c r="AA15" s="1811">
        <v>1</v>
      </c>
      <c r="AB15" s="1811">
        <v>1</v>
      </c>
      <c r="AC15" s="1811">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10" t="str">
        <f>B16</f>
        <v>公共配套设施</v>
      </c>
      <c r="R16" s="774" t="s">
        <v>17</v>
      </c>
      <c r="S16" s="775">
        <f>F16</f>
        <v>100</v>
      </c>
      <c r="T16" s="774" t="s">
        <v>17</v>
      </c>
      <c r="U16" s="775">
        <f>H16</f>
        <v>100</v>
      </c>
      <c r="V16" s="774" t="s">
        <v>17</v>
      </c>
      <c r="W16" s="775">
        <f>J16</f>
        <v>100</v>
      </c>
      <c r="X16" s="1813"/>
      <c r="Y16" s="3257"/>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57"/>
      <c r="Q17" s="1810"/>
      <c r="R17" s="774"/>
      <c r="S17" s="775"/>
      <c r="T17" s="774"/>
      <c r="U17" s="775"/>
      <c r="V17" s="774"/>
      <c r="W17" s="775"/>
      <c r="X17" s="1813"/>
      <c r="Y17" s="3257"/>
      <c r="Z17" s="1814"/>
      <c r="AA17" s="1811">
        <v>1</v>
      </c>
      <c r="AB17" s="1811">
        <v>1</v>
      </c>
      <c r="AC17" s="1811">
        <v>1</v>
      </c>
    </row>
    <row r="18" spans="1:29" ht="28.5">
      <c r="A18" s="428"/>
      <c r="B18" s="1384"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10" t="str">
        <f>B18</f>
        <v>基础设施水平</v>
      </c>
      <c r="R18" s="774" t="s">
        <v>17</v>
      </c>
      <c r="S18" s="775">
        <f>F18</f>
        <v>100</v>
      </c>
      <c r="T18" s="774" t="s">
        <v>17</v>
      </c>
      <c r="U18" s="775">
        <f>H18</f>
        <v>100</v>
      </c>
      <c r="V18" s="774" t="s">
        <v>17</v>
      </c>
      <c r="W18" s="775">
        <f>J18</f>
        <v>100</v>
      </c>
      <c r="X18" s="1813"/>
      <c r="Y18" s="3257"/>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57"/>
      <c r="Q19" s="1810"/>
      <c r="R19" s="774"/>
      <c r="S19" s="775"/>
      <c r="T19" s="774"/>
      <c r="U19" s="775"/>
      <c r="V19" s="774"/>
      <c r="W19" s="775"/>
      <c r="X19" s="1813"/>
      <c r="Y19" s="3257"/>
      <c r="Z19" s="1814"/>
      <c r="AA19" s="1811">
        <v>1</v>
      </c>
      <c r="AB19" s="1811">
        <v>1</v>
      </c>
      <c r="AC19" s="1811">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10" t="str">
        <f>B20</f>
        <v>自然及人文环境</v>
      </c>
      <c r="R20" s="774" t="s">
        <v>17</v>
      </c>
      <c r="S20" s="775">
        <f>F20</f>
        <v>100</v>
      </c>
      <c r="T20" s="774" t="s">
        <v>17</v>
      </c>
      <c r="U20" s="775">
        <f>H20</f>
        <v>100</v>
      </c>
      <c r="V20" s="774" t="s">
        <v>17</v>
      </c>
      <c r="W20" s="775">
        <f>J20</f>
        <v>100</v>
      </c>
      <c r="X20" s="1813"/>
      <c r="Y20" s="325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7"/>
      <c r="Q21" s="1810"/>
      <c r="R21" s="774"/>
      <c r="S21" s="775"/>
      <c r="T21" s="774"/>
      <c r="U21" s="775"/>
      <c r="V21" s="774"/>
      <c r="W21" s="775"/>
      <c r="X21" s="1813"/>
      <c r="Y21" s="3257"/>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10" t="str">
        <f>B22</f>
        <v>楼层</v>
      </c>
      <c r="R22" s="774" t="s">
        <v>17</v>
      </c>
      <c r="S22" s="775">
        <f>F22</f>
        <v>100</v>
      </c>
      <c r="T22" s="774" t="s">
        <v>17</v>
      </c>
      <c r="U22" s="775">
        <f>H22</f>
        <v>100</v>
      </c>
      <c r="V22" s="774" t="s">
        <v>17</v>
      </c>
      <c r="W22" s="775">
        <f>J22</f>
        <v>100</v>
      </c>
      <c r="X22" s="1813"/>
      <c r="Y22" s="3257"/>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10">
        <f>B23</f>
        <v>111</v>
      </c>
      <c r="R23" s="774" t="s">
        <v>17</v>
      </c>
      <c r="S23" s="775">
        <f>F23</f>
        <v>100</v>
      </c>
      <c r="T23" s="774" t="s">
        <v>17</v>
      </c>
      <c r="U23" s="775">
        <f>H23</f>
        <v>100</v>
      </c>
      <c r="V23" s="774" t="s">
        <v>17</v>
      </c>
      <c r="W23" s="775">
        <f>J23</f>
        <v>100</v>
      </c>
      <c r="X23" s="1813"/>
      <c r="Y23" s="3257"/>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10">
        <f t="shared" ref="Q24:Q34" si="11">B24</f>
        <v>111</v>
      </c>
      <c r="R24" s="774" t="s">
        <v>17</v>
      </c>
      <c r="S24" s="775">
        <f>F24</f>
        <v>100</v>
      </c>
      <c r="T24" s="774" t="s">
        <v>17</v>
      </c>
      <c r="U24" s="775">
        <f>H24</f>
        <v>100</v>
      </c>
      <c r="V24" s="774" t="s">
        <v>17</v>
      </c>
      <c r="W24" s="775">
        <f>J24</f>
        <v>100</v>
      </c>
      <c r="X24" s="1813"/>
      <c r="Y24" s="3257"/>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57"/>
      <c r="Q25" s="1795">
        <f t="shared" si="11"/>
        <v>111</v>
      </c>
      <c r="R25" s="770" t="s">
        <v>17</v>
      </c>
      <c r="S25" s="771">
        <f>F25</f>
        <v>100</v>
      </c>
      <c r="T25" s="770" t="s">
        <v>17</v>
      </c>
      <c r="U25" s="771">
        <f>H25</f>
        <v>100</v>
      </c>
      <c r="V25" s="770" t="s">
        <v>17</v>
      </c>
      <c r="W25" s="771">
        <f>J25</f>
        <v>100</v>
      </c>
      <c r="X25" s="772"/>
      <c r="Y25" s="3257"/>
      <c r="Z25" s="55">
        <f>Q25</f>
        <v>111</v>
      </c>
      <c r="AA25" s="1811">
        <f>D25/F25</f>
        <v>1</v>
      </c>
      <c r="AB25" s="1811">
        <f>D25/H25</f>
        <v>1</v>
      </c>
      <c r="AC25" s="1811">
        <f>D25/J25</f>
        <v>1</v>
      </c>
    </row>
    <row r="26" spans="1:29" ht="28.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8"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9"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9"/>
      <c r="Q27" s="776" t="str">
        <f t="shared" si="11"/>
        <v>成新率</v>
      </c>
      <c r="R27" s="777" t="s">
        <v>17</v>
      </c>
      <c r="S27" s="778" t="e">
        <f t="shared" si="12"/>
        <v>#N/A</v>
      </c>
      <c r="T27" s="777" t="s">
        <v>17</v>
      </c>
      <c r="U27" s="778" t="e">
        <f t="shared" si="13"/>
        <v>#N/A</v>
      </c>
      <c r="V27" s="777" t="s">
        <v>17</v>
      </c>
      <c r="W27" s="778" t="e">
        <f t="shared" si="14"/>
        <v>#N/A</v>
      </c>
      <c r="X27" s="779"/>
      <c r="Y27" s="3259"/>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9"/>
      <c r="Q28" s="1810" t="str">
        <f t="shared" si="11"/>
        <v>物业等级</v>
      </c>
      <c r="R28" s="774" t="s">
        <v>17</v>
      </c>
      <c r="S28" s="775">
        <f t="shared" si="12"/>
        <v>100</v>
      </c>
      <c r="T28" s="774" t="s">
        <v>17</v>
      </c>
      <c r="U28" s="775">
        <f t="shared" si="13"/>
        <v>100</v>
      </c>
      <c r="V28" s="774" t="s">
        <v>17</v>
      </c>
      <c r="W28" s="775">
        <f t="shared" si="14"/>
        <v>100</v>
      </c>
      <c r="X28" s="1813"/>
      <c r="Y28" s="3259"/>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9"/>
      <c r="Q29" s="1810" t="str">
        <f t="shared" si="11"/>
        <v>有无电梯</v>
      </c>
      <c r="R29" s="774" t="s">
        <v>17</v>
      </c>
      <c r="S29" s="775">
        <f t="shared" si="12"/>
        <v>100</v>
      </c>
      <c r="T29" s="774" t="s">
        <v>17</v>
      </c>
      <c r="U29" s="775">
        <f t="shared" si="13"/>
        <v>100</v>
      </c>
      <c r="V29" s="774" t="s">
        <v>17</v>
      </c>
      <c r="W29" s="775">
        <f t="shared" si="14"/>
        <v>100</v>
      </c>
      <c r="X29" s="1813"/>
      <c r="Y29" s="3259"/>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9"/>
      <c r="Q30" s="1810" t="str">
        <f t="shared" si="11"/>
        <v>建筑面积</v>
      </c>
      <c r="R30" s="774" t="s">
        <v>17</v>
      </c>
      <c r="S30" s="775" t="e">
        <f t="shared" si="12"/>
        <v>#N/A</v>
      </c>
      <c r="T30" s="774" t="s">
        <v>17</v>
      </c>
      <c r="U30" s="775" t="e">
        <f t="shared" si="13"/>
        <v>#N/A</v>
      </c>
      <c r="V30" s="774" t="s">
        <v>17</v>
      </c>
      <c r="W30" s="775" t="e">
        <f t="shared" si="14"/>
        <v>#N/A</v>
      </c>
      <c r="X30" s="1813"/>
      <c r="Y30" s="3259"/>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9"/>
      <c r="Q31" s="1795" t="str">
        <f t="shared" si="11"/>
        <v>是否封闭</v>
      </c>
      <c r="R31" s="770" t="s">
        <v>17</v>
      </c>
      <c r="S31" s="771">
        <f t="shared" si="12"/>
        <v>100</v>
      </c>
      <c r="T31" s="770" t="s">
        <v>17</v>
      </c>
      <c r="U31" s="771">
        <f t="shared" si="13"/>
        <v>100</v>
      </c>
      <c r="V31" s="770" t="s">
        <v>17</v>
      </c>
      <c r="W31" s="771">
        <f t="shared" si="14"/>
        <v>100</v>
      </c>
      <c r="X31" s="772"/>
      <c r="Y31" s="325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9" t="s">
        <v>2559</v>
      </c>
      <c r="Q32" s="1810">
        <f t="shared" si="11"/>
        <v>111</v>
      </c>
      <c r="R32" s="774" t="s">
        <v>17</v>
      </c>
      <c r="S32" s="775">
        <f t="shared" si="12"/>
        <v>100</v>
      </c>
      <c r="T32" s="774" t="s">
        <v>17</v>
      </c>
      <c r="U32" s="775">
        <f t="shared" si="13"/>
        <v>100</v>
      </c>
      <c r="V32" s="774" t="s">
        <v>17</v>
      </c>
      <c r="W32" s="775">
        <f t="shared" si="14"/>
        <v>100</v>
      </c>
      <c r="X32" s="1813"/>
      <c r="Y32" s="3259" t="s">
        <v>2559</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9"/>
      <c r="Q33" s="1810">
        <f t="shared" si="11"/>
        <v>111</v>
      </c>
      <c r="R33" s="774" t="s">
        <v>17</v>
      </c>
      <c r="S33" s="775">
        <f t="shared" si="12"/>
        <v>100</v>
      </c>
      <c r="T33" s="774" t="s">
        <v>17</v>
      </c>
      <c r="U33" s="775">
        <f t="shared" si="13"/>
        <v>100</v>
      </c>
      <c r="V33" s="774" t="s">
        <v>17</v>
      </c>
      <c r="W33" s="775">
        <f t="shared" si="14"/>
        <v>100</v>
      </c>
      <c r="X33" s="1813"/>
      <c r="Y33" s="3259"/>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59"/>
      <c r="Q34" s="1810">
        <f t="shared" si="11"/>
        <v>111</v>
      </c>
      <c r="R34" s="774" t="s">
        <v>17</v>
      </c>
      <c r="S34" s="775">
        <f t="shared" si="12"/>
        <v>100</v>
      </c>
      <c r="T34" s="774" t="s">
        <v>17</v>
      </c>
      <c r="U34" s="775">
        <f t="shared" si="13"/>
        <v>100</v>
      </c>
      <c r="V34" s="774" t="s">
        <v>17</v>
      </c>
      <c r="W34" s="775">
        <f t="shared" si="14"/>
        <v>100</v>
      </c>
      <c r="X34" s="1813"/>
      <c r="Y34" s="3259"/>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41" t="str">
        <f>A35</f>
        <v>成交单价（元/平方米）</v>
      </c>
      <c r="Q35" s="3241"/>
      <c r="R35" s="3301">
        <f>E35</f>
        <v>0</v>
      </c>
      <c r="S35" s="3301"/>
      <c r="T35" s="3301">
        <f>G35</f>
        <v>0</v>
      </c>
      <c r="U35" s="3301"/>
      <c r="V35" s="3301">
        <f>I35</f>
        <v>0</v>
      </c>
      <c r="W35" s="3301"/>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41" t="str">
        <f>A36</f>
        <v>比较价值（元/平方米）</v>
      </c>
      <c r="Q36" s="3241"/>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61" t="str">
        <f>A37</f>
        <v>估价对象XX用房的比较价值（楼面单价，元/平方米）</v>
      </c>
      <c r="Q37" s="3262"/>
      <c r="R37" s="3300" t="e">
        <f>IF(F1="售价",ROUND(AVERAGE(R36:V36),0),ROUND(AVERAGE(R36:V36),1))</f>
        <v>#DIV/0!</v>
      </c>
      <c r="S37" s="3300"/>
      <c r="T37" s="3300"/>
      <c r="U37" s="3300"/>
      <c r="V37" s="3300"/>
      <c r="W37" s="33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2" t="s">
        <v>2640</v>
      </c>
      <c r="D4" s="3243"/>
      <c r="E4" s="3244" t="s">
        <v>2641</v>
      </c>
      <c r="F4" s="3245"/>
      <c r="G4" s="3242" t="s">
        <v>2642</v>
      </c>
      <c r="H4" s="3243"/>
      <c r="I4" s="3242" t="s">
        <v>2643</v>
      </c>
      <c r="J4" s="3243"/>
      <c r="K4" s="610" t="s">
        <v>2644</v>
      </c>
      <c r="L4" s="1130"/>
      <c r="M4" s="1131"/>
      <c r="N4" s="1131"/>
      <c r="O4" s="1131"/>
      <c r="P4" s="3246" t="s">
        <v>2645</v>
      </c>
      <c r="Q4" s="3247"/>
      <c r="R4" s="3229" t="s">
        <v>2641</v>
      </c>
      <c r="S4" s="3230"/>
      <c r="T4" s="3229" t="s">
        <v>2642</v>
      </c>
      <c r="U4" s="3230"/>
      <c r="V4" s="3254" t="s">
        <v>2643</v>
      </c>
      <c r="W4" s="3254"/>
      <c r="X4" s="1813"/>
      <c r="Y4" s="3229" t="s">
        <v>2645</v>
      </c>
      <c r="Z4" s="3230"/>
      <c r="AA4" s="3224" t="s">
        <v>2641</v>
      </c>
      <c r="AB4" s="3225" t="s">
        <v>2642</v>
      </c>
      <c r="AC4" s="3224" t="s">
        <v>2643</v>
      </c>
    </row>
    <row r="5" spans="1:29" ht="15">
      <c r="A5" s="404"/>
      <c r="B5" s="405"/>
      <c r="C5" s="3235" t="s">
        <v>2536</v>
      </c>
      <c r="D5" s="3236"/>
      <c r="E5" s="3233" t="s">
        <v>2537</v>
      </c>
      <c r="F5" s="3234"/>
      <c r="G5" s="3235" t="s">
        <v>2538</v>
      </c>
      <c r="H5" s="3236"/>
      <c r="I5" s="3235" t="s">
        <v>2539</v>
      </c>
      <c r="J5" s="3236"/>
      <c r="K5" s="610"/>
      <c r="L5" s="1130"/>
      <c r="M5" s="1131"/>
      <c r="N5" s="1131"/>
      <c r="O5" s="1131"/>
      <c r="P5" s="3248"/>
      <c r="Q5" s="3249"/>
      <c r="R5" s="3231"/>
      <c r="S5" s="3232"/>
      <c r="T5" s="3231"/>
      <c r="U5" s="3232"/>
      <c r="V5" s="3254"/>
      <c r="W5" s="3254"/>
      <c r="X5" s="1813"/>
      <c r="Y5" s="3231"/>
      <c r="Z5" s="3232"/>
      <c r="AA5" s="3225"/>
      <c r="AB5" s="3225"/>
      <c r="AC5" s="3225"/>
    </row>
    <row r="6" spans="1:29" ht="15.75" thickBot="1">
      <c r="A6" s="406"/>
      <c r="B6" s="407"/>
      <c r="C6" s="3323" t="s">
        <v>2790</v>
      </c>
      <c r="D6" s="3324"/>
      <c r="E6" s="3325" t="s">
        <v>2790</v>
      </c>
      <c r="F6" s="3326"/>
      <c r="G6" s="3323" t="s">
        <v>2790</v>
      </c>
      <c r="H6" s="3324"/>
      <c r="I6" s="3323" t="s">
        <v>2790</v>
      </c>
      <c r="J6" s="3324"/>
      <c r="K6" s="610" t="s">
        <v>2541</v>
      </c>
      <c r="L6" s="1130"/>
      <c r="M6" s="1131"/>
      <c r="N6" s="1131"/>
      <c r="O6" s="1131"/>
      <c r="P6" s="3250"/>
      <c r="Q6" s="3251"/>
      <c r="R6" s="3231"/>
      <c r="S6" s="3232"/>
      <c r="T6" s="3252"/>
      <c r="U6" s="3253"/>
      <c r="V6" s="3254"/>
      <c r="W6" s="3254"/>
      <c r="X6" s="1813"/>
      <c r="Y6" s="3252"/>
      <c r="Z6" s="3253"/>
      <c r="AA6" s="3226"/>
      <c r="AB6" s="3226"/>
      <c r="AC6" s="3226"/>
    </row>
    <row r="7" spans="1:29" s="117" customFormat="1" ht="15.75" thickBot="1">
      <c r="A7" s="408" t="s">
        <v>2542</v>
      </c>
      <c r="B7" s="409"/>
      <c r="C7" s="410">
        <f>'数据-取费表'!B2</f>
        <v>43603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7" t="s">
        <v>2543</v>
      </c>
      <c r="Q7" s="3255"/>
      <c r="R7" s="770" t="s">
        <v>17</v>
      </c>
      <c r="S7" s="771">
        <f t="shared" ref="S7:S15" si="0">F7</f>
        <v>0</v>
      </c>
      <c r="T7" s="770" t="s">
        <v>17</v>
      </c>
      <c r="U7" s="771">
        <f t="shared" ref="U7:U15" si="1">H7</f>
        <v>0</v>
      </c>
      <c r="V7" s="770" t="s">
        <v>17</v>
      </c>
      <c r="W7" s="771">
        <f t="shared" ref="W7:W15" si="2">J7</f>
        <v>0</v>
      </c>
      <c r="X7" s="772"/>
      <c r="Y7" s="3227" t="s">
        <v>2543</v>
      </c>
      <c r="Z7" s="3228"/>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7" t="s">
        <v>2546</v>
      </c>
      <c r="Q8" s="3228"/>
      <c r="R8" s="770" t="s">
        <v>17</v>
      </c>
      <c r="S8" s="771">
        <f t="shared" si="0"/>
        <v>0</v>
      </c>
      <c r="T8" s="770" t="s">
        <v>17</v>
      </c>
      <c r="U8" s="771">
        <f t="shared" si="1"/>
        <v>0</v>
      </c>
      <c r="V8" s="770" t="s">
        <v>17</v>
      </c>
      <c r="W8" s="771">
        <f t="shared" si="2"/>
        <v>0</v>
      </c>
      <c r="X8" s="772"/>
      <c r="Y8" s="3227" t="s">
        <v>2546</v>
      </c>
      <c r="Z8" s="3228"/>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1" t="s">
        <v>2549</v>
      </c>
      <c r="Q9" s="1795" t="str">
        <f t="shared" ref="Q9:Q15" si="6">B9</f>
        <v>用途</v>
      </c>
      <c r="R9" s="770" t="s">
        <v>17</v>
      </c>
      <c r="S9" s="771">
        <f t="shared" si="0"/>
        <v>100</v>
      </c>
      <c r="T9" s="770" t="s">
        <v>17</v>
      </c>
      <c r="U9" s="771">
        <f t="shared" si="1"/>
        <v>100</v>
      </c>
      <c r="V9" s="770" t="s">
        <v>17</v>
      </c>
      <c r="W9" s="771">
        <f t="shared" si="2"/>
        <v>100</v>
      </c>
      <c r="X9" s="772"/>
      <c r="Y9" s="3073"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41"/>
      <c r="Q10" s="1795" t="str">
        <f t="shared" si="6"/>
        <v>土地使用年限（年）</v>
      </c>
      <c r="R10" s="770" t="s">
        <v>17</v>
      </c>
      <c r="S10" s="771">
        <f t="shared" si="0"/>
        <v>102</v>
      </c>
      <c r="T10" s="770" t="s">
        <v>17</v>
      </c>
      <c r="U10" s="771">
        <f t="shared" si="1"/>
        <v>102</v>
      </c>
      <c r="V10" s="770" t="s">
        <v>17</v>
      </c>
      <c r="W10" s="771">
        <f t="shared" si="2"/>
        <v>102</v>
      </c>
      <c r="X10" s="772"/>
      <c r="Y10" s="3073"/>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7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7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7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73"/>
      <c r="Z14" s="55">
        <f t="shared" si="7"/>
        <v>111</v>
      </c>
      <c r="AA14" s="773">
        <f t="shared" si="3"/>
        <v>1</v>
      </c>
      <c r="AB14" s="773">
        <f t="shared" si="4"/>
        <v>1</v>
      </c>
      <c r="AC14" s="773">
        <f t="shared" si="5"/>
        <v>1</v>
      </c>
    </row>
    <row r="15" spans="1:29" ht="57">
      <c r="A15" s="440" t="s">
        <v>2553</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6" t="s">
        <v>2554</v>
      </c>
      <c r="Q15" s="1810" t="str">
        <f t="shared" si="6"/>
        <v>产业集聚程度</v>
      </c>
      <c r="R15" s="774" t="s">
        <v>17</v>
      </c>
      <c r="S15" s="775">
        <f t="shared" si="0"/>
        <v>100</v>
      </c>
      <c r="T15" s="774" t="s">
        <v>17</v>
      </c>
      <c r="U15" s="775">
        <f t="shared" si="1"/>
        <v>100</v>
      </c>
      <c r="V15" s="774" t="s">
        <v>17</v>
      </c>
      <c r="W15" s="775">
        <f t="shared" si="2"/>
        <v>100</v>
      </c>
      <c r="X15" s="1813"/>
      <c r="Y15" s="3256" t="s">
        <v>2554</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57"/>
      <c r="Q16" s="1810"/>
      <c r="R16" s="774"/>
      <c r="S16" s="775"/>
      <c r="T16" s="774"/>
      <c r="U16" s="775"/>
      <c r="V16" s="774"/>
      <c r="W16" s="775"/>
      <c r="X16" s="1813"/>
      <c r="Y16" s="3257"/>
      <c r="Z16" s="1814"/>
      <c r="AA16" s="1811">
        <v>1</v>
      </c>
      <c r="AB16" s="1811">
        <v>1</v>
      </c>
      <c r="AC16" s="1811">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7"/>
      <c r="Q17" s="1810" t="str">
        <f>B17</f>
        <v>交通便捷度</v>
      </c>
      <c r="R17" s="774" t="s">
        <v>17</v>
      </c>
      <c r="S17" s="775">
        <f>F17</f>
        <v>100</v>
      </c>
      <c r="T17" s="774" t="s">
        <v>17</v>
      </c>
      <c r="U17" s="775">
        <f>H17</f>
        <v>100</v>
      </c>
      <c r="V17" s="774" t="s">
        <v>17</v>
      </c>
      <c r="W17" s="775">
        <f>J17</f>
        <v>100</v>
      </c>
      <c r="X17" s="1813"/>
      <c r="Y17" s="3257"/>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57"/>
      <c r="Q18" s="1810"/>
      <c r="R18" s="774"/>
      <c r="S18" s="775"/>
      <c r="T18" s="774"/>
      <c r="U18" s="775"/>
      <c r="V18" s="774"/>
      <c r="W18" s="775"/>
      <c r="X18" s="1813"/>
      <c r="Y18" s="3257"/>
      <c r="Z18" s="1814"/>
      <c r="AA18" s="1811">
        <v>1</v>
      </c>
      <c r="AB18" s="1811">
        <v>1</v>
      </c>
      <c r="AC18" s="1811">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7"/>
      <c r="Q19" s="1810" t="str">
        <f t="shared" ref="Q19:Q33" si="8">B19</f>
        <v>区域土地利用方向</v>
      </c>
      <c r="R19" s="774" t="s">
        <v>17</v>
      </c>
      <c r="S19" s="775">
        <f>F19</f>
        <v>100</v>
      </c>
      <c r="T19" s="774" t="s">
        <v>17</v>
      </c>
      <c r="U19" s="775">
        <f>H19</f>
        <v>100</v>
      </c>
      <c r="V19" s="774" t="s">
        <v>17</v>
      </c>
      <c r="W19" s="775">
        <f>J19</f>
        <v>100</v>
      </c>
      <c r="X19" s="1813"/>
      <c r="Y19" s="3257"/>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57"/>
      <c r="Q20" s="1810"/>
      <c r="R20" s="774"/>
      <c r="S20" s="775"/>
      <c r="T20" s="774"/>
      <c r="U20" s="775"/>
      <c r="V20" s="774"/>
      <c r="W20" s="775"/>
      <c r="X20" s="1813"/>
      <c r="Y20" s="3257"/>
      <c r="Z20" s="1814"/>
      <c r="AA20" s="1811"/>
      <c r="AB20" s="1811"/>
      <c r="AC20" s="1811"/>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7"/>
      <c r="Q21" s="1810" t="str">
        <f t="shared" si="8"/>
        <v>环境状况</v>
      </c>
      <c r="R21" s="774" t="s">
        <v>17</v>
      </c>
      <c r="S21" s="775">
        <f>F21</f>
        <v>100</v>
      </c>
      <c r="T21" s="774" t="s">
        <v>17</v>
      </c>
      <c r="U21" s="775">
        <f>H21</f>
        <v>100</v>
      </c>
      <c r="V21" s="774" t="s">
        <v>17</v>
      </c>
      <c r="W21" s="775">
        <f>J21</f>
        <v>100</v>
      </c>
      <c r="X21" s="1813"/>
      <c r="Y21" s="3257"/>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57"/>
      <c r="Q22" s="1810"/>
      <c r="R22" s="774"/>
      <c r="S22" s="775"/>
      <c r="T22" s="774"/>
      <c r="U22" s="775"/>
      <c r="V22" s="774"/>
      <c r="W22" s="775"/>
      <c r="X22" s="1813"/>
      <c r="Y22" s="3257"/>
      <c r="Z22" s="1814"/>
      <c r="AA22" s="1811">
        <v>1</v>
      </c>
      <c r="AB22" s="1811">
        <v>1</v>
      </c>
      <c r="AC22" s="1811">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7"/>
      <c r="Q23" s="1795" t="str">
        <f t="shared" si="8"/>
        <v>公共配套设施</v>
      </c>
      <c r="R23" s="770" t="s">
        <v>17</v>
      </c>
      <c r="S23" s="771">
        <f>F23</f>
        <v>100</v>
      </c>
      <c r="T23" s="770" t="s">
        <v>17</v>
      </c>
      <c r="U23" s="771">
        <f>H23</f>
        <v>100</v>
      </c>
      <c r="V23" s="770" t="s">
        <v>17</v>
      </c>
      <c r="W23" s="771">
        <f>J23</f>
        <v>100</v>
      </c>
      <c r="X23" s="772"/>
      <c r="Y23" s="3257"/>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57"/>
      <c r="Q24" s="1795"/>
      <c r="R24" s="770"/>
      <c r="S24" s="771"/>
      <c r="T24" s="770"/>
      <c r="U24" s="771"/>
      <c r="V24" s="770"/>
      <c r="W24" s="771"/>
      <c r="X24" s="772"/>
      <c r="Y24" s="3257"/>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7"/>
      <c r="Q25" s="1795" t="str">
        <f t="shared" ref="Q25" si="9">B25</f>
        <v>基础设施水平</v>
      </c>
      <c r="R25" s="770" t="s">
        <v>17</v>
      </c>
      <c r="S25" s="771">
        <f>F25</f>
        <v>100</v>
      </c>
      <c r="T25" s="770" t="s">
        <v>17</v>
      </c>
      <c r="U25" s="771">
        <f>H25</f>
        <v>100</v>
      </c>
      <c r="V25" s="770" t="s">
        <v>17</v>
      </c>
      <c r="W25" s="771">
        <f>J25</f>
        <v>100</v>
      </c>
      <c r="X25" s="772"/>
      <c r="Y25" s="3257"/>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57"/>
      <c r="Q26" s="1795"/>
      <c r="R26" s="770"/>
      <c r="S26" s="771"/>
      <c r="T26" s="770"/>
      <c r="U26" s="771"/>
      <c r="V26" s="770"/>
      <c r="W26" s="771"/>
      <c r="X26" s="772"/>
      <c r="Y26" s="3257"/>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7"/>
      <c r="Z27" s="1814" t="str">
        <f t="shared" ref="Z27:Z40" si="13">Q27</f>
        <v>临街状况</v>
      </c>
      <c r="AA27" s="1811">
        <f t="shared" si="3"/>
        <v>1</v>
      </c>
      <c r="AB27" s="1811">
        <f t="shared" si="4"/>
        <v>1</v>
      </c>
      <c r="AC27" s="1811">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10" t="str">
        <f t="shared" si="8"/>
        <v>毗邻道路的类型与等级</v>
      </c>
      <c r="R28" s="774" t="s">
        <v>17</v>
      </c>
      <c r="S28" s="775">
        <f t="shared" si="10"/>
        <v>100</v>
      </c>
      <c r="T28" s="774" t="s">
        <v>17</v>
      </c>
      <c r="U28" s="775">
        <f t="shared" si="11"/>
        <v>100</v>
      </c>
      <c r="V28" s="774" t="s">
        <v>17</v>
      </c>
      <c r="W28" s="775">
        <f t="shared" si="12"/>
        <v>100</v>
      </c>
      <c r="X28" s="1813"/>
      <c r="Y28" s="3257"/>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57"/>
      <c r="Q29" s="1810"/>
      <c r="R29" s="774"/>
      <c r="S29" s="775"/>
      <c r="T29" s="774"/>
      <c r="U29" s="775"/>
      <c r="V29" s="774"/>
      <c r="W29" s="775"/>
      <c r="X29" s="1813"/>
      <c r="Y29" s="3257"/>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10" t="str">
        <f t="shared" si="8"/>
        <v>土地级别</v>
      </c>
      <c r="R30" s="774" t="s">
        <v>17</v>
      </c>
      <c r="S30" s="775">
        <f t="shared" si="10"/>
        <v>100</v>
      </c>
      <c r="T30" s="774" t="s">
        <v>17</v>
      </c>
      <c r="U30" s="775">
        <f t="shared" si="11"/>
        <v>100</v>
      </c>
      <c r="V30" s="774" t="s">
        <v>17</v>
      </c>
      <c r="W30" s="775">
        <f t="shared" si="12"/>
        <v>100</v>
      </c>
      <c r="X30" s="1813"/>
      <c r="Y30" s="3257"/>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10">
        <f t="shared" si="8"/>
        <v>111</v>
      </c>
      <c r="R31" s="774" t="s">
        <v>17</v>
      </c>
      <c r="S31" s="775">
        <f t="shared" si="10"/>
        <v>100</v>
      </c>
      <c r="T31" s="774" t="s">
        <v>17</v>
      </c>
      <c r="U31" s="775">
        <f t="shared" si="11"/>
        <v>100</v>
      </c>
      <c r="V31" s="774" t="s">
        <v>17</v>
      </c>
      <c r="W31" s="775">
        <f t="shared" si="12"/>
        <v>100</v>
      </c>
      <c r="X31" s="1813"/>
      <c r="Y31" s="3257"/>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2559</v>
      </c>
      <c r="Q32" s="1810">
        <f t="shared" si="8"/>
        <v>111</v>
      </c>
      <c r="R32" s="774" t="s">
        <v>17</v>
      </c>
      <c r="S32" s="775">
        <f t="shared" si="10"/>
        <v>100</v>
      </c>
      <c r="T32" s="774" t="s">
        <v>17</v>
      </c>
      <c r="U32" s="775">
        <f t="shared" si="11"/>
        <v>100</v>
      </c>
      <c r="V32" s="774" t="s">
        <v>17</v>
      </c>
      <c r="W32" s="775">
        <f t="shared" si="12"/>
        <v>100</v>
      </c>
      <c r="X32" s="1813"/>
      <c r="Y32" s="3259" t="s">
        <v>2559</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9"/>
      <c r="Q33" s="1810">
        <f t="shared" si="8"/>
        <v>111</v>
      </c>
      <c r="R33" s="777" t="s">
        <v>17</v>
      </c>
      <c r="S33" s="778">
        <f t="shared" si="10"/>
        <v>100</v>
      </c>
      <c r="T33" s="777" t="s">
        <v>17</v>
      </c>
      <c r="U33" s="778">
        <f t="shared" si="11"/>
        <v>100</v>
      </c>
      <c r="V33" s="777" t="s">
        <v>17</v>
      </c>
      <c r="W33" s="778">
        <f t="shared" si="12"/>
        <v>100</v>
      </c>
      <c r="X33" s="779"/>
      <c r="Y33" s="3259"/>
      <c r="Z33" s="780">
        <f t="shared" si="13"/>
        <v>111</v>
      </c>
      <c r="AA33" s="1811">
        <f t="shared" si="3"/>
        <v>1</v>
      </c>
      <c r="AB33" s="1811">
        <f t="shared" si="4"/>
        <v>1</v>
      </c>
      <c r="AC33" s="1811">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9"/>
      <c r="Q34" s="1810" t="str">
        <f>B34</f>
        <v>宗地面积</v>
      </c>
      <c r="R34" s="774" t="s">
        <v>17</v>
      </c>
      <c r="S34" s="775" t="e">
        <f t="shared" si="10"/>
        <v>#N/A</v>
      </c>
      <c r="T34" s="774" t="s">
        <v>17</v>
      </c>
      <c r="U34" s="775" t="e">
        <f t="shared" si="11"/>
        <v>#N/A</v>
      </c>
      <c r="V34" s="774" t="s">
        <v>17</v>
      </c>
      <c r="W34" s="775" t="e">
        <f t="shared" si="12"/>
        <v>#N/A</v>
      </c>
      <c r="X34" s="1813"/>
      <c r="Y34" s="3259"/>
      <c r="Z34" s="1814" t="str">
        <f t="shared" si="13"/>
        <v>宗地面积</v>
      </c>
      <c r="AA34" s="1811" t="e">
        <f t="shared" si="3"/>
        <v>#N/A</v>
      </c>
      <c r="AB34" s="1811" t="e">
        <f t="shared" si="4"/>
        <v>#N/A</v>
      </c>
      <c r="AC34" s="1811"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59"/>
      <c r="Q35" s="1810" t="str">
        <f t="shared" ref="Q35:Q40" si="14">B35</f>
        <v>宗地形状</v>
      </c>
      <c r="R35" s="774" t="s">
        <v>17</v>
      </c>
      <c r="S35" s="775">
        <f t="shared" si="10"/>
        <v>100</v>
      </c>
      <c r="T35" s="774" t="s">
        <v>17</v>
      </c>
      <c r="U35" s="775">
        <f t="shared" si="11"/>
        <v>100</v>
      </c>
      <c r="V35" s="774" t="s">
        <v>17</v>
      </c>
      <c r="W35" s="775">
        <f t="shared" si="12"/>
        <v>100</v>
      </c>
      <c r="X35" s="1813"/>
      <c r="Y35" s="3259"/>
      <c r="Z35" s="1814" t="str">
        <f t="shared" si="13"/>
        <v>宗地形状</v>
      </c>
      <c r="AA35" s="1811">
        <f t="shared" si="3"/>
        <v>1</v>
      </c>
      <c r="AB35" s="1811">
        <f t="shared" si="4"/>
        <v>1</v>
      </c>
      <c r="AC35" s="1811">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59"/>
      <c r="Q36" s="1810" t="str">
        <f t="shared" si="14"/>
        <v>宗地开发程度</v>
      </c>
      <c r="R36" s="770" t="s">
        <v>17</v>
      </c>
      <c r="S36" s="771">
        <f t="shared" si="10"/>
        <v>100</v>
      </c>
      <c r="T36" s="770" t="s">
        <v>17</v>
      </c>
      <c r="U36" s="771">
        <f t="shared" si="11"/>
        <v>100</v>
      </c>
      <c r="V36" s="770" t="s">
        <v>17</v>
      </c>
      <c r="W36" s="771">
        <f t="shared" si="12"/>
        <v>100</v>
      </c>
      <c r="X36" s="772"/>
      <c r="Y36" s="3259"/>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59" t="s">
        <v>2559</v>
      </c>
      <c r="Q37" s="1810" t="str">
        <f t="shared" si="14"/>
        <v>工程地质条件</v>
      </c>
      <c r="R37" s="774" t="s">
        <v>17</v>
      </c>
      <c r="S37" s="775">
        <f t="shared" si="10"/>
        <v>100</v>
      </c>
      <c r="T37" s="774" t="s">
        <v>17</v>
      </c>
      <c r="U37" s="775">
        <f t="shared" si="11"/>
        <v>100</v>
      </c>
      <c r="V37" s="774" t="s">
        <v>17</v>
      </c>
      <c r="W37" s="775">
        <f t="shared" si="12"/>
        <v>100</v>
      </c>
      <c r="X37" s="1813"/>
      <c r="Y37" s="3259"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9"/>
      <c r="Q38" s="1810">
        <f t="shared" si="14"/>
        <v>111</v>
      </c>
      <c r="R38" s="774" t="s">
        <v>17</v>
      </c>
      <c r="S38" s="775">
        <f t="shared" si="10"/>
        <v>100</v>
      </c>
      <c r="T38" s="774" t="s">
        <v>17</v>
      </c>
      <c r="U38" s="775">
        <f t="shared" si="11"/>
        <v>100</v>
      </c>
      <c r="V38" s="774" t="s">
        <v>17</v>
      </c>
      <c r="W38" s="775">
        <f t="shared" si="12"/>
        <v>100</v>
      </c>
      <c r="X38" s="1813"/>
      <c r="Y38" s="325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9"/>
      <c r="Q39" s="1810">
        <f t="shared" si="14"/>
        <v>111</v>
      </c>
      <c r="R39" s="774" t="s">
        <v>17</v>
      </c>
      <c r="S39" s="775">
        <f t="shared" si="10"/>
        <v>100</v>
      </c>
      <c r="T39" s="774" t="s">
        <v>17</v>
      </c>
      <c r="U39" s="775">
        <f t="shared" si="11"/>
        <v>100</v>
      </c>
      <c r="V39" s="774" t="s">
        <v>17</v>
      </c>
      <c r="W39" s="775">
        <f t="shared" si="12"/>
        <v>100</v>
      </c>
      <c r="X39" s="1813"/>
      <c r="Y39" s="3259"/>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9"/>
      <c r="Q40" s="1810">
        <f t="shared" si="14"/>
        <v>111</v>
      </c>
      <c r="R40" s="777" t="s">
        <v>17</v>
      </c>
      <c r="S40" s="778">
        <f t="shared" si="10"/>
        <v>100</v>
      </c>
      <c r="T40" s="777" t="s">
        <v>17</v>
      </c>
      <c r="U40" s="778">
        <f t="shared" si="11"/>
        <v>100</v>
      </c>
      <c r="V40" s="777" t="s">
        <v>17</v>
      </c>
      <c r="W40" s="778">
        <f t="shared" si="12"/>
        <v>100</v>
      </c>
      <c r="X40" s="779"/>
      <c r="Y40" s="3259"/>
      <c r="Z40" s="780">
        <f t="shared" si="13"/>
        <v>111</v>
      </c>
      <c r="AA40" s="1811">
        <f t="shared" si="3"/>
        <v>1</v>
      </c>
      <c r="AB40" s="1811">
        <f t="shared" si="4"/>
        <v>1</v>
      </c>
      <c r="AC40" s="1811">
        <f t="shared" si="5"/>
        <v>1</v>
      </c>
    </row>
    <row r="41" spans="1:29" ht="15">
      <c r="A41" s="479" t="s">
        <v>2714</v>
      </c>
      <c r="B41" s="2707" t="s">
        <v>2793</v>
      </c>
      <c r="C41" s="682" t="s">
        <v>1</v>
      </c>
      <c r="D41" s="481"/>
      <c r="E41" s="482"/>
      <c r="F41" s="483"/>
      <c r="G41" s="484"/>
      <c r="H41" s="485"/>
      <c r="I41" s="482"/>
      <c r="J41" s="485"/>
      <c r="K41" s="783"/>
      <c r="L41" s="1143"/>
      <c r="M41" s="1131"/>
      <c r="N41" s="1131"/>
      <c r="O41" s="1144"/>
      <c r="P41" s="3241" t="str">
        <f>A41</f>
        <v>成交单价</v>
      </c>
      <c r="Q41" s="3241"/>
      <c r="R41" s="3254">
        <f>E41</f>
        <v>0</v>
      </c>
      <c r="S41" s="3254"/>
      <c r="T41" s="3254">
        <f>G41</f>
        <v>0</v>
      </c>
      <c r="U41" s="3254"/>
      <c r="V41" s="3254">
        <f>I41</f>
        <v>0</v>
      </c>
      <c r="W41" s="325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41" t="str">
        <f>A42</f>
        <v>比较价值（元/平方米）</v>
      </c>
      <c r="Q42" s="3241"/>
      <c r="R42" s="3260" t="e">
        <f>ROUND(PRODUCT(R41,AA7:AA40),0)</f>
        <v>#DIV/0!</v>
      </c>
      <c r="S42" s="3260"/>
      <c r="T42" s="3260" t="e">
        <f>ROUND(PRODUCT(T41,AB7:AB40),0)</f>
        <v>#DIV/0!</v>
      </c>
      <c r="U42" s="3260"/>
      <c r="V42" s="3260" t="e">
        <f>ROUND(PRODUCT(V41,AC7:AC40),0)</f>
        <v>#DIV/0!</v>
      </c>
      <c r="W42" s="3260"/>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8" t="s">
        <v>2753</v>
      </c>
      <c r="D50" s="2709" t="s">
        <v>2754</v>
      </c>
      <c r="E50" s="686" t="s">
        <v>2755</v>
      </c>
      <c r="F50" s="687" t="s">
        <v>2756</v>
      </c>
      <c r="G50" s="3242" t="s">
        <v>2757</v>
      </c>
      <c r="H50" s="3264"/>
      <c r="I50" s="1814" t="s">
        <v>2794</v>
      </c>
      <c r="J50" s="1814">
        <f>项目基本情况!F35</f>
        <v>0</v>
      </c>
      <c r="K50" s="2711" t="s">
        <v>2759</v>
      </c>
      <c r="L50" s="1106"/>
      <c r="M50" s="1144"/>
      <c r="N50" s="1144"/>
      <c r="O50" s="1144"/>
    </row>
    <row r="51" spans="1:17" s="692" customFormat="1">
      <c r="A51" s="688" t="s">
        <v>2760</v>
      </c>
      <c r="B51" s="689" t="e">
        <f>C43</f>
        <v>#DIV/0!</v>
      </c>
      <c r="C51" s="690">
        <v>1</v>
      </c>
      <c r="D51" s="1163">
        <v>1</v>
      </c>
      <c r="E51" s="690">
        <f>'数据-汇总表'!E8+'数据-汇总表'!E9</f>
        <v>47504.530000000006</v>
      </c>
      <c r="F51" s="691" t="e">
        <f t="shared" ref="F51:F60" si="15">ROUND(B51*E51/10000,0)</f>
        <v>#DIV/0!</v>
      </c>
      <c r="G51" s="3265"/>
      <c r="H51" s="3241"/>
      <c r="I51" s="942">
        <v>1</v>
      </c>
      <c r="J51" s="942">
        <v>1</v>
      </c>
      <c r="K51" s="1145"/>
      <c r="L51" s="941"/>
      <c r="M51" s="941"/>
      <c r="N51" s="941"/>
      <c r="O51" s="941"/>
    </row>
    <row r="52" spans="1:17" s="692" customFormat="1">
      <c r="A52" s="693" t="s">
        <v>2761</v>
      </c>
      <c r="B52" s="262" t="e">
        <f>ROUND($C$43*C52*D52,0)</f>
        <v>#DIV/0!</v>
      </c>
      <c r="C52" s="200">
        <f t="shared" ref="C52:C60" si="16">IF($C$50="北京市系数",I52,J52)</f>
        <v>0.6</v>
      </c>
      <c r="D52" s="1164">
        <v>0.25</v>
      </c>
      <c r="E52" s="694"/>
      <c r="F52" s="691" t="e">
        <f t="shared" si="15"/>
        <v>#DIV/0!</v>
      </c>
      <c r="G52" s="3266" t="s">
        <v>2762</v>
      </c>
      <c r="H52" s="1104" t="str">
        <f>项目基本情况!B37</f>
        <v>八级</v>
      </c>
      <c r="I52" s="942">
        <f>SUMIF(修正!A45:A56,H52,修正!B45:B56)</f>
        <v>0.6</v>
      </c>
      <c r="J52" s="943"/>
      <c r="K52" s="1144"/>
      <c r="L52" s="941"/>
      <c r="M52" s="941"/>
      <c r="N52" s="941"/>
      <c r="O52" s="941"/>
    </row>
    <row r="53" spans="1:17" s="692" customFormat="1">
      <c r="A53" s="693" t="s">
        <v>2763</v>
      </c>
      <c r="B53" s="262" t="e">
        <f t="shared" ref="B53:B60" si="17">ROUND($C$43*C53*D53,0)</f>
        <v>#DIV/0!</v>
      </c>
      <c r="C53" s="200">
        <f t="shared" si="16"/>
        <v>0.3</v>
      </c>
      <c r="D53" s="1164">
        <v>0.25</v>
      </c>
      <c r="E53" s="694"/>
      <c r="F53" s="691" t="e">
        <f t="shared" si="15"/>
        <v>#DIV/0!</v>
      </c>
      <c r="G53" s="3266"/>
      <c r="H53" s="1104" t="str">
        <f>项目基本情况!B37</f>
        <v>八级</v>
      </c>
      <c r="I53" s="942">
        <f>SUMIF(修正!A45:A56,H53,修正!C45:C56)</f>
        <v>0.3</v>
      </c>
      <c r="J53" s="943"/>
      <c r="K53" s="1145"/>
      <c r="L53" s="941"/>
      <c r="M53" s="941"/>
      <c r="N53" s="941"/>
      <c r="O53" s="941"/>
    </row>
    <row r="54" spans="1:17" s="692" customFormat="1">
      <c r="A54" s="693" t="s">
        <v>2764</v>
      </c>
      <c r="B54" s="262" t="e">
        <f t="shared" si="17"/>
        <v>#DIV/0!</v>
      </c>
      <c r="C54" s="200">
        <f t="shared" si="16"/>
        <v>0.2</v>
      </c>
      <c r="D54" s="1164">
        <v>0.25</v>
      </c>
      <c r="E54" s="694"/>
      <c r="F54" s="691" t="e">
        <f t="shared" si="15"/>
        <v>#DIV/0!</v>
      </c>
      <c r="G54" s="3266"/>
      <c r="H54" s="1104" t="str">
        <f>项目基本情况!B37</f>
        <v>八级</v>
      </c>
      <c r="I54" s="942">
        <f>SUMIF(修正!A45:A56,H54,修正!D45:D56)</f>
        <v>0.2</v>
      </c>
      <c r="J54" s="943"/>
      <c r="K54" s="1144"/>
      <c r="L54" s="941"/>
      <c r="M54" s="941"/>
      <c r="N54" s="941"/>
      <c r="O54" s="941"/>
    </row>
    <row r="55" spans="1:17" s="692" customFormat="1">
      <c r="A55" s="693" t="s">
        <v>2765</v>
      </c>
      <c r="B55" s="262" t="e">
        <f t="shared" si="17"/>
        <v>#DIV/0!</v>
      </c>
      <c r="C55" s="200">
        <f t="shared" si="16"/>
        <v>0.2</v>
      </c>
      <c r="D55" s="1164">
        <v>0.25</v>
      </c>
      <c r="E55" s="694"/>
      <c r="F55" s="691" t="e">
        <f t="shared" si="15"/>
        <v>#DIV/0!</v>
      </c>
      <c r="G55" s="3266"/>
      <c r="H55" s="1104" t="str">
        <f>项目基本情况!B37</f>
        <v>八级</v>
      </c>
      <c r="I55" s="942">
        <f>SUMIF(修正!A45:A56,H55,修正!E45:E56)</f>
        <v>0.2</v>
      </c>
      <c r="J55" s="943"/>
      <c r="K55" s="1145"/>
      <c r="L55" s="941"/>
      <c r="M55" s="941"/>
      <c r="N55" s="941"/>
      <c r="O55" s="941"/>
    </row>
    <row r="56" spans="1:17" s="692" customFormat="1">
      <c r="A56" s="693" t="s">
        <v>2766</v>
      </c>
      <c r="B56" s="262" t="e">
        <f t="shared" si="17"/>
        <v>#DIV/0!</v>
      </c>
      <c r="C56" s="200">
        <f t="shared" si="16"/>
        <v>0.2</v>
      </c>
      <c r="D56" s="1164">
        <v>0.25</v>
      </c>
      <c r="E56" s="261">
        <f>'数据-汇总表'!E11</f>
        <v>0</v>
      </c>
      <c r="F56" s="691" t="e">
        <f t="shared" si="15"/>
        <v>#DIV/0!</v>
      </c>
      <c r="G56" s="2712" t="s">
        <v>2767</v>
      </c>
      <c r="H56" s="1104" t="str">
        <f>项目基本情况!C37</f>
        <v>八级</v>
      </c>
      <c r="I56" s="942">
        <f>SUMIF(修正!A45:A56,H56,修正!F45:F56)</f>
        <v>0.2</v>
      </c>
      <c r="J56" s="943"/>
      <c r="K56" s="1144"/>
      <c r="L56" s="941"/>
      <c r="M56" s="941"/>
      <c r="N56" s="941"/>
      <c r="O56" s="941"/>
    </row>
    <row r="57" spans="1:17" s="692" customFormat="1">
      <c r="A57" s="693" t="s">
        <v>2768</v>
      </c>
      <c r="B57" s="262" t="e">
        <f t="shared" si="17"/>
        <v>#DIV/0!</v>
      </c>
      <c r="C57" s="200">
        <f t="shared" si="16"/>
        <v>0.2</v>
      </c>
      <c r="D57" s="1164">
        <v>0.25</v>
      </c>
      <c r="E57" s="261">
        <f>'数据-汇总表'!E12</f>
        <v>0</v>
      </c>
      <c r="F57" s="691"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0.15</v>
      </c>
      <c r="D59" s="1164">
        <v>0.25</v>
      </c>
      <c r="E59" s="261">
        <f>'数据-汇总表'!E14</f>
        <v>0</v>
      </c>
      <c r="F59" s="691" t="e">
        <f t="shared" si="15"/>
        <v>#DIV/0!</v>
      </c>
      <c r="G59" s="2712" t="s">
        <v>2762</v>
      </c>
      <c r="H59" s="1104" t="str">
        <f>项目基本情况!B37</f>
        <v>八级</v>
      </c>
      <c r="I59" s="942">
        <f>SUMIF(修正!A45:A56,H59,修正!H45:H56)</f>
        <v>0.15</v>
      </c>
      <c r="J59" s="943"/>
      <c r="K59" s="1145"/>
      <c r="L59" s="941"/>
      <c r="M59" s="941"/>
      <c r="N59" s="941"/>
      <c r="O59" s="941"/>
    </row>
    <row r="60" spans="1:17" s="692" customFormat="1" ht="15" thickBot="1">
      <c r="A60" s="693" t="s">
        <v>2773</v>
      </c>
      <c r="B60" s="262" t="e">
        <f t="shared" si="17"/>
        <v>#DIV/0!</v>
      </c>
      <c r="C60" s="200">
        <f t="shared" si="16"/>
        <v>0.15</v>
      </c>
      <c r="D60" s="1164">
        <v>0.25</v>
      </c>
      <c r="E60" s="261">
        <f>'数据-汇总表'!E15</f>
        <v>0</v>
      </c>
      <c r="F60" s="691" t="e">
        <f t="shared" si="15"/>
        <v>#DIV/0!</v>
      </c>
      <c r="G60" s="2713" t="s">
        <v>2767</v>
      </c>
      <c r="H60" s="1114" t="str">
        <f>项目基本情况!C37</f>
        <v>八级</v>
      </c>
      <c r="I60" s="942">
        <f>SUMIF(修正!A45:A56,H60,修正!H45:H56)</f>
        <v>0.15</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15620.22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4" t="s">
        <v>2775</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L25" sqref="L2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7" t="s">
        <v>614</v>
      </c>
      <c r="C61" s="818" t="s">
        <v>615</v>
      </c>
      <c r="D61" s="818" t="s">
        <v>616</v>
      </c>
      <c r="E61" s="895">
        <v>0.5</v>
      </c>
      <c r="F61" s="882">
        <v>80</v>
      </c>
    </row>
    <row r="62" spans="1:8" s="878" customFormat="1" ht="24">
      <c r="A62" s="882">
        <v>2</v>
      </c>
      <c r="B62" s="3327"/>
      <c r="C62" s="818" t="s">
        <v>617</v>
      </c>
      <c r="D62" s="818" t="s">
        <v>618</v>
      </c>
      <c r="E62" s="895">
        <v>0.5</v>
      </c>
      <c r="F62" s="882">
        <v>80</v>
      </c>
    </row>
    <row r="63" spans="1:8" s="878" customFormat="1" ht="36">
      <c r="A63" s="882">
        <v>3</v>
      </c>
      <c r="B63" s="3327"/>
      <c r="C63" s="818" t="s">
        <v>619</v>
      </c>
      <c r="D63" s="818" t="s">
        <v>620</v>
      </c>
      <c r="E63" s="895">
        <v>0.5</v>
      </c>
      <c r="F63" s="882">
        <v>80</v>
      </c>
    </row>
    <row r="64" spans="1:8" s="878" customFormat="1" ht="36">
      <c r="A64" s="882">
        <v>4</v>
      </c>
      <c r="B64" s="3327"/>
      <c r="C64" s="818" t="s">
        <v>621</v>
      </c>
      <c r="D64" s="818" t="s">
        <v>622</v>
      </c>
      <c r="E64" s="895">
        <v>0.4</v>
      </c>
      <c r="F64" s="882">
        <v>60</v>
      </c>
    </row>
    <row r="65" spans="1:6" s="878" customFormat="1" ht="36">
      <c r="A65" s="882">
        <v>5</v>
      </c>
      <c r="B65" s="3327"/>
      <c r="C65" s="818" t="s">
        <v>623</v>
      </c>
      <c r="D65" s="818" t="s">
        <v>624</v>
      </c>
      <c r="E65" s="895">
        <v>0.2</v>
      </c>
      <c r="F65" s="882">
        <v>30</v>
      </c>
    </row>
    <row r="66" spans="1:6" s="878" customFormat="1" ht="36">
      <c r="A66" s="882">
        <v>6</v>
      </c>
      <c r="B66" s="3327"/>
      <c r="C66" s="818" t="s">
        <v>625</v>
      </c>
      <c r="D66" s="818" t="s">
        <v>626</v>
      </c>
      <c r="E66" s="895">
        <v>0.3</v>
      </c>
      <c r="F66" s="882">
        <v>50</v>
      </c>
    </row>
    <row r="67" spans="1:6" s="878" customFormat="1" ht="36">
      <c r="A67" s="882">
        <v>7</v>
      </c>
      <c r="B67" s="3327"/>
      <c r="C67" s="818" t="s">
        <v>627</v>
      </c>
      <c r="D67" s="818" t="s">
        <v>628</v>
      </c>
      <c r="E67" s="895">
        <v>0.2</v>
      </c>
      <c r="F67" s="882">
        <v>30</v>
      </c>
    </row>
    <row r="68" spans="1:6" s="878" customFormat="1" ht="36">
      <c r="A68" s="882">
        <v>8</v>
      </c>
      <c r="B68" s="3327"/>
      <c r="C68" s="818" t="s">
        <v>629</v>
      </c>
      <c r="D68" s="818" t="s">
        <v>630</v>
      </c>
      <c r="E68" s="895">
        <v>0.2</v>
      </c>
      <c r="F68" s="882">
        <v>30</v>
      </c>
    </row>
    <row r="69" spans="1:6" s="878" customFormat="1" ht="36">
      <c r="A69" s="882">
        <v>9</v>
      </c>
      <c r="B69" s="3327"/>
      <c r="C69" s="818" t="s">
        <v>631</v>
      </c>
      <c r="D69" s="818" t="s">
        <v>632</v>
      </c>
      <c r="E69" s="895">
        <v>0.2</v>
      </c>
      <c r="F69" s="882">
        <v>30</v>
      </c>
    </row>
    <row r="70" spans="1:6" s="878" customFormat="1" ht="48">
      <c r="A70" s="882">
        <v>10</v>
      </c>
      <c r="B70" s="3327"/>
      <c r="C70" s="818" t="s">
        <v>633</v>
      </c>
      <c r="D70" s="818" t="s">
        <v>634</v>
      </c>
      <c r="E70" s="895">
        <v>0.2</v>
      </c>
      <c r="F70" s="882">
        <v>30</v>
      </c>
    </row>
    <row r="71" spans="1:6" s="878" customFormat="1" ht="48">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24">
      <c r="A73" s="882">
        <v>13</v>
      </c>
      <c r="B73" s="3327"/>
      <c r="C73" s="818" t="s">
        <v>639</v>
      </c>
      <c r="D73" s="818" t="s">
        <v>640</v>
      </c>
      <c r="E73" s="895">
        <v>0.4</v>
      </c>
      <c r="F73" s="882">
        <v>60</v>
      </c>
    </row>
    <row r="74" spans="1:6" s="878" customFormat="1" ht="24">
      <c r="A74" s="882">
        <v>14</v>
      </c>
      <c r="B74" s="3327"/>
      <c r="C74" s="818" t="s">
        <v>641</v>
      </c>
      <c r="D74" s="818" t="s">
        <v>642</v>
      </c>
      <c r="E74" s="895">
        <v>0.2</v>
      </c>
      <c r="F74" s="882">
        <v>30</v>
      </c>
    </row>
    <row r="75" spans="1:6" s="878" customFormat="1" ht="24">
      <c r="A75" s="882">
        <v>15</v>
      </c>
      <c r="B75" s="3327"/>
      <c r="C75" s="818" t="s">
        <v>643</v>
      </c>
      <c r="D75" s="818" t="s">
        <v>644</v>
      </c>
      <c r="E75" s="895">
        <v>0.2</v>
      </c>
      <c r="F75" s="882">
        <v>30</v>
      </c>
    </row>
    <row r="76" spans="1:6" s="878" customFormat="1" ht="24">
      <c r="A76" s="882">
        <v>16</v>
      </c>
      <c r="B76" s="3327" t="s">
        <v>645</v>
      </c>
      <c r="C76" s="818" t="s">
        <v>646</v>
      </c>
      <c r="D76" s="818" t="s">
        <v>647</v>
      </c>
      <c r="E76" s="895">
        <v>0.5</v>
      </c>
      <c r="F76" s="882">
        <v>80</v>
      </c>
    </row>
    <row r="77" spans="1:6" s="878" customFormat="1" ht="24">
      <c r="A77" s="882">
        <v>17</v>
      </c>
      <c r="B77" s="3327"/>
      <c r="C77" s="818" t="s">
        <v>648</v>
      </c>
      <c r="D77" s="818" t="s">
        <v>649</v>
      </c>
      <c r="E77" s="895">
        <v>0.5</v>
      </c>
      <c r="F77" s="882">
        <v>80</v>
      </c>
    </row>
    <row r="78" spans="1:6" s="878" customFormat="1" ht="24">
      <c r="A78" s="882">
        <v>18</v>
      </c>
      <c r="B78" s="3327"/>
      <c r="C78" s="818" t="s">
        <v>650</v>
      </c>
      <c r="D78" s="818" t="s">
        <v>651</v>
      </c>
      <c r="E78" s="895">
        <v>0.2</v>
      </c>
      <c r="F78" s="882">
        <v>30</v>
      </c>
    </row>
    <row r="79" spans="1:6" s="878" customFormat="1" ht="24">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48">
      <c r="A82" s="882">
        <v>22</v>
      </c>
      <c r="B82" s="3327"/>
      <c r="C82" s="818" t="s">
        <v>658</v>
      </c>
      <c r="D82" s="818" t="s">
        <v>659</v>
      </c>
      <c r="E82" s="895">
        <v>0.2</v>
      </c>
      <c r="F82" s="882">
        <v>30</v>
      </c>
    </row>
    <row r="83" spans="1:6" s="878" customFormat="1" ht="48">
      <c r="A83" s="882">
        <v>23</v>
      </c>
      <c r="B83" s="3327"/>
      <c r="C83" s="818" t="s">
        <v>660</v>
      </c>
      <c r="D83" s="818" t="s">
        <v>661</v>
      </c>
      <c r="E83" s="895">
        <v>0.2</v>
      </c>
      <c r="F83" s="882">
        <v>30</v>
      </c>
    </row>
    <row r="84" spans="1:6" s="878" customFormat="1" ht="36">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24">
      <c r="A89" s="882">
        <v>29</v>
      </c>
      <c r="B89" s="3327"/>
      <c r="C89" s="818" t="s">
        <v>672</v>
      </c>
      <c r="D89" s="818" t="s">
        <v>673</v>
      </c>
      <c r="E89" s="895">
        <v>0.2</v>
      </c>
      <c r="F89" s="882">
        <v>30</v>
      </c>
    </row>
    <row r="90" spans="1:6" s="878" customFormat="1" ht="24">
      <c r="A90" s="882">
        <v>30</v>
      </c>
      <c r="B90" s="3327"/>
      <c r="C90" s="818" t="s">
        <v>674</v>
      </c>
      <c r="D90" s="818" t="s">
        <v>675</v>
      </c>
      <c r="E90" s="895">
        <v>0.2</v>
      </c>
      <c r="F90" s="882">
        <v>30</v>
      </c>
    </row>
    <row r="91" spans="1:6" s="878" customFormat="1" ht="36">
      <c r="A91" s="882">
        <v>31</v>
      </c>
      <c r="B91" s="3327"/>
      <c r="C91" s="818" t="s">
        <v>676</v>
      </c>
      <c r="D91" s="818" t="s">
        <v>677</v>
      </c>
      <c r="E91" s="895">
        <v>0.2</v>
      </c>
      <c r="F91" s="882">
        <v>30</v>
      </c>
    </row>
    <row r="92" spans="1:6" s="878" customFormat="1" ht="24">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48">
      <c r="A94" s="882">
        <v>34</v>
      </c>
      <c r="B94" s="3327"/>
      <c r="C94" s="882" t="s">
        <v>683</v>
      </c>
      <c r="D94" s="818" t="s">
        <v>684</v>
      </c>
      <c r="E94" s="895">
        <v>0.2</v>
      </c>
      <c r="F94" s="882">
        <v>30</v>
      </c>
    </row>
    <row r="95" spans="1:6" s="878" customFormat="1" ht="36">
      <c r="A95" s="882">
        <v>35</v>
      </c>
      <c r="B95" s="3327"/>
      <c r="C95" s="882" t="s">
        <v>685</v>
      </c>
      <c r="D95" s="818" t="s">
        <v>686</v>
      </c>
      <c r="E95" s="895">
        <v>0.2</v>
      </c>
      <c r="F95" s="882">
        <v>30</v>
      </c>
    </row>
    <row r="96" spans="1:6" s="878" customFormat="1" ht="48">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24">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7" t="s">
        <v>708</v>
      </c>
      <c r="C105" s="882" t="s">
        <v>709</v>
      </c>
      <c r="D105" s="818" t="s">
        <v>710</v>
      </c>
      <c r="E105" s="895">
        <v>0.2</v>
      </c>
      <c r="F105" s="882">
        <v>30</v>
      </c>
    </row>
    <row r="106" spans="1:6" s="878" customFormat="1" ht="36">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36">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7" t="s">
        <v>724</v>
      </c>
      <c r="C111" s="882" t="s">
        <v>725</v>
      </c>
      <c r="D111" s="818" t="s">
        <v>726</v>
      </c>
      <c r="E111" s="895">
        <v>0.2</v>
      </c>
      <c r="F111" s="882">
        <v>30</v>
      </c>
    </row>
    <row r="112" spans="1:6" s="878" customFormat="1" ht="24">
      <c r="A112" s="882">
        <v>52</v>
      </c>
      <c r="B112" s="3327"/>
      <c r="C112" s="882" t="s">
        <v>727</v>
      </c>
      <c r="D112" s="818" t="s">
        <v>728</v>
      </c>
      <c r="E112" s="895">
        <v>0.2</v>
      </c>
      <c r="F112" s="882">
        <v>30</v>
      </c>
    </row>
    <row r="113" spans="1:6" s="878" customFormat="1" ht="24">
      <c r="A113" s="882">
        <v>53</v>
      </c>
      <c r="B113" s="332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2996</v>
      </c>
    </row>
    <row r="2" spans="1:5" ht="15.75">
      <c r="A2" s="2905" t="s">
        <v>2988</v>
      </c>
      <c r="B2" s="2906">
        <f ca="1">SUMIF(B6:B13,"&lt;&gt;#ref!",B6:B13)</f>
        <v>30149</v>
      </c>
      <c r="C2" s="2905" t="s">
        <v>2989</v>
      </c>
      <c r="D2" s="2905" t="s">
        <v>2990</v>
      </c>
      <c r="E2" s="2906">
        <f ca="1">SUMIF(E6:E13,"&lt;&gt;#ref!",E6:E13)</f>
        <v>48562.030000000006</v>
      </c>
    </row>
    <row r="3" spans="1:5" ht="15.75">
      <c r="A3" s="2905" t="s">
        <v>2991</v>
      </c>
      <c r="B3" s="2906">
        <f ca="1">ROUND(B2*10000/E2,0)</f>
        <v>6208</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f ca="1">SUMIF(INDIRECT("'"&amp;A6&amp;"'"&amp;"!A:A"),"总价",INDIRECT("'"&amp;A6&amp;"'"&amp;"!B:B"))</f>
        <v>30149</v>
      </c>
      <c r="C6" s="2905" t="s">
        <v>2989</v>
      </c>
      <c r="D6" s="2907"/>
      <c r="E6" s="2578">
        <f ca="1">SUMIF(INDIRECT("'"&amp;A6&amp;"'"&amp;"!C:C"),"建筑面积",INDIRECT("'"&amp;A6&amp;"'"&amp;"!D:D"))</f>
        <v>48562.030000000006</v>
      </c>
    </row>
    <row r="7" spans="1:5" ht="15.75">
      <c r="A7" s="2910"/>
      <c r="B7" s="2906" t="e">
        <f ca="1">SUMIF(INDIRECT("'"&amp;A7&amp;"'"&amp;"!A:A"),"总价",INDIRECT("'"&amp;A7&amp;"'"&amp;"!B:B"))</f>
        <v>#REF!</v>
      </c>
      <c r="C7" s="2905" t="s">
        <v>2989</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8" t="e">
        <f t="shared" ca="1" si="0"/>
        <v>#REF!</v>
      </c>
    </row>
    <row r="9" spans="1:5" ht="15.75">
      <c r="A9" s="2910"/>
      <c r="B9" s="2906" t="e">
        <f t="shared" ca="1" si="1"/>
        <v>#REF!</v>
      </c>
      <c r="C9" s="2905" t="s">
        <v>2989</v>
      </c>
      <c r="D9" s="2907"/>
      <c r="E9" s="2578" t="e">
        <f t="shared" ca="1" si="0"/>
        <v>#REF!</v>
      </c>
    </row>
    <row r="10" spans="1:5" ht="15.75">
      <c r="A10" s="2910"/>
      <c r="B10" s="2906" t="e">
        <f t="shared" ca="1" si="1"/>
        <v>#REF!</v>
      </c>
      <c r="C10" s="2905" t="s">
        <v>2989</v>
      </c>
      <c r="D10" s="2907"/>
      <c r="E10" s="2578" t="e">
        <f t="shared" ca="1" si="0"/>
        <v>#REF!</v>
      </c>
    </row>
    <row r="11" spans="1:5" ht="15.75">
      <c r="A11" s="2910"/>
      <c r="B11" s="2906" t="e">
        <f t="shared" ca="1" si="1"/>
        <v>#REF!</v>
      </c>
      <c r="C11" s="2905" t="s">
        <v>2989</v>
      </c>
      <c r="D11" s="2907"/>
      <c r="E11" s="2578" t="e">
        <f t="shared" ca="1" si="0"/>
        <v>#REF!</v>
      </c>
    </row>
    <row r="12" spans="1:5" ht="15.75">
      <c r="A12" s="2910"/>
      <c r="B12" s="2906" t="e">
        <f t="shared" ca="1" si="1"/>
        <v>#REF!</v>
      </c>
      <c r="C12" s="2905" t="s">
        <v>2989</v>
      </c>
      <c r="D12" s="2907"/>
      <c r="E12" s="2578" t="e">
        <f t="shared" ca="1" si="0"/>
        <v>#REF!</v>
      </c>
    </row>
    <row r="13" spans="1:5" ht="15.75">
      <c r="A13" s="2910"/>
      <c r="B13" s="2906" t="e">
        <f t="shared" ca="1" si="1"/>
        <v>#REF!</v>
      </c>
      <c r="C13" s="2905" t="s">
        <v>2989</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E1" zoomScale="80" zoomScaleNormal="80" workbookViewId="0">
      <selection activeCell="I18" sqref="I1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3" t="s">
        <v>1140</v>
      </c>
      <c r="C1" s="3333"/>
      <c r="D1" s="3333"/>
      <c r="E1" s="3333"/>
      <c r="F1" s="3333"/>
      <c r="G1" s="3329" t="s">
        <v>1141</v>
      </c>
      <c r="H1" s="3329"/>
      <c r="I1" s="3329"/>
      <c r="J1" s="3329"/>
      <c r="K1" s="3329"/>
      <c r="L1" s="3329"/>
      <c r="N1" s="3329" t="s">
        <v>1142</v>
      </c>
      <c r="O1" s="3329"/>
      <c r="P1" s="3329"/>
      <c r="Q1" s="3329"/>
      <c r="R1" s="1446"/>
      <c r="S1" s="3329" t="s">
        <v>1143</v>
      </c>
      <c r="T1" s="3329"/>
      <c r="U1" s="3329"/>
      <c r="V1" s="3329"/>
      <c r="X1" s="3328" t="s">
        <v>1144</v>
      </c>
      <c r="Y1" s="3329"/>
      <c r="Z1" s="3329"/>
      <c r="AA1" s="3329"/>
      <c r="AB1" s="3329"/>
      <c r="AD1" s="3328" t="s">
        <v>1145</v>
      </c>
      <c r="AE1" s="3329"/>
      <c r="AF1" s="3329"/>
      <c r="AG1" s="3329"/>
      <c r="AH1" s="3329"/>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21" customFormat="1" ht="14.25">
      <c r="A3" s="2930" t="s">
        <v>3031</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1">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33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33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3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3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33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33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33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33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33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33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33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33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33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33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33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33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33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33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33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33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33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33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33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33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33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33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33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33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33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33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33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33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33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33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33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330">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331">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331">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332">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330">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331">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331">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33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1620</v>
      </c>
      <c r="C4" s="3011"/>
      <c r="D4" s="3011"/>
      <c r="E4" s="1961"/>
    </row>
    <row r="5" spans="1:5" ht="16.5" thickTop="1">
      <c r="A5" s="1959"/>
      <c r="B5" s="3009" t="s">
        <v>1612</v>
      </c>
      <c r="C5" s="1962" t="s">
        <v>1613</v>
      </c>
      <c r="D5" s="1040">
        <f ca="1">结果表!H101</f>
        <v>121774</v>
      </c>
      <c r="E5" s="1959"/>
    </row>
    <row r="6" spans="1:5" ht="15.75">
      <c r="A6" s="1959"/>
      <c r="B6" s="3009"/>
      <c r="C6" s="1962" t="s">
        <v>1614</v>
      </c>
      <c r="D6" s="1040" t="str">
        <f ca="1">NUMBERSTRING(INT(D5*10000),2)&amp;"元整"</f>
        <v>壹拾贰亿壹仟柒佰柒拾肆万元整</v>
      </c>
      <c r="E6" s="1959"/>
    </row>
    <row r="7" spans="1:5" ht="15.75">
      <c r="A7" s="1959"/>
      <c r="B7" s="3014"/>
      <c r="C7" s="1963" t="s">
        <v>1615</v>
      </c>
      <c r="D7" s="1041">
        <f ca="1">结果表!H102</f>
        <v>25076</v>
      </c>
      <c r="E7" s="1959"/>
    </row>
    <row r="8" spans="1:5" ht="15.75">
      <c r="A8" s="1959"/>
      <c r="B8" s="3015" t="str">
        <f>结果表!E103</f>
        <v>2.估价师知悉的法定优先受偿款</v>
      </c>
      <c r="C8" s="1964" t="s">
        <v>1616</v>
      </c>
      <c r="D8" s="1041">
        <f>结果表!H103</f>
        <v>0</v>
      </c>
      <c r="E8" s="1959"/>
    </row>
    <row r="9" spans="1:5" ht="15.75">
      <c r="A9" s="1959"/>
      <c r="B9" s="3017"/>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3008" t="str">
        <f>结果表!E107</f>
        <v>3.房地产抵押价值</v>
      </c>
      <c r="C13" s="1967" t="s">
        <v>1613</v>
      </c>
      <c r="D13" s="1043">
        <f ca="1">结果表!H107</f>
        <v>121774</v>
      </c>
      <c r="E13" s="1959"/>
    </row>
    <row r="14" spans="1:5" ht="15.75">
      <c r="A14" s="1959"/>
      <c r="B14" s="3009"/>
      <c r="C14" s="1962" t="s">
        <v>1614</v>
      </c>
      <c r="D14" s="1040" t="str">
        <f ca="1">NUMBERSTRING(INT(D13*10000),2)&amp;"元整"</f>
        <v>壹拾贰亿壹仟柒佰柒拾肆万元整</v>
      </c>
      <c r="E14" s="1959"/>
    </row>
    <row r="15" spans="1:5" ht="15">
      <c r="A15" s="1959"/>
      <c r="B15" s="3014"/>
      <c r="C15" s="1963" t="s">
        <v>1624</v>
      </c>
      <c r="D15" s="1052">
        <f ca="1">结果表!H108</f>
        <v>25076</v>
      </c>
      <c r="E15" s="1959"/>
    </row>
    <row r="16" spans="1:5" ht="15">
      <c r="A16" s="1959"/>
      <c r="B16" s="3015" t="str">
        <f>结果表!E109</f>
        <v>——</v>
      </c>
      <c r="C16" s="1967" t="s">
        <v>1625</v>
      </c>
      <c r="D16" s="1968" t="str">
        <f>结果表!H109</f>
        <v>——</v>
      </c>
      <c r="E16" s="1959"/>
    </row>
    <row r="17" spans="1:5" ht="15.75">
      <c r="A17" s="1959"/>
      <c r="B17" s="3016"/>
      <c r="C17" s="1962" t="s">
        <v>1626</v>
      </c>
      <c r="D17" s="1040" t="e">
        <f>NUMBERSTRING(INT(D16*10000),2)&amp;"元整"</f>
        <v>#VALUE!</v>
      </c>
      <c r="E17" s="1959"/>
    </row>
    <row r="18" spans="1:5" ht="15">
      <c r="A18" s="1959"/>
      <c r="B18" s="3017"/>
      <c r="C18" s="1963" t="s">
        <v>1615</v>
      </c>
      <c r="D18" s="1052" t="str">
        <f>结果表!H110</f>
        <v>——</v>
      </c>
      <c r="E18" s="1959"/>
    </row>
    <row r="19" spans="1:5" ht="15.75">
      <c r="A19" s="1959"/>
      <c r="B19" s="3008" t="str">
        <f>结果表!E111</f>
        <v>——</v>
      </c>
      <c r="C19" s="1967" t="s">
        <v>1613</v>
      </c>
      <c r="D19" s="1041" t="str">
        <f>结果表!H111</f>
        <v>——</v>
      </c>
      <c r="E19" s="1959"/>
    </row>
    <row r="20" spans="1:5" ht="15.75">
      <c r="A20" s="1959"/>
      <c r="B20" s="3009"/>
      <c r="C20" s="1962" t="s">
        <v>1626</v>
      </c>
      <c r="D20" s="1040" t="e">
        <f>NUMBERSTRING(INT(D19*10000),2)&amp;"元整"</f>
        <v>#VALUE!</v>
      </c>
      <c r="E20" s="1959"/>
    </row>
    <row r="21" spans="1:5" ht="15.75" thickBot="1">
      <c r="A21" s="1959"/>
      <c r="B21" s="3010"/>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40" t="s">
        <v>2999</v>
      </c>
      <c r="D1" s="3341"/>
      <c r="E1" s="3341"/>
      <c r="F1" s="3341"/>
      <c r="G1" s="3341"/>
      <c r="H1" s="3341"/>
      <c r="I1" s="3341"/>
      <c r="J1" s="3341"/>
      <c r="K1" s="3341"/>
      <c r="L1" s="3341"/>
      <c r="M1" s="3341"/>
      <c r="N1" s="3341"/>
      <c r="O1" s="3341"/>
      <c r="P1" s="3341"/>
      <c r="Q1" s="3341"/>
      <c r="R1" s="3341"/>
      <c r="S1" s="3342"/>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3008</v>
      </c>
      <c r="B17" s="291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4" t="s">
        <v>3012</v>
      </c>
      <c r="E20" s="1793"/>
      <c r="F20" s="1204" t="e">
        <f ca="1">SUMIF(INDIRECT("'"&amp;H20&amp;"'"&amp;"!A:A"),"承租人权益价值",INDIRECT("'"&amp;H20&amp;"'"&amp;"!c:c"))</f>
        <v>#REF!</v>
      </c>
      <c r="G20" s="1204" t="s">
        <v>3013</v>
      </c>
      <c r="H20" s="291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13" t="s">
        <v>33</v>
      </c>
      <c r="D22" s="3114"/>
      <c r="E22" s="3114"/>
      <c r="F22" s="3114"/>
      <c r="G22" s="3114"/>
      <c r="H22" s="3114"/>
      <c r="I22" s="3114"/>
      <c r="J22" s="3114"/>
      <c r="K22" s="3114"/>
      <c r="L22" s="3114"/>
      <c r="M22" s="3114"/>
      <c r="N22" s="3114"/>
      <c r="O22" s="3114"/>
      <c r="P22" s="3114"/>
      <c r="Q22" s="3339"/>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44560</v>
      </c>
      <c r="C2" s="2" t="s">
        <v>133</v>
      </c>
      <c r="D2" s="243"/>
      <c r="E2" s="243"/>
      <c r="F2" s="243"/>
      <c r="G2" s="243"/>
    </row>
    <row r="3" spans="1:7" s="244" customFormat="1" ht="18" customHeight="1" thickBot="1">
      <c r="A3" s="247" t="s">
        <v>85</v>
      </c>
      <c r="B3" s="248">
        <f ca="1">ROUND(B2*10000/'数据-汇总表'!E3,0)</f>
        <v>9176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48562.030000000006</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486</v>
      </c>
      <c r="D19" s="1036">
        <f>'数据-汇总表'!E3</f>
        <v>48562.030000000006</v>
      </c>
      <c r="E19" s="255">
        <f>'数据-取费表'!B31</f>
        <v>100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1536</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35</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1614</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1614</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26656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13680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12626</v>
      </c>
      <c r="D34" s="261"/>
      <c r="E34" s="264"/>
      <c r="F34" s="301">
        <f>IF('数据-取费表'!B24=0,1,'数据-取费表'!N16)</f>
        <v>0.5</v>
      </c>
      <c r="G34" s="263" t="s">
        <v>116</v>
      </c>
    </row>
    <row r="35" spans="1:7" ht="13.5" customHeight="1">
      <c r="A35" s="951" t="s">
        <v>796</v>
      </c>
      <c r="B35" s="259" t="s">
        <v>60</v>
      </c>
      <c r="C35" s="264">
        <f>ROUND(C34*F35,0)</f>
        <v>379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486</v>
      </c>
      <c r="D37" s="261">
        <f>'数据-汇总表'!E3</f>
        <v>48562.030000000006</v>
      </c>
      <c r="E37" s="293">
        <f>'数据-取费表'!B35</f>
        <v>200</v>
      </c>
      <c r="F37" s="303"/>
      <c r="G37" s="305" t="s">
        <v>119</v>
      </c>
    </row>
    <row r="38" spans="1:7" ht="13.5" customHeight="1">
      <c r="A38" s="951" t="s">
        <v>799</v>
      </c>
      <c r="B38" s="259" t="s">
        <v>63</v>
      </c>
      <c r="C38" s="264">
        <f>ROUND(C34*F38,0)</f>
        <v>189</v>
      </c>
      <c r="D38" s="264"/>
      <c r="E38" s="264"/>
      <c r="F38" s="303">
        <f>'数据-取费表'!B36</f>
        <v>1.4999999999999999E-2</v>
      </c>
      <c r="G38" s="263" t="s">
        <v>117</v>
      </c>
    </row>
    <row r="39" spans="1:7" s="258" customFormat="1" ht="13.5" customHeight="1">
      <c r="A39" s="948" t="s">
        <v>783</v>
      </c>
      <c r="B39" s="254" t="s">
        <v>104</v>
      </c>
      <c r="C39" s="276">
        <f>ROUND(C33*F20,0)</f>
        <v>274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495</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485</v>
      </c>
      <c r="D42" s="282"/>
      <c r="E42" s="282"/>
      <c r="F42" s="283"/>
      <c r="G42" s="3198" t="s">
        <v>121</v>
      </c>
    </row>
    <row r="43" spans="1:7" ht="13.5" customHeight="1">
      <c r="A43" s="951" t="s">
        <v>792</v>
      </c>
      <c r="B43" s="259" t="s">
        <v>1061</v>
      </c>
      <c r="C43" s="282">
        <f ca="1">ROUND(IF('数据-取费表'!B22&lt;=1,C39*F22*'数据-取费表'!B21/2,C39*(POWER((1+F22),'数据-取费表'!B21/2)-1)),0)</f>
        <v>10</v>
      </c>
      <c r="D43" s="282"/>
      <c r="E43" s="282"/>
      <c r="F43" s="283"/>
      <c r="G43" s="3199"/>
    </row>
    <row r="44" spans="1:7" ht="13.5" customHeight="1">
      <c r="A44" s="951" t="s">
        <v>793</v>
      </c>
      <c r="B44" s="259" t="s">
        <v>1063</v>
      </c>
      <c r="C44" s="282">
        <f ca="1">ROUND(IF('数据-取费表'!B22&lt;=1,C40*F22*'数据-取费表'!B21/2,C40*(POWER((1+F22),'数据-取费表'!B21/2)-1)),4)</f>
        <v>6.9999999999999999E-4</v>
      </c>
      <c r="D44" s="282"/>
      <c r="E44" s="282"/>
      <c r="F44" s="283"/>
      <c r="G44" s="3200"/>
    </row>
    <row r="45" spans="1:7" s="258" customFormat="1" ht="13.5" customHeight="1">
      <c r="A45" s="948" t="s">
        <v>786</v>
      </c>
      <c r="B45" s="288" t="s">
        <v>112</v>
      </c>
      <c r="C45" s="289">
        <f>C46</f>
        <v>2093</v>
      </c>
      <c r="D45" s="279">
        <f>C47</f>
        <v>3.0000000000000001E-3</v>
      </c>
      <c r="E45" s="280" t="s">
        <v>129</v>
      </c>
      <c r="F45" s="290"/>
      <c r="G45" s="291" t="s">
        <v>1069</v>
      </c>
    </row>
    <row r="46" spans="1:7" s="258" customFormat="1" ht="13.5" customHeight="1">
      <c r="A46" s="951" t="s">
        <v>794</v>
      </c>
      <c r="B46" s="292" t="s">
        <v>1062</v>
      </c>
      <c r="C46" s="293">
        <f>ROUND((C33+C39)*F27,0)</f>
        <v>2093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17904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17904</v>
      </c>
      <c r="D51" s="276"/>
      <c r="E51" s="276"/>
      <c r="F51" s="308"/>
      <c r="G51" s="278" t="s">
        <v>64</v>
      </c>
    </row>
    <row r="52" spans="1:7" s="252" customFormat="1" ht="16.5" thickBot="1">
      <c r="A52" s="309" t="s">
        <v>65</v>
      </c>
      <c r="B52" s="310"/>
      <c r="C52" s="311">
        <f ca="1">C31+C51</f>
        <v>44560</v>
      </c>
      <c r="D52" s="310"/>
      <c r="E52" s="310"/>
      <c r="F52" s="310"/>
      <c r="G52" s="312"/>
    </row>
    <row r="55" spans="1:7" ht="15">
      <c r="B55" s="314" t="s">
        <v>66</v>
      </c>
      <c r="C55" s="315"/>
    </row>
    <row r="56" spans="1:7">
      <c r="B56" s="317" t="s">
        <v>67</v>
      </c>
      <c r="C56" s="318">
        <f ca="1">ROUND(C51/C52,3)</f>
        <v>0.40200000000000002</v>
      </c>
    </row>
    <row r="57" spans="1:7">
      <c r="B57" s="317" t="s">
        <v>68</v>
      </c>
      <c r="C57" s="319">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868</v>
      </c>
      <c r="B1" s="334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43603</v>
      </c>
      <c r="D1" s="1700" t="s">
        <v>1291</v>
      </c>
      <c r="E1" s="1695">
        <f>'数据-取费表'!B22</f>
        <v>3</v>
      </c>
      <c r="F1" s="1700" t="s">
        <v>1292</v>
      </c>
      <c r="G1" s="1696">
        <f ca="1">INDIRECT("d"&amp;$K$1)/100</f>
        <v>4.7500000000000001E-2</v>
      </c>
      <c r="H1" s="1700" t="s">
        <v>1322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A10" sqref="A10:A27"/>
    </sheetView>
  </sheetViews>
  <sheetFormatPr defaultRowHeight="13.5"/>
  <cols>
    <col min="2" max="2" width="12.125" customWidth="1"/>
    <col min="3" max="5" width="13.25" customWidth="1"/>
  </cols>
  <sheetData>
    <row r="1" spans="1:7">
      <c r="A1" s="2954"/>
      <c r="B1" s="2955" t="s">
        <v>3069</v>
      </c>
      <c r="C1" s="2955" t="s">
        <v>3070</v>
      </c>
      <c r="D1" s="2955" t="s">
        <v>3071</v>
      </c>
      <c r="E1" s="2955" t="s">
        <v>3072</v>
      </c>
    </row>
    <row r="2" spans="1:7">
      <c r="A2" s="3086" t="s">
        <v>3112</v>
      </c>
      <c r="B2" s="2954">
        <v>60.81</v>
      </c>
      <c r="C2" s="2954">
        <v>51.84</v>
      </c>
      <c r="D2" s="2954"/>
      <c r="E2" s="2954">
        <v>47.65</v>
      </c>
      <c r="G2">
        <v>2901.98</v>
      </c>
    </row>
    <row r="3" spans="1:7">
      <c r="A3" s="3086"/>
      <c r="B3" s="2954">
        <v>95.24</v>
      </c>
      <c r="C3" s="2954">
        <v>46.74</v>
      </c>
      <c r="D3" s="2954"/>
      <c r="E3" s="2954">
        <v>80.48</v>
      </c>
    </row>
    <row r="4" spans="1:7">
      <c r="A4" s="3086"/>
      <c r="B4" s="2954">
        <v>50.4</v>
      </c>
      <c r="C4" s="2954">
        <v>50.22</v>
      </c>
      <c r="D4" s="2954"/>
      <c r="E4" s="2954">
        <v>51.83</v>
      </c>
    </row>
    <row r="5" spans="1:7">
      <c r="A5" s="3086"/>
      <c r="B5" s="2954">
        <v>42.72</v>
      </c>
      <c r="C5" s="2954">
        <v>49.95</v>
      </c>
      <c r="D5" s="2954"/>
      <c r="E5" s="2954">
        <v>53.46</v>
      </c>
    </row>
    <row r="6" spans="1:7">
      <c r="A6" s="3086"/>
      <c r="B6" s="2954">
        <v>38.42</v>
      </c>
      <c r="C6" s="2954"/>
      <c r="D6" s="2954"/>
      <c r="E6" s="2954">
        <v>47.57</v>
      </c>
    </row>
    <row r="7" spans="1:7">
      <c r="A7" s="3086"/>
      <c r="B7" s="2954">
        <v>34.119999999999997</v>
      </c>
      <c r="C7" s="2954"/>
      <c r="D7" s="2954"/>
      <c r="E7" s="2954">
        <v>78.75</v>
      </c>
    </row>
    <row r="8" spans="1:7">
      <c r="A8" s="3086"/>
      <c r="B8" s="2954">
        <v>31.69</v>
      </c>
      <c r="C8" s="2954"/>
      <c r="D8" s="2954"/>
      <c r="E8" s="2954">
        <v>82.85</v>
      </c>
    </row>
    <row r="9" spans="1:7">
      <c r="A9" s="2954"/>
      <c r="B9" s="2954"/>
      <c r="C9" s="2954"/>
      <c r="D9" s="2954"/>
      <c r="E9" s="2954"/>
    </row>
    <row r="10" spans="1:7">
      <c r="A10" s="3086" t="s">
        <v>3113</v>
      </c>
      <c r="B10" s="2954">
        <f>1412.49-B2-B3-B4-B5-B6-B7-B8</f>
        <v>1059.0899999999999</v>
      </c>
      <c r="C10" s="2954">
        <f>1377.89-C2-C3-C4-C5</f>
        <v>1179.1400000000001</v>
      </c>
      <c r="D10" s="2954">
        <v>1178.49</v>
      </c>
      <c r="E10" s="2954">
        <f>1536.97-SUM(E2:E8)</f>
        <v>1094.3800000000001</v>
      </c>
      <c r="G10">
        <v>21861.78</v>
      </c>
    </row>
    <row r="11" spans="1:7">
      <c r="A11" s="3086"/>
      <c r="B11" s="2954">
        <v>1350.3</v>
      </c>
      <c r="C11" s="2954">
        <v>1438.31</v>
      </c>
      <c r="D11" s="2954"/>
      <c r="E11" s="2954">
        <v>1454.66</v>
      </c>
      <c r="G11">
        <v>196.33</v>
      </c>
    </row>
    <row r="12" spans="1:7">
      <c r="A12" s="3086"/>
      <c r="B12" s="2954">
        <v>1272.3699999999999</v>
      </c>
      <c r="C12" s="2954">
        <v>1429.22</v>
      </c>
      <c r="D12" s="2954"/>
      <c r="E12" s="2954">
        <v>1412.1</v>
      </c>
      <c r="G12">
        <f>SUM(G10:G11)</f>
        <v>22058.11</v>
      </c>
    </row>
    <row r="13" spans="1:7">
      <c r="A13" s="3086"/>
      <c r="B13" s="2954">
        <v>1272.69</v>
      </c>
      <c r="C13" s="2954">
        <v>1429.22</v>
      </c>
      <c r="D13" s="2954"/>
      <c r="E13" s="2954">
        <v>984.81</v>
      </c>
    </row>
    <row r="14" spans="1:7">
      <c r="A14" s="3086"/>
      <c r="B14" s="2954">
        <v>1389.51</v>
      </c>
      <c r="C14" s="2954">
        <v>1429.66</v>
      </c>
      <c r="D14" s="2954"/>
      <c r="E14" s="2954"/>
    </row>
    <row r="15" spans="1:7">
      <c r="A15" s="3086"/>
      <c r="B15" s="2954">
        <v>1368.15</v>
      </c>
      <c r="C15" s="2954">
        <v>1447.16</v>
      </c>
      <c r="D15" s="2954"/>
      <c r="E15" s="2954"/>
    </row>
    <row r="16" spans="1:7">
      <c r="A16" s="3086"/>
      <c r="B16" s="2954">
        <v>1155.31</v>
      </c>
      <c r="C16" s="2954">
        <v>1429.86</v>
      </c>
      <c r="D16" s="2954"/>
      <c r="E16" s="2954"/>
    </row>
    <row r="17" spans="1:5">
      <c r="A17" s="3086"/>
      <c r="B17" s="2954">
        <v>1216.25</v>
      </c>
      <c r="C17" s="2954">
        <v>1447.76</v>
      </c>
      <c r="D17" s="2954"/>
      <c r="E17" s="2954"/>
    </row>
    <row r="18" spans="1:5">
      <c r="A18" s="3086"/>
      <c r="B18" s="2954">
        <v>1375.3</v>
      </c>
      <c r="C18" s="2954">
        <v>1429.78</v>
      </c>
      <c r="D18" s="2954"/>
      <c r="E18" s="2954"/>
    </row>
    <row r="19" spans="1:5">
      <c r="A19" s="3086"/>
      <c r="B19" s="2954">
        <v>1180.0899999999999</v>
      </c>
      <c r="C19" s="2954">
        <v>1478.98</v>
      </c>
      <c r="D19" s="2954"/>
      <c r="E19" s="2954"/>
    </row>
    <row r="20" spans="1:5">
      <c r="A20" s="3086"/>
      <c r="B20" s="2954">
        <v>1180.82</v>
      </c>
      <c r="C20" s="2954">
        <v>1378.17</v>
      </c>
      <c r="D20" s="2954"/>
      <c r="E20" s="2954"/>
    </row>
    <row r="21" spans="1:5">
      <c r="A21" s="3086"/>
      <c r="B21" s="2954">
        <v>1374.95</v>
      </c>
      <c r="C21" s="2954">
        <v>1428.71</v>
      </c>
      <c r="D21" s="2954"/>
      <c r="E21" s="2954"/>
    </row>
    <row r="22" spans="1:5">
      <c r="A22" s="3086"/>
      <c r="B22" s="2954">
        <v>1215.55</v>
      </c>
      <c r="C22" s="2954">
        <v>1428.79</v>
      </c>
      <c r="D22" s="2954"/>
      <c r="E22" s="2954"/>
    </row>
    <row r="23" spans="1:5">
      <c r="A23" s="3086"/>
      <c r="B23" s="2954">
        <v>1131.57</v>
      </c>
      <c r="C23" s="2954">
        <v>872.37</v>
      </c>
      <c r="D23" s="2954"/>
      <c r="E23" s="2954"/>
    </row>
    <row r="24" spans="1:5">
      <c r="A24" s="3086"/>
      <c r="B24" s="2954">
        <v>1252.58</v>
      </c>
      <c r="C24" s="2954"/>
      <c r="D24" s="2954"/>
      <c r="E24" s="2954"/>
    </row>
    <row r="25" spans="1:5">
      <c r="A25" s="3086"/>
      <c r="B25" s="2954">
        <v>1305.69</v>
      </c>
      <c r="C25" s="2954"/>
      <c r="D25" s="2954"/>
      <c r="E25" s="2954"/>
    </row>
    <row r="26" spans="1:5">
      <c r="A26" s="3086"/>
      <c r="B26" s="2954">
        <v>1215.55</v>
      </c>
      <c r="C26" s="2954"/>
      <c r="D26" s="2954"/>
      <c r="E26" s="2954"/>
    </row>
    <row r="27" spans="1:5">
      <c r="A27" s="3086"/>
      <c r="B27" s="2954">
        <v>879.95</v>
      </c>
      <c r="C27" s="2954"/>
      <c r="D27" s="2954"/>
      <c r="E27" s="2954"/>
    </row>
    <row r="28" spans="1:5">
      <c r="B28">
        <f>SUM(B10:B27)</f>
        <v>22195.719999999998</v>
      </c>
      <c r="C28">
        <f>SUM(C10:C27)</f>
        <v>19247.13</v>
      </c>
      <c r="D28">
        <f>SUM(D10:D27)</f>
        <v>1178.49</v>
      </c>
      <c r="E28">
        <f>SUM(E10:E27)</f>
        <v>4945.95</v>
      </c>
    </row>
    <row r="30" spans="1:5">
      <c r="B30">
        <f>SUM(B2:B27)</f>
        <v>22549.119999999999</v>
      </c>
      <c r="C30">
        <f>SUM(C2:C27)</f>
        <v>19445.88</v>
      </c>
      <c r="D30">
        <f>SUM(D2:D27)</f>
        <v>1178.49</v>
      </c>
      <c r="E30">
        <f>SUM(E2:E27)</f>
        <v>5388.5399999999991</v>
      </c>
    </row>
  </sheetData>
  <mergeCells count="2">
    <mergeCell ref="A10:A27"/>
    <mergeCell ref="A2:A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K13" workbookViewId="0">
      <selection activeCell="K23" sqref="K23"/>
    </sheetView>
  </sheetViews>
  <sheetFormatPr defaultRowHeight="13.5"/>
  <cols>
    <col min="1" max="1" width="35" style="1635" customWidth="1"/>
    <col min="2" max="2" width="6.25" style="1635" customWidth="1"/>
    <col min="3" max="3" width="11.75" style="1635" customWidth="1"/>
    <col min="4" max="5" width="13.875" style="1635" customWidth="1"/>
    <col min="6" max="6" width="6.75" style="1635" customWidth="1"/>
    <col min="7" max="7" width="7.875" style="1635" customWidth="1"/>
    <col min="8" max="8" width="9" style="1635" customWidth="1"/>
    <col min="9" max="10" width="10.625" style="1635" customWidth="1"/>
    <col min="11" max="11" width="14.375" style="1635" customWidth="1"/>
    <col min="12" max="12" width="6.25" style="1635" customWidth="1"/>
    <col min="13" max="13" width="145" style="1635" customWidth="1"/>
    <col min="14" max="14" width="7.875" style="1635" customWidth="1"/>
    <col min="15" max="256" width="9" style="1635"/>
    <col min="257" max="257" width="90" style="1635" customWidth="1"/>
    <col min="258" max="258" width="6.25" style="1635" customWidth="1"/>
    <col min="259" max="259" width="11.75" style="1635" customWidth="1"/>
    <col min="260" max="261" width="13.875" style="1635" customWidth="1"/>
    <col min="262" max="262" width="6.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145" style="1635" customWidth="1"/>
    <col min="270" max="270" width="7.875" style="1635" customWidth="1"/>
    <col min="271" max="512" width="9" style="1635"/>
    <col min="513" max="513" width="90" style="1635" customWidth="1"/>
    <col min="514" max="514" width="6.25" style="1635" customWidth="1"/>
    <col min="515" max="515" width="11.75" style="1635" customWidth="1"/>
    <col min="516" max="517" width="13.875" style="1635" customWidth="1"/>
    <col min="518" max="518" width="6.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145" style="1635" customWidth="1"/>
    <col min="526" max="526" width="7.875" style="1635" customWidth="1"/>
    <col min="527" max="768" width="9" style="1635"/>
    <col min="769" max="769" width="90" style="1635" customWidth="1"/>
    <col min="770" max="770" width="6.25" style="1635" customWidth="1"/>
    <col min="771" max="771" width="11.75" style="1635" customWidth="1"/>
    <col min="772" max="773" width="13.875" style="1635" customWidth="1"/>
    <col min="774" max="774" width="6.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145" style="1635" customWidth="1"/>
    <col min="782" max="782" width="7.875" style="1635" customWidth="1"/>
    <col min="783" max="1024" width="9" style="1635"/>
    <col min="1025" max="1025" width="90" style="1635" customWidth="1"/>
    <col min="1026" max="1026" width="6.25" style="1635" customWidth="1"/>
    <col min="1027" max="1027" width="11.75" style="1635" customWidth="1"/>
    <col min="1028" max="1029" width="13.875" style="1635" customWidth="1"/>
    <col min="1030" max="1030" width="6.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145" style="1635" customWidth="1"/>
    <col min="1038" max="1038" width="7.875" style="1635" customWidth="1"/>
    <col min="1039" max="1280" width="9" style="1635"/>
    <col min="1281" max="1281" width="90" style="1635" customWidth="1"/>
    <col min="1282" max="1282" width="6.25" style="1635" customWidth="1"/>
    <col min="1283" max="1283" width="11.75" style="1635" customWidth="1"/>
    <col min="1284" max="1285" width="13.875" style="1635" customWidth="1"/>
    <col min="1286" max="1286" width="6.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145" style="1635" customWidth="1"/>
    <col min="1294" max="1294" width="7.875" style="1635" customWidth="1"/>
    <col min="1295" max="1536" width="9" style="1635"/>
    <col min="1537" max="1537" width="90" style="1635" customWidth="1"/>
    <col min="1538" max="1538" width="6.25" style="1635" customWidth="1"/>
    <col min="1539" max="1539" width="11.75" style="1635" customWidth="1"/>
    <col min="1540" max="1541" width="13.875" style="1635" customWidth="1"/>
    <col min="1542" max="1542" width="6.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145" style="1635" customWidth="1"/>
    <col min="1550" max="1550" width="7.875" style="1635" customWidth="1"/>
    <col min="1551" max="1792" width="9" style="1635"/>
    <col min="1793" max="1793" width="90" style="1635" customWidth="1"/>
    <col min="1794" max="1794" width="6.25" style="1635" customWidth="1"/>
    <col min="1795" max="1795" width="11.75" style="1635" customWidth="1"/>
    <col min="1796" max="1797" width="13.875" style="1635" customWidth="1"/>
    <col min="1798" max="1798" width="6.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145" style="1635" customWidth="1"/>
    <col min="1806" max="1806" width="7.875" style="1635" customWidth="1"/>
    <col min="1807" max="2048" width="9" style="1635"/>
    <col min="2049" max="2049" width="90" style="1635" customWidth="1"/>
    <col min="2050" max="2050" width="6.25" style="1635" customWidth="1"/>
    <col min="2051" max="2051" width="11.75" style="1635" customWidth="1"/>
    <col min="2052" max="2053" width="13.875" style="1635" customWidth="1"/>
    <col min="2054" max="2054" width="6.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145" style="1635" customWidth="1"/>
    <col min="2062" max="2062" width="7.875" style="1635" customWidth="1"/>
    <col min="2063" max="2304" width="9" style="1635"/>
    <col min="2305" max="2305" width="90" style="1635" customWidth="1"/>
    <col min="2306" max="2306" width="6.25" style="1635" customWidth="1"/>
    <col min="2307" max="2307" width="11.75" style="1635" customWidth="1"/>
    <col min="2308" max="2309" width="13.875" style="1635" customWidth="1"/>
    <col min="2310" max="2310" width="6.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145" style="1635" customWidth="1"/>
    <col min="2318" max="2318" width="7.875" style="1635" customWidth="1"/>
    <col min="2319" max="2560" width="9" style="1635"/>
    <col min="2561" max="2561" width="90" style="1635" customWidth="1"/>
    <col min="2562" max="2562" width="6.25" style="1635" customWidth="1"/>
    <col min="2563" max="2563" width="11.75" style="1635" customWidth="1"/>
    <col min="2564" max="2565" width="13.875" style="1635" customWidth="1"/>
    <col min="2566" max="2566" width="6.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145" style="1635" customWidth="1"/>
    <col min="2574" max="2574" width="7.875" style="1635" customWidth="1"/>
    <col min="2575" max="2816" width="9" style="1635"/>
    <col min="2817" max="2817" width="90" style="1635" customWidth="1"/>
    <col min="2818" max="2818" width="6.25" style="1635" customWidth="1"/>
    <col min="2819" max="2819" width="11.75" style="1635" customWidth="1"/>
    <col min="2820" max="2821" width="13.875" style="1635" customWidth="1"/>
    <col min="2822" max="2822" width="6.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145" style="1635" customWidth="1"/>
    <col min="2830" max="2830" width="7.875" style="1635" customWidth="1"/>
    <col min="2831" max="3072" width="9" style="1635"/>
    <col min="3073" max="3073" width="90" style="1635" customWidth="1"/>
    <col min="3074" max="3074" width="6.25" style="1635" customWidth="1"/>
    <col min="3075" max="3075" width="11.75" style="1635" customWidth="1"/>
    <col min="3076" max="3077" width="13.875" style="1635" customWidth="1"/>
    <col min="3078" max="3078" width="6.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145" style="1635" customWidth="1"/>
    <col min="3086" max="3086" width="7.875" style="1635" customWidth="1"/>
    <col min="3087" max="3328" width="9" style="1635"/>
    <col min="3329" max="3329" width="90" style="1635" customWidth="1"/>
    <col min="3330" max="3330" width="6.25" style="1635" customWidth="1"/>
    <col min="3331" max="3331" width="11.75" style="1635" customWidth="1"/>
    <col min="3332" max="3333" width="13.875" style="1635" customWidth="1"/>
    <col min="3334" max="3334" width="6.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145" style="1635" customWidth="1"/>
    <col min="3342" max="3342" width="7.875" style="1635" customWidth="1"/>
    <col min="3343" max="3584" width="9" style="1635"/>
    <col min="3585" max="3585" width="90" style="1635" customWidth="1"/>
    <col min="3586" max="3586" width="6.25" style="1635" customWidth="1"/>
    <col min="3587" max="3587" width="11.75" style="1635" customWidth="1"/>
    <col min="3588" max="3589" width="13.875" style="1635" customWidth="1"/>
    <col min="3590" max="3590" width="6.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145" style="1635" customWidth="1"/>
    <col min="3598" max="3598" width="7.875" style="1635" customWidth="1"/>
    <col min="3599" max="3840" width="9" style="1635"/>
    <col min="3841" max="3841" width="90" style="1635" customWidth="1"/>
    <col min="3842" max="3842" width="6.25" style="1635" customWidth="1"/>
    <col min="3843" max="3843" width="11.75" style="1635" customWidth="1"/>
    <col min="3844" max="3845" width="13.875" style="1635" customWidth="1"/>
    <col min="3846" max="3846" width="6.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145" style="1635" customWidth="1"/>
    <col min="3854" max="3854" width="7.875" style="1635" customWidth="1"/>
    <col min="3855" max="4096" width="9" style="1635"/>
    <col min="4097" max="4097" width="90" style="1635" customWidth="1"/>
    <col min="4098" max="4098" width="6.25" style="1635" customWidth="1"/>
    <col min="4099" max="4099" width="11.75" style="1635" customWidth="1"/>
    <col min="4100" max="4101" width="13.875" style="1635" customWidth="1"/>
    <col min="4102" max="4102" width="6.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145" style="1635" customWidth="1"/>
    <col min="4110" max="4110" width="7.875" style="1635" customWidth="1"/>
    <col min="4111" max="4352" width="9" style="1635"/>
    <col min="4353" max="4353" width="90" style="1635" customWidth="1"/>
    <col min="4354" max="4354" width="6.25" style="1635" customWidth="1"/>
    <col min="4355" max="4355" width="11.75" style="1635" customWidth="1"/>
    <col min="4356" max="4357" width="13.875" style="1635" customWidth="1"/>
    <col min="4358" max="4358" width="6.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145" style="1635" customWidth="1"/>
    <col min="4366" max="4366" width="7.875" style="1635" customWidth="1"/>
    <col min="4367" max="4608" width="9" style="1635"/>
    <col min="4609" max="4609" width="90" style="1635" customWidth="1"/>
    <col min="4610" max="4610" width="6.25" style="1635" customWidth="1"/>
    <col min="4611" max="4611" width="11.75" style="1635" customWidth="1"/>
    <col min="4612" max="4613" width="13.875" style="1635" customWidth="1"/>
    <col min="4614" max="4614" width="6.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145" style="1635" customWidth="1"/>
    <col min="4622" max="4622" width="7.875" style="1635" customWidth="1"/>
    <col min="4623" max="4864" width="9" style="1635"/>
    <col min="4865" max="4865" width="90" style="1635" customWidth="1"/>
    <col min="4866" max="4866" width="6.25" style="1635" customWidth="1"/>
    <col min="4867" max="4867" width="11.75" style="1635" customWidth="1"/>
    <col min="4868" max="4869" width="13.875" style="1635" customWidth="1"/>
    <col min="4870" max="4870" width="6.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145" style="1635" customWidth="1"/>
    <col min="4878" max="4878" width="7.875" style="1635" customWidth="1"/>
    <col min="4879" max="5120" width="9" style="1635"/>
    <col min="5121" max="5121" width="90" style="1635" customWidth="1"/>
    <col min="5122" max="5122" width="6.25" style="1635" customWidth="1"/>
    <col min="5123" max="5123" width="11.75" style="1635" customWidth="1"/>
    <col min="5124" max="5125" width="13.875" style="1635" customWidth="1"/>
    <col min="5126" max="5126" width="6.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145" style="1635" customWidth="1"/>
    <col min="5134" max="5134" width="7.875" style="1635" customWidth="1"/>
    <col min="5135" max="5376" width="9" style="1635"/>
    <col min="5377" max="5377" width="90" style="1635" customWidth="1"/>
    <col min="5378" max="5378" width="6.25" style="1635" customWidth="1"/>
    <col min="5379" max="5379" width="11.75" style="1635" customWidth="1"/>
    <col min="5380" max="5381" width="13.875" style="1635" customWidth="1"/>
    <col min="5382" max="5382" width="6.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145" style="1635" customWidth="1"/>
    <col min="5390" max="5390" width="7.875" style="1635" customWidth="1"/>
    <col min="5391" max="5632" width="9" style="1635"/>
    <col min="5633" max="5633" width="90" style="1635" customWidth="1"/>
    <col min="5634" max="5634" width="6.25" style="1635" customWidth="1"/>
    <col min="5635" max="5635" width="11.75" style="1635" customWidth="1"/>
    <col min="5636" max="5637" width="13.875" style="1635" customWidth="1"/>
    <col min="5638" max="5638" width="6.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145" style="1635" customWidth="1"/>
    <col min="5646" max="5646" width="7.875" style="1635" customWidth="1"/>
    <col min="5647" max="5888" width="9" style="1635"/>
    <col min="5889" max="5889" width="90" style="1635" customWidth="1"/>
    <col min="5890" max="5890" width="6.25" style="1635" customWidth="1"/>
    <col min="5891" max="5891" width="11.75" style="1635" customWidth="1"/>
    <col min="5892" max="5893" width="13.875" style="1635" customWidth="1"/>
    <col min="5894" max="5894" width="6.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145" style="1635" customWidth="1"/>
    <col min="5902" max="5902" width="7.875" style="1635" customWidth="1"/>
    <col min="5903" max="6144" width="9" style="1635"/>
    <col min="6145" max="6145" width="90" style="1635" customWidth="1"/>
    <col min="6146" max="6146" width="6.25" style="1635" customWidth="1"/>
    <col min="6147" max="6147" width="11.75" style="1635" customWidth="1"/>
    <col min="6148" max="6149" width="13.875" style="1635" customWidth="1"/>
    <col min="6150" max="6150" width="6.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145" style="1635" customWidth="1"/>
    <col min="6158" max="6158" width="7.875" style="1635" customWidth="1"/>
    <col min="6159" max="6400" width="9" style="1635"/>
    <col min="6401" max="6401" width="90" style="1635" customWidth="1"/>
    <col min="6402" max="6402" width="6.25" style="1635" customWidth="1"/>
    <col min="6403" max="6403" width="11.75" style="1635" customWidth="1"/>
    <col min="6404" max="6405" width="13.875" style="1635" customWidth="1"/>
    <col min="6406" max="6406" width="6.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145" style="1635" customWidth="1"/>
    <col min="6414" max="6414" width="7.875" style="1635" customWidth="1"/>
    <col min="6415" max="6656" width="9" style="1635"/>
    <col min="6657" max="6657" width="90" style="1635" customWidth="1"/>
    <col min="6658" max="6658" width="6.25" style="1635" customWidth="1"/>
    <col min="6659" max="6659" width="11.75" style="1635" customWidth="1"/>
    <col min="6660" max="6661" width="13.875" style="1635" customWidth="1"/>
    <col min="6662" max="6662" width="6.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145" style="1635" customWidth="1"/>
    <col min="6670" max="6670" width="7.875" style="1635" customWidth="1"/>
    <col min="6671" max="6912" width="9" style="1635"/>
    <col min="6913" max="6913" width="90" style="1635" customWidth="1"/>
    <col min="6914" max="6914" width="6.25" style="1635" customWidth="1"/>
    <col min="6915" max="6915" width="11.75" style="1635" customWidth="1"/>
    <col min="6916" max="6917" width="13.875" style="1635" customWidth="1"/>
    <col min="6918" max="6918" width="6.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145" style="1635" customWidth="1"/>
    <col min="6926" max="6926" width="7.875" style="1635" customWidth="1"/>
    <col min="6927" max="7168" width="9" style="1635"/>
    <col min="7169" max="7169" width="90" style="1635" customWidth="1"/>
    <col min="7170" max="7170" width="6.25" style="1635" customWidth="1"/>
    <col min="7171" max="7171" width="11.75" style="1635" customWidth="1"/>
    <col min="7172" max="7173" width="13.875" style="1635" customWidth="1"/>
    <col min="7174" max="7174" width="6.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145" style="1635" customWidth="1"/>
    <col min="7182" max="7182" width="7.875" style="1635" customWidth="1"/>
    <col min="7183" max="7424" width="9" style="1635"/>
    <col min="7425" max="7425" width="90" style="1635" customWidth="1"/>
    <col min="7426" max="7426" width="6.25" style="1635" customWidth="1"/>
    <col min="7427" max="7427" width="11.75" style="1635" customWidth="1"/>
    <col min="7428" max="7429" width="13.875" style="1635" customWidth="1"/>
    <col min="7430" max="7430" width="6.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145" style="1635" customWidth="1"/>
    <col min="7438" max="7438" width="7.875" style="1635" customWidth="1"/>
    <col min="7439" max="7680" width="9" style="1635"/>
    <col min="7681" max="7681" width="90" style="1635" customWidth="1"/>
    <col min="7682" max="7682" width="6.25" style="1635" customWidth="1"/>
    <col min="7683" max="7683" width="11.75" style="1635" customWidth="1"/>
    <col min="7684" max="7685" width="13.875" style="1635" customWidth="1"/>
    <col min="7686" max="7686" width="6.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145" style="1635" customWidth="1"/>
    <col min="7694" max="7694" width="7.875" style="1635" customWidth="1"/>
    <col min="7695" max="7936" width="9" style="1635"/>
    <col min="7937" max="7937" width="90" style="1635" customWidth="1"/>
    <col min="7938" max="7938" width="6.25" style="1635" customWidth="1"/>
    <col min="7939" max="7939" width="11.75" style="1635" customWidth="1"/>
    <col min="7940" max="7941" width="13.875" style="1635" customWidth="1"/>
    <col min="7942" max="7942" width="6.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145" style="1635" customWidth="1"/>
    <col min="7950" max="7950" width="7.875" style="1635" customWidth="1"/>
    <col min="7951" max="8192" width="9" style="1635"/>
    <col min="8193" max="8193" width="90" style="1635" customWidth="1"/>
    <col min="8194" max="8194" width="6.25" style="1635" customWidth="1"/>
    <col min="8195" max="8195" width="11.75" style="1635" customWidth="1"/>
    <col min="8196" max="8197" width="13.875" style="1635" customWidth="1"/>
    <col min="8198" max="8198" width="6.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145" style="1635" customWidth="1"/>
    <col min="8206" max="8206" width="7.875" style="1635" customWidth="1"/>
    <col min="8207" max="8448" width="9" style="1635"/>
    <col min="8449" max="8449" width="90" style="1635" customWidth="1"/>
    <col min="8450" max="8450" width="6.25" style="1635" customWidth="1"/>
    <col min="8451" max="8451" width="11.75" style="1635" customWidth="1"/>
    <col min="8452" max="8453" width="13.875" style="1635" customWidth="1"/>
    <col min="8454" max="8454" width="6.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145" style="1635" customWidth="1"/>
    <col min="8462" max="8462" width="7.875" style="1635" customWidth="1"/>
    <col min="8463" max="8704" width="9" style="1635"/>
    <col min="8705" max="8705" width="90" style="1635" customWidth="1"/>
    <col min="8706" max="8706" width="6.25" style="1635" customWidth="1"/>
    <col min="8707" max="8707" width="11.75" style="1635" customWidth="1"/>
    <col min="8708" max="8709" width="13.875" style="1635" customWidth="1"/>
    <col min="8710" max="8710" width="6.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145" style="1635" customWidth="1"/>
    <col min="8718" max="8718" width="7.875" style="1635" customWidth="1"/>
    <col min="8719" max="8960" width="9" style="1635"/>
    <col min="8961" max="8961" width="90" style="1635" customWidth="1"/>
    <col min="8962" max="8962" width="6.25" style="1635" customWidth="1"/>
    <col min="8963" max="8963" width="11.75" style="1635" customWidth="1"/>
    <col min="8964" max="8965" width="13.875" style="1635" customWidth="1"/>
    <col min="8966" max="8966" width="6.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145" style="1635" customWidth="1"/>
    <col min="8974" max="8974" width="7.875" style="1635" customWidth="1"/>
    <col min="8975" max="9216" width="9" style="1635"/>
    <col min="9217" max="9217" width="90" style="1635" customWidth="1"/>
    <col min="9218" max="9218" width="6.25" style="1635" customWidth="1"/>
    <col min="9219" max="9219" width="11.75" style="1635" customWidth="1"/>
    <col min="9220" max="9221" width="13.875" style="1635" customWidth="1"/>
    <col min="9222" max="9222" width="6.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145" style="1635" customWidth="1"/>
    <col min="9230" max="9230" width="7.875" style="1635" customWidth="1"/>
    <col min="9231" max="9472" width="9" style="1635"/>
    <col min="9473" max="9473" width="90" style="1635" customWidth="1"/>
    <col min="9474" max="9474" width="6.25" style="1635" customWidth="1"/>
    <col min="9475" max="9475" width="11.75" style="1635" customWidth="1"/>
    <col min="9476" max="9477" width="13.875" style="1635" customWidth="1"/>
    <col min="9478" max="9478" width="6.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145" style="1635" customWidth="1"/>
    <col min="9486" max="9486" width="7.875" style="1635" customWidth="1"/>
    <col min="9487" max="9728" width="9" style="1635"/>
    <col min="9729" max="9729" width="90" style="1635" customWidth="1"/>
    <col min="9730" max="9730" width="6.25" style="1635" customWidth="1"/>
    <col min="9731" max="9731" width="11.75" style="1635" customWidth="1"/>
    <col min="9732" max="9733" width="13.875" style="1635" customWidth="1"/>
    <col min="9734" max="9734" width="6.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145" style="1635" customWidth="1"/>
    <col min="9742" max="9742" width="7.875" style="1635" customWidth="1"/>
    <col min="9743" max="9984" width="9" style="1635"/>
    <col min="9985" max="9985" width="90" style="1635" customWidth="1"/>
    <col min="9986" max="9986" width="6.25" style="1635" customWidth="1"/>
    <col min="9987" max="9987" width="11.75" style="1635" customWidth="1"/>
    <col min="9988" max="9989" width="13.875" style="1635" customWidth="1"/>
    <col min="9990" max="9990" width="6.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145" style="1635" customWidth="1"/>
    <col min="9998" max="9998" width="7.875" style="1635" customWidth="1"/>
    <col min="9999" max="10240" width="9" style="1635"/>
    <col min="10241" max="10241" width="90" style="1635" customWidth="1"/>
    <col min="10242" max="10242" width="6.25" style="1635" customWidth="1"/>
    <col min="10243" max="10243" width="11.75" style="1635" customWidth="1"/>
    <col min="10244" max="10245" width="13.875" style="1635" customWidth="1"/>
    <col min="10246" max="10246" width="6.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145" style="1635" customWidth="1"/>
    <col min="10254" max="10254" width="7.875" style="1635" customWidth="1"/>
    <col min="10255" max="10496" width="9" style="1635"/>
    <col min="10497" max="10497" width="90" style="1635" customWidth="1"/>
    <col min="10498" max="10498" width="6.25" style="1635" customWidth="1"/>
    <col min="10499" max="10499" width="11.75" style="1635" customWidth="1"/>
    <col min="10500" max="10501" width="13.875" style="1635" customWidth="1"/>
    <col min="10502" max="10502" width="6.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145" style="1635" customWidth="1"/>
    <col min="10510" max="10510" width="7.875" style="1635" customWidth="1"/>
    <col min="10511" max="10752" width="9" style="1635"/>
    <col min="10753" max="10753" width="90" style="1635" customWidth="1"/>
    <col min="10754" max="10754" width="6.25" style="1635" customWidth="1"/>
    <col min="10755" max="10755" width="11.75" style="1635" customWidth="1"/>
    <col min="10756" max="10757" width="13.875" style="1635" customWidth="1"/>
    <col min="10758" max="10758" width="6.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145" style="1635" customWidth="1"/>
    <col min="10766" max="10766" width="7.875" style="1635" customWidth="1"/>
    <col min="10767" max="11008" width="9" style="1635"/>
    <col min="11009" max="11009" width="90" style="1635" customWidth="1"/>
    <col min="11010" max="11010" width="6.25" style="1635" customWidth="1"/>
    <col min="11011" max="11011" width="11.75" style="1635" customWidth="1"/>
    <col min="11012" max="11013" width="13.875" style="1635" customWidth="1"/>
    <col min="11014" max="11014" width="6.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145" style="1635" customWidth="1"/>
    <col min="11022" max="11022" width="7.875" style="1635" customWidth="1"/>
    <col min="11023" max="11264" width="9" style="1635"/>
    <col min="11265" max="11265" width="90" style="1635" customWidth="1"/>
    <col min="11266" max="11266" width="6.25" style="1635" customWidth="1"/>
    <col min="11267" max="11267" width="11.75" style="1635" customWidth="1"/>
    <col min="11268" max="11269" width="13.875" style="1635" customWidth="1"/>
    <col min="11270" max="11270" width="6.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145" style="1635" customWidth="1"/>
    <col min="11278" max="11278" width="7.875" style="1635" customWidth="1"/>
    <col min="11279" max="11520" width="9" style="1635"/>
    <col min="11521" max="11521" width="90" style="1635" customWidth="1"/>
    <col min="11522" max="11522" width="6.25" style="1635" customWidth="1"/>
    <col min="11523" max="11523" width="11.75" style="1635" customWidth="1"/>
    <col min="11524" max="11525" width="13.875" style="1635" customWidth="1"/>
    <col min="11526" max="11526" width="6.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145" style="1635" customWidth="1"/>
    <col min="11534" max="11534" width="7.875" style="1635" customWidth="1"/>
    <col min="11535" max="11776" width="9" style="1635"/>
    <col min="11777" max="11777" width="90" style="1635" customWidth="1"/>
    <col min="11778" max="11778" width="6.25" style="1635" customWidth="1"/>
    <col min="11779" max="11779" width="11.75" style="1635" customWidth="1"/>
    <col min="11780" max="11781" width="13.875" style="1635" customWidth="1"/>
    <col min="11782" max="11782" width="6.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145" style="1635" customWidth="1"/>
    <col min="11790" max="11790" width="7.875" style="1635" customWidth="1"/>
    <col min="11791" max="12032" width="9" style="1635"/>
    <col min="12033" max="12033" width="90" style="1635" customWidth="1"/>
    <col min="12034" max="12034" width="6.25" style="1635" customWidth="1"/>
    <col min="12035" max="12035" width="11.75" style="1635" customWidth="1"/>
    <col min="12036" max="12037" width="13.875" style="1635" customWidth="1"/>
    <col min="12038" max="12038" width="6.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145" style="1635" customWidth="1"/>
    <col min="12046" max="12046" width="7.875" style="1635" customWidth="1"/>
    <col min="12047" max="12288" width="9" style="1635"/>
    <col min="12289" max="12289" width="90" style="1635" customWidth="1"/>
    <col min="12290" max="12290" width="6.25" style="1635" customWidth="1"/>
    <col min="12291" max="12291" width="11.75" style="1635" customWidth="1"/>
    <col min="12292" max="12293" width="13.875" style="1635" customWidth="1"/>
    <col min="12294" max="12294" width="6.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145" style="1635" customWidth="1"/>
    <col min="12302" max="12302" width="7.875" style="1635" customWidth="1"/>
    <col min="12303" max="12544" width="9" style="1635"/>
    <col min="12545" max="12545" width="90" style="1635" customWidth="1"/>
    <col min="12546" max="12546" width="6.25" style="1635" customWidth="1"/>
    <col min="12547" max="12547" width="11.75" style="1635" customWidth="1"/>
    <col min="12548" max="12549" width="13.875" style="1635" customWidth="1"/>
    <col min="12550" max="12550" width="6.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145" style="1635" customWidth="1"/>
    <col min="12558" max="12558" width="7.875" style="1635" customWidth="1"/>
    <col min="12559" max="12800" width="9" style="1635"/>
    <col min="12801" max="12801" width="90" style="1635" customWidth="1"/>
    <col min="12802" max="12802" width="6.25" style="1635" customWidth="1"/>
    <col min="12803" max="12803" width="11.75" style="1635" customWidth="1"/>
    <col min="12804" max="12805" width="13.875" style="1635" customWidth="1"/>
    <col min="12806" max="12806" width="6.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145" style="1635" customWidth="1"/>
    <col min="12814" max="12814" width="7.875" style="1635" customWidth="1"/>
    <col min="12815" max="13056" width="9" style="1635"/>
    <col min="13057" max="13057" width="90" style="1635" customWidth="1"/>
    <col min="13058" max="13058" width="6.25" style="1635" customWidth="1"/>
    <col min="13059" max="13059" width="11.75" style="1635" customWidth="1"/>
    <col min="13060" max="13061" width="13.875" style="1635" customWidth="1"/>
    <col min="13062" max="13062" width="6.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145" style="1635" customWidth="1"/>
    <col min="13070" max="13070" width="7.875" style="1635" customWidth="1"/>
    <col min="13071" max="13312" width="9" style="1635"/>
    <col min="13313" max="13313" width="90" style="1635" customWidth="1"/>
    <col min="13314" max="13314" width="6.25" style="1635" customWidth="1"/>
    <col min="13315" max="13315" width="11.75" style="1635" customWidth="1"/>
    <col min="13316" max="13317" width="13.875" style="1635" customWidth="1"/>
    <col min="13318" max="13318" width="6.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145" style="1635" customWidth="1"/>
    <col min="13326" max="13326" width="7.875" style="1635" customWidth="1"/>
    <col min="13327" max="13568" width="9" style="1635"/>
    <col min="13569" max="13569" width="90" style="1635" customWidth="1"/>
    <col min="13570" max="13570" width="6.25" style="1635" customWidth="1"/>
    <col min="13571" max="13571" width="11.75" style="1635" customWidth="1"/>
    <col min="13572" max="13573" width="13.875" style="1635" customWidth="1"/>
    <col min="13574" max="13574" width="6.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145" style="1635" customWidth="1"/>
    <col min="13582" max="13582" width="7.875" style="1635" customWidth="1"/>
    <col min="13583" max="13824" width="9" style="1635"/>
    <col min="13825" max="13825" width="90" style="1635" customWidth="1"/>
    <col min="13826" max="13826" width="6.25" style="1635" customWidth="1"/>
    <col min="13827" max="13827" width="11.75" style="1635" customWidth="1"/>
    <col min="13828" max="13829" width="13.875" style="1635" customWidth="1"/>
    <col min="13830" max="13830" width="6.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145" style="1635" customWidth="1"/>
    <col min="13838" max="13838" width="7.875" style="1635" customWidth="1"/>
    <col min="13839" max="14080" width="9" style="1635"/>
    <col min="14081" max="14081" width="90" style="1635" customWidth="1"/>
    <col min="14082" max="14082" width="6.25" style="1635" customWidth="1"/>
    <col min="14083" max="14083" width="11.75" style="1635" customWidth="1"/>
    <col min="14084" max="14085" width="13.875" style="1635" customWidth="1"/>
    <col min="14086" max="14086" width="6.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145" style="1635" customWidth="1"/>
    <col min="14094" max="14094" width="7.875" style="1635" customWidth="1"/>
    <col min="14095" max="14336" width="9" style="1635"/>
    <col min="14337" max="14337" width="90" style="1635" customWidth="1"/>
    <col min="14338" max="14338" width="6.25" style="1635" customWidth="1"/>
    <col min="14339" max="14339" width="11.75" style="1635" customWidth="1"/>
    <col min="14340" max="14341" width="13.875" style="1635" customWidth="1"/>
    <col min="14342" max="14342" width="6.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145" style="1635" customWidth="1"/>
    <col min="14350" max="14350" width="7.875" style="1635" customWidth="1"/>
    <col min="14351" max="14592" width="9" style="1635"/>
    <col min="14593" max="14593" width="90" style="1635" customWidth="1"/>
    <col min="14594" max="14594" width="6.25" style="1635" customWidth="1"/>
    <col min="14595" max="14595" width="11.75" style="1635" customWidth="1"/>
    <col min="14596" max="14597" width="13.875" style="1635" customWidth="1"/>
    <col min="14598" max="14598" width="6.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145" style="1635" customWidth="1"/>
    <col min="14606" max="14606" width="7.875" style="1635" customWidth="1"/>
    <col min="14607" max="14848" width="9" style="1635"/>
    <col min="14849" max="14849" width="90" style="1635" customWidth="1"/>
    <col min="14850" max="14850" width="6.25" style="1635" customWidth="1"/>
    <col min="14851" max="14851" width="11.75" style="1635" customWidth="1"/>
    <col min="14852" max="14853" width="13.875" style="1635" customWidth="1"/>
    <col min="14854" max="14854" width="6.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145" style="1635" customWidth="1"/>
    <col min="14862" max="14862" width="7.875" style="1635" customWidth="1"/>
    <col min="14863" max="15104" width="9" style="1635"/>
    <col min="15105" max="15105" width="90" style="1635" customWidth="1"/>
    <col min="15106" max="15106" width="6.25" style="1635" customWidth="1"/>
    <col min="15107" max="15107" width="11.75" style="1635" customWidth="1"/>
    <col min="15108" max="15109" width="13.875" style="1635" customWidth="1"/>
    <col min="15110" max="15110" width="6.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145" style="1635" customWidth="1"/>
    <col min="15118" max="15118" width="7.875" style="1635" customWidth="1"/>
    <col min="15119" max="15360" width="9" style="1635"/>
    <col min="15361" max="15361" width="90" style="1635" customWidth="1"/>
    <col min="15362" max="15362" width="6.25" style="1635" customWidth="1"/>
    <col min="15363" max="15363" width="11.75" style="1635" customWidth="1"/>
    <col min="15364" max="15365" width="13.875" style="1635" customWidth="1"/>
    <col min="15366" max="15366" width="6.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145" style="1635" customWidth="1"/>
    <col min="15374" max="15374" width="7.875" style="1635" customWidth="1"/>
    <col min="15375" max="15616" width="9" style="1635"/>
    <col min="15617" max="15617" width="90" style="1635" customWidth="1"/>
    <col min="15618" max="15618" width="6.25" style="1635" customWidth="1"/>
    <col min="15619" max="15619" width="11.75" style="1635" customWidth="1"/>
    <col min="15620" max="15621" width="13.875" style="1635" customWidth="1"/>
    <col min="15622" max="15622" width="6.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145" style="1635" customWidth="1"/>
    <col min="15630" max="15630" width="7.875" style="1635" customWidth="1"/>
    <col min="15631" max="15872" width="9" style="1635"/>
    <col min="15873" max="15873" width="90" style="1635" customWidth="1"/>
    <col min="15874" max="15874" width="6.25" style="1635" customWidth="1"/>
    <col min="15875" max="15875" width="11.75" style="1635" customWidth="1"/>
    <col min="15876" max="15877" width="13.875" style="1635" customWidth="1"/>
    <col min="15878" max="15878" width="6.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145" style="1635" customWidth="1"/>
    <col min="15886" max="15886" width="7.875" style="1635" customWidth="1"/>
    <col min="15887" max="16128" width="9" style="1635"/>
    <col min="16129" max="16129" width="90" style="1635" customWidth="1"/>
    <col min="16130" max="16130" width="6.25" style="1635" customWidth="1"/>
    <col min="16131" max="16131" width="11.75" style="1635" customWidth="1"/>
    <col min="16132" max="16133" width="13.875" style="1635" customWidth="1"/>
    <col min="16134" max="16134" width="6.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145" style="1635" customWidth="1"/>
    <col min="16142" max="16142" width="7.875" style="1635" customWidth="1"/>
    <col min="16143" max="16384" width="9" style="1635"/>
  </cols>
  <sheetData>
    <row r="1" spans="1:14">
      <c r="A1" s="1635" t="s">
        <v>3114</v>
      </c>
      <c r="B1" s="1635" t="s">
        <v>3115</v>
      </c>
      <c r="C1" s="1635" t="s">
        <v>3116</v>
      </c>
      <c r="D1" s="1635" t="s">
        <v>3117</v>
      </c>
      <c r="E1" s="1635" t="s">
        <v>3118</v>
      </c>
      <c r="F1" s="1635" t="s">
        <v>3119</v>
      </c>
      <c r="G1" s="1635" t="s">
        <v>3120</v>
      </c>
      <c r="H1" s="1635" t="s">
        <v>3121</v>
      </c>
      <c r="I1" s="1635" t="s">
        <v>3122</v>
      </c>
      <c r="J1" s="1635" t="s">
        <v>3123</v>
      </c>
      <c r="K1" s="1635" t="s">
        <v>3124</v>
      </c>
      <c r="L1" s="1635" t="s">
        <v>3125</v>
      </c>
      <c r="M1" s="1635" t="s">
        <v>3126</v>
      </c>
      <c r="N1" s="1635" t="s">
        <v>3127</v>
      </c>
    </row>
    <row r="2" spans="1:14">
      <c r="A2" s="1635" t="s">
        <v>3128</v>
      </c>
      <c r="B2" s="1635" t="s">
        <v>3090</v>
      </c>
      <c r="C2" s="1635" t="s">
        <v>3129</v>
      </c>
      <c r="D2" s="1635">
        <v>28622.32</v>
      </c>
      <c r="E2" s="1635">
        <v>71556</v>
      </c>
      <c r="F2" s="1635">
        <v>2.5</v>
      </c>
      <c r="G2" s="1635" t="s">
        <v>3130</v>
      </c>
      <c r="H2" s="1635" t="s">
        <v>3131</v>
      </c>
      <c r="I2" s="1635">
        <v>132000</v>
      </c>
      <c r="J2" s="1635">
        <v>132000</v>
      </c>
      <c r="K2" s="1635">
        <v>18447.09</v>
      </c>
      <c r="L2" s="1635">
        <v>0</v>
      </c>
      <c r="M2" s="1635" t="s">
        <v>3132</v>
      </c>
      <c r="N2" s="1635" t="s">
        <v>3133</v>
      </c>
    </row>
    <row r="3" spans="1:14">
      <c r="A3" s="1635" t="s">
        <v>3134</v>
      </c>
      <c r="B3" s="1635" t="s">
        <v>3090</v>
      </c>
      <c r="C3" s="1635" t="s">
        <v>3129</v>
      </c>
      <c r="D3" s="1635">
        <v>28725.47</v>
      </c>
      <c r="E3" s="1635">
        <v>71814</v>
      </c>
      <c r="F3" s="1635">
        <v>2.5</v>
      </c>
      <c r="G3" s="1635" t="s">
        <v>3135</v>
      </c>
      <c r="H3" s="1635" t="s">
        <v>3136</v>
      </c>
      <c r="I3" s="1635" t="s">
        <v>1321</v>
      </c>
      <c r="J3" s="1635">
        <v>32000</v>
      </c>
      <c r="K3" s="1635">
        <v>4455.96</v>
      </c>
      <c r="L3" s="1635" t="s">
        <v>1321</v>
      </c>
      <c r="M3" s="1635" t="s">
        <v>3137</v>
      </c>
      <c r="N3" s="1635" t="s">
        <v>3138</v>
      </c>
    </row>
    <row r="4" spans="1:14">
      <c r="A4" s="1635" t="s">
        <v>3139</v>
      </c>
      <c r="B4" s="1635" t="s">
        <v>3090</v>
      </c>
      <c r="C4" s="1635" t="s">
        <v>3129</v>
      </c>
      <c r="D4" s="1635">
        <v>138746.29999999999</v>
      </c>
      <c r="E4" s="1635">
        <v>486596</v>
      </c>
      <c r="F4" s="1635">
        <v>3.51</v>
      </c>
      <c r="G4" s="1635" t="s">
        <v>3130</v>
      </c>
      <c r="H4" s="1635" t="s">
        <v>3140</v>
      </c>
      <c r="I4" s="1635">
        <v>866300</v>
      </c>
      <c r="J4" s="1635">
        <v>866300</v>
      </c>
      <c r="K4" s="1635">
        <v>17803.27</v>
      </c>
      <c r="L4" s="1635">
        <v>0</v>
      </c>
      <c r="M4" s="1635" t="s">
        <v>3141</v>
      </c>
      <c r="N4" s="1635" t="s">
        <v>3138</v>
      </c>
    </row>
    <row r="5" spans="1:14">
      <c r="A5" s="1635" t="s">
        <v>3142</v>
      </c>
      <c r="B5" s="1635" t="s">
        <v>3090</v>
      </c>
      <c r="C5" s="1635" t="s">
        <v>3129</v>
      </c>
      <c r="D5" s="1635">
        <v>39410.74</v>
      </c>
      <c r="E5" s="1635">
        <v>120000</v>
      </c>
      <c r="F5" s="1635">
        <v>3.04</v>
      </c>
      <c r="G5" s="1635" t="s">
        <v>3135</v>
      </c>
      <c r="H5" s="1635" t="s">
        <v>3143</v>
      </c>
      <c r="I5" s="1635" t="s">
        <v>1321</v>
      </c>
      <c r="J5" s="1635">
        <v>318758</v>
      </c>
      <c r="K5" s="1635">
        <v>26563.16</v>
      </c>
      <c r="L5" s="1635" t="s">
        <v>1321</v>
      </c>
      <c r="M5" s="1635" t="s">
        <v>3144</v>
      </c>
      <c r="N5" s="1635" t="s">
        <v>3138</v>
      </c>
    </row>
    <row r="6" spans="1:14">
      <c r="A6" s="1635" t="s">
        <v>3145</v>
      </c>
      <c r="B6" s="1635" t="s">
        <v>3090</v>
      </c>
      <c r="C6" s="1635" t="s">
        <v>3129</v>
      </c>
      <c r="D6" s="1635">
        <v>113768</v>
      </c>
      <c r="E6" s="1635">
        <v>119494</v>
      </c>
      <c r="F6" s="1635">
        <v>1.05</v>
      </c>
      <c r="G6" s="1635" t="s">
        <v>3130</v>
      </c>
      <c r="H6" s="1635" t="s">
        <v>3146</v>
      </c>
      <c r="I6" s="1635" t="s">
        <v>1321</v>
      </c>
      <c r="J6" s="1635">
        <v>74000</v>
      </c>
      <c r="K6" s="1635">
        <v>6192.77</v>
      </c>
      <c r="L6" s="1635" t="s">
        <v>1321</v>
      </c>
      <c r="M6" s="1635" t="s">
        <v>3147</v>
      </c>
      <c r="N6" s="1635" t="s">
        <v>3133</v>
      </c>
    </row>
    <row r="7" spans="1:14">
      <c r="A7" s="1635" t="s">
        <v>3148</v>
      </c>
      <c r="B7" s="1635" t="s">
        <v>3090</v>
      </c>
      <c r="C7" s="1635" t="s">
        <v>3129</v>
      </c>
      <c r="D7" s="1635">
        <v>33071.620000000003</v>
      </c>
      <c r="E7" s="1635">
        <v>122423.9</v>
      </c>
      <c r="F7" s="1635">
        <v>3.7</v>
      </c>
      <c r="G7" s="1635" t="s">
        <v>3130</v>
      </c>
      <c r="H7" s="1635" t="s">
        <v>3149</v>
      </c>
      <c r="I7" s="1635">
        <v>183000</v>
      </c>
      <c r="J7" s="1635">
        <v>183000</v>
      </c>
      <c r="K7" s="1635">
        <v>14948.05</v>
      </c>
      <c r="L7" s="1635">
        <v>0</v>
      </c>
      <c r="M7" s="1635" t="s">
        <v>3150</v>
      </c>
      <c r="N7" s="1635" t="s">
        <v>3133</v>
      </c>
    </row>
    <row r="8" spans="1:14">
      <c r="A8" s="1635" t="s">
        <v>3151</v>
      </c>
      <c r="B8" s="1635" t="s">
        <v>3090</v>
      </c>
      <c r="C8" s="1635" t="s">
        <v>3129</v>
      </c>
      <c r="D8" s="1635">
        <v>338760.2</v>
      </c>
      <c r="E8" s="1635">
        <v>232306.7</v>
      </c>
      <c r="F8" s="1635">
        <v>0.69</v>
      </c>
      <c r="G8" s="1635" t="s">
        <v>3135</v>
      </c>
      <c r="H8" s="1635" t="s">
        <v>3152</v>
      </c>
      <c r="I8" s="1635" t="s">
        <v>1321</v>
      </c>
      <c r="J8" s="1635">
        <v>89500</v>
      </c>
      <c r="K8" s="1635">
        <v>3852.67</v>
      </c>
      <c r="L8" s="1635" t="s">
        <v>1321</v>
      </c>
      <c r="M8" s="1635" t="s">
        <v>3153</v>
      </c>
      <c r="N8" s="1635" t="s">
        <v>3154</v>
      </c>
    </row>
    <row r="9" spans="1:14">
      <c r="A9" s="1635" t="s">
        <v>3155</v>
      </c>
      <c r="B9" s="1635" t="s">
        <v>3090</v>
      </c>
      <c r="C9" s="1635" t="s">
        <v>3129</v>
      </c>
      <c r="D9" s="1635">
        <v>18015.060000000001</v>
      </c>
      <c r="E9" s="1635">
        <v>54046</v>
      </c>
      <c r="F9" s="1635">
        <v>3</v>
      </c>
      <c r="G9" s="1635" t="s">
        <v>3130</v>
      </c>
      <c r="H9" s="1635" t="s">
        <v>3156</v>
      </c>
      <c r="I9" s="1635">
        <v>60000</v>
      </c>
      <c r="J9" s="1635">
        <v>60000</v>
      </c>
      <c r="K9" s="1635">
        <v>11101.64</v>
      </c>
      <c r="L9" s="1635">
        <v>0</v>
      </c>
      <c r="M9" s="1635" t="s">
        <v>3157</v>
      </c>
      <c r="N9" s="1635" t="s">
        <v>3133</v>
      </c>
    </row>
    <row r="10" spans="1:14">
      <c r="A10" s="1635" t="s">
        <v>3158</v>
      </c>
      <c r="B10" s="1635" t="s">
        <v>3090</v>
      </c>
      <c r="C10" s="1635" t="s">
        <v>3129</v>
      </c>
      <c r="D10" s="1635">
        <v>59747.77</v>
      </c>
      <c r="E10" s="1635">
        <v>89622</v>
      </c>
      <c r="F10" s="1635">
        <v>1.5</v>
      </c>
      <c r="G10" s="1635" t="s">
        <v>3130</v>
      </c>
      <c r="H10" s="1635" t="s">
        <v>3159</v>
      </c>
      <c r="I10" s="1635">
        <v>146800</v>
      </c>
      <c r="J10" s="1635">
        <v>146800</v>
      </c>
      <c r="K10" s="1635">
        <v>16379.9</v>
      </c>
      <c r="L10" s="1635">
        <v>0</v>
      </c>
      <c r="M10" s="1635" t="s">
        <v>3160</v>
      </c>
      <c r="N10" s="1635" t="s">
        <v>3138</v>
      </c>
    </row>
    <row r="11" spans="1:14">
      <c r="A11" s="1635" t="s">
        <v>3161</v>
      </c>
      <c r="B11" s="1635" t="s">
        <v>3090</v>
      </c>
      <c r="C11" s="1635" t="s">
        <v>3129</v>
      </c>
      <c r="D11" s="1635">
        <v>31420.65</v>
      </c>
      <c r="E11" s="1635">
        <v>65983</v>
      </c>
      <c r="F11" s="1635">
        <v>2.1</v>
      </c>
      <c r="G11" s="1635" t="s">
        <v>3130</v>
      </c>
      <c r="H11" s="1635" t="s">
        <v>3159</v>
      </c>
      <c r="I11" s="1635">
        <v>108100</v>
      </c>
      <c r="J11" s="1635">
        <v>108100</v>
      </c>
      <c r="K11" s="1635">
        <v>16383.01</v>
      </c>
      <c r="L11" s="1635">
        <v>0</v>
      </c>
      <c r="M11" s="1635" t="s">
        <v>3162</v>
      </c>
      <c r="N11" s="1635" t="s">
        <v>3138</v>
      </c>
    </row>
    <row r="12" spans="1:14">
      <c r="A12" s="1635" t="s">
        <v>3163</v>
      </c>
      <c r="B12" s="1635" t="s">
        <v>3090</v>
      </c>
      <c r="C12" s="1635" t="s">
        <v>3129</v>
      </c>
      <c r="D12" s="1635">
        <v>176099.5</v>
      </c>
      <c r="E12" s="1635">
        <v>153071</v>
      </c>
      <c r="F12" s="1635">
        <v>0.86899999999999999</v>
      </c>
      <c r="G12" s="1635" t="s">
        <v>3130</v>
      </c>
      <c r="H12" s="1635" t="s">
        <v>3164</v>
      </c>
      <c r="I12" s="1635" t="s">
        <v>1321</v>
      </c>
      <c r="J12" s="1635">
        <v>93800</v>
      </c>
      <c r="K12" s="1635">
        <v>6127.88</v>
      </c>
      <c r="L12" s="1635" t="s">
        <v>1321</v>
      </c>
      <c r="M12" s="1635" t="s">
        <v>3165</v>
      </c>
      <c r="N12" s="1635" t="s">
        <v>3154</v>
      </c>
    </row>
    <row r="13" spans="1:14">
      <c r="A13" s="1635" t="s">
        <v>3166</v>
      </c>
      <c r="B13" s="1635" t="s">
        <v>3090</v>
      </c>
      <c r="C13" s="1635" t="s">
        <v>3129</v>
      </c>
      <c r="D13" s="1635">
        <v>15240.2</v>
      </c>
      <c r="E13" s="1635">
        <v>86800</v>
      </c>
      <c r="F13" s="1635">
        <v>5.6955</v>
      </c>
      <c r="G13" s="1635" t="s">
        <v>3130</v>
      </c>
      <c r="H13" s="1635" t="s">
        <v>3167</v>
      </c>
      <c r="I13" s="1635">
        <v>237500</v>
      </c>
      <c r="J13" s="1635">
        <v>242500</v>
      </c>
      <c r="K13" s="1635">
        <v>27937.79</v>
      </c>
      <c r="L13" s="1635">
        <v>2.11</v>
      </c>
      <c r="M13" s="1635" t="s">
        <v>3168</v>
      </c>
      <c r="N13" s="1635" t="s">
        <v>3169</v>
      </c>
    </row>
    <row r="14" spans="1:14">
      <c r="A14" s="1635" t="s">
        <v>3170</v>
      </c>
      <c r="B14" s="1635" t="s">
        <v>3090</v>
      </c>
      <c r="C14" s="1635" t="s">
        <v>3129</v>
      </c>
      <c r="D14" s="1635">
        <v>16863.939999999999</v>
      </c>
      <c r="E14" s="1635">
        <v>87923.61</v>
      </c>
      <c r="F14" s="1635">
        <v>5.2137000000000002</v>
      </c>
      <c r="G14" s="1635" t="s">
        <v>3130</v>
      </c>
      <c r="H14" s="1635" t="s">
        <v>3171</v>
      </c>
      <c r="I14" s="1635">
        <v>211000</v>
      </c>
      <c r="J14" s="1635">
        <v>211000</v>
      </c>
      <c r="K14" s="1635">
        <v>23998.09</v>
      </c>
      <c r="L14" s="1635">
        <v>0</v>
      </c>
      <c r="M14" s="1635" t="s">
        <v>3172</v>
      </c>
      <c r="N14" s="1635" t="s">
        <v>3138</v>
      </c>
    </row>
    <row r="15" spans="1:14">
      <c r="A15" s="1635" t="s">
        <v>3173</v>
      </c>
      <c r="B15" s="1635" t="s">
        <v>3090</v>
      </c>
      <c r="C15" s="1635" t="s">
        <v>3129</v>
      </c>
      <c r="D15" s="1635">
        <v>14089.17</v>
      </c>
      <c r="E15" s="1635">
        <v>105000</v>
      </c>
      <c r="F15" s="1635">
        <v>7.4525300000000003</v>
      </c>
      <c r="G15" s="1635" t="s">
        <v>3130</v>
      </c>
      <c r="H15" s="1635" t="s">
        <v>3171</v>
      </c>
      <c r="I15" s="1635">
        <v>252000</v>
      </c>
      <c r="J15" s="1635">
        <v>355000</v>
      </c>
      <c r="K15" s="1635">
        <v>33809.51</v>
      </c>
      <c r="L15" s="1635">
        <v>40.869999999999997</v>
      </c>
      <c r="M15" s="1635" t="s">
        <v>3174</v>
      </c>
      <c r="N15" s="1635" t="s">
        <v>3138</v>
      </c>
    </row>
    <row r="16" spans="1:14">
      <c r="A16" s="1635" t="s">
        <v>3175</v>
      </c>
      <c r="B16" s="1635" t="s">
        <v>3090</v>
      </c>
      <c r="C16" s="1635" t="s">
        <v>3129</v>
      </c>
      <c r="D16" s="1635">
        <v>5237.16</v>
      </c>
      <c r="E16" s="1635">
        <v>10474</v>
      </c>
      <c r="F16" s="1635">
        <v>2</v>
      </c>
      <c r="G16" s="1635" t="s">
        <v>3130</v>
      </c>
      <c r="H16" s="1635" t="s">
        <v>3176</v>
      </c>
      <c r="I16" s="1635">
        <v>13000</v>
      </c>
      <c r="J16" s="1635">
        <v>13700</v>
      </c>
      <c r="K16" s="1635">
        <v>13080.01</v>
      </c>
      <c r="L16" s="1635">
        <v>5.38</v>
      </c>
      <c r="M16" s="1635" t="s">
        <v>3177</v>
      </c>
      <c r="N16" s="1635" t="s">
        <v>3133</v>
      </c>
    </row>
    <row r="17" spans="1:14">
      <c r="A17" s="1635" t="s">
        <v>3178</v>
      </c>
      <c r="B17" s="1635" t="s">
        <v>3090</v>
      </c>
      <c r="C17" s="1635" t="s">
        <v>3129</v>
      </c>
      <c r="D17" s="1635">
        <v>66237.2</v>
      </c>
      <c r="E17" s="1635">
        <v>264058.7</v>
      </c>
      <c r="F17" s="1635">
        <v>3.99</v>
      </c>
      <c r="G17" s="1635" t="s">
        <v>3130</v>
      </c>
      <c r="H17" s="1635" t="s">
        <v>3179</v>
      </c>
      <c r="I17" s="1635">
        <v>385000</v>
      </c>
      <c r="J17" s="1635">
        <v>385000</v>
      </c>
      <c r="K17" s="1635">
        <v>14580.09</v>
      </c>
      <c r="L17" s="1635">
        <v>0</v>
      </c>
      <c r="M17" s="1635" t="s">
        <v>3180</v>
      </c>
      <c r="N17" s="1635" t="s">
        <v>3133</v>
      </c>
    </row>
    <row r="18" spans="1:14">
      <c r="A18" s="1635" t="s">
        <v>3181</v>
      </c>
      <c r="B18" s="1635" t="s">
        <v>3090</v>
      </c>
      <c r="C18" s="1635" t="s">
        <v>3129</v>
      </c>
      <c r="D18" s="1635">
        <v>27295.08</v>
      </c>
      <c r="E18" s="1635">
        <v>160000</v>
      </c>
      <c r="F18" s="1635">
        <v>5.8</v>
      </c>
      <c r="G18" s="1635" t="s">
        <v>3130</v>
      </c>
      <c r="H18" s="1635" t="s">
        <v>3182</v>
      </c>
      <c r="I18" s="1635">
        <v>432000</v>
      </c>
      <c r="J18" s="1635">
        <v>434000</v>
      </c>
      <c r="K18" s="1635">
        <v>27125</v>
      </c>
      <c r="L18" s="1635">
        <v>0.46</v>
      </c>
      <c r="M18" s="1635" t="s">
        <v>3183</v>
      </c>
      <c r="N18" s="1635" t="s">
        <v>3169</v>
      </c>
    </row>
    <row r="19" spans="1:14">
      <c r="A19" s="1635" t="s">
        <v>3184</v>
      </c>
      <c r="B19" s="1635" t="s">
        <v>3090</v>
      </c>
      <c r="C19" s="1635" t="s">
        <v>3129</v>
      </c>
      <c r="D19" s="1635">
        <v>35230.230000000003</v>
      </c>
      <c r="E19" s="1635">
        <v>88076</v>
      </c>
      <c r="F19" s="1635">
        <v>2.5</v>
      </c>
      <c r="G19" s="1635" t="s">
        <v>3130</v>
      </c>
      <c r="H19" s="1635" t="s">
        <v>3185</v>
      </c>
      <c r="I19" s="1635">
        <v>62000</v>
      </c>
      <c r="J19" s="1635">
        <v>62000</v>
      </c>
      <c r="K19" s="1635">
        <v>7039.38</v>
      </c>
      <c r="L19" s="1635">
        <v>0</v>
      </c>
      <c r="M19" s="1635" t="s">
        <v>3186</v>
      </c>
      <c r="N19" s="1635" t="s">
        <v>3133</v>
      </c>
    </row>
    <row r="20" spans="1:14">
      <c r="A20" s="1635" t="s">
        <v>3187</v>
      </c>
      <c r="B20" s="1635" t="s">
        <v>3090</v>
      </c>
      <c r="C20" s="1635" t="s">
        <v>3129</v>
      </c>
      <c r="D20" s="1635">
        <v>170200.2</v>
      </c>
      <c r="E20" s="1635">
        <v>255301</v>
      </c>
      <c r="F20" s="1635">
        <v>1.5</v>
      </c>
      <c r="G20" s="1635" t="s">
        <v>3130</v>
      </c>
      <c r="H20" s="1635" t="s">
        <v>3188</v>
      </c>
      <c r="I20" s="1635">
        <v>255000</v>
      </c>
      <c r="J20" s="1635">
        <v>259500</v>
      </c>
      <c r="K20" s="1635">
        <v>10164.459999999999</v>
      </c>
      <c r="L20" s="1635">
        <v>1.76</v>
      </c>
      <c r="M20" s="1635" t="s">
        <v>3189</v>
      </c>
      <c r="N20" s="1635" t="s">
        <v>3133</v>
      </c>
    </row>
    <row r="21" spans="1:14">
      <c r="A21" s="1635" t="s">
        <v>3190</v>
      </c>
      <c r="B21" s="1635" t="s">
        <v>3090</v>
      </c>
      <c r="C21" s="1635" t="s">
        <v>3129</v>
      </c>
      <c r="D21" s="1635">
        <v>120885</v>
      </c>
      <c r="E21" s="1635">
        <v>256512</v>
      </c>
      <c r="F21" s="1635" t="s">
        <v>1321</v>
      </c>
      <c r="G21" s="1635" t="s">
        <v>3130</v>
      </c>
      <c r="H21" s="1635" t="s">
        <v>3188</v>
      </c>
      <c r="I21" s="1635">
        <v>250000</v>
      </c>
      <c r="J21" s="1635">
        <v>250000</v>
      </c>
      <c r="K21" s="1635">
        <v>9746.1200000000008</v>
      </c>
      <c r="L21" s="1635">
        <v>0</v>
      </c>
      <c r="M21" s="1635" t="s">
        <v>3191</v>
      </c>
      <c r="N21" s="1635" t="s">
        <v>3133</v>
      </c>
    </row>
    <row r="22" spans="1:14" s="2959" customFormat="1">
      <c r="A22" s="3006" t="s">
        <v>3315</v>
      </c>
      <c r="B22" s="2959" t="s">
        <v>3090</v>
      </c>
      <c r="C22" s="2959" t="s">
        <v>3129</v>
      </c>
      <c r="D22" s="2959">
        <v>39744.120000000003</v>
      </c>
      <c r="E22" s="2959">
        <v>119232</v>
      </c>
      <c r="F22" s="2959">
        <v>3</v>
      </c>
      <c r="G22" s="2959" t="s">
        <v>3130</v>
      </c>
      <c r="H22" s="2959" t="s">
        <v>3192</v>
      </c>
      <c r="I22" s="2959">
        <v>227000</v>
      </c>
      <c r="J22" s="2959">
        <v>292000</v>
      </c>
      <c r="K22" s="2959">
        <v>24490.06</v>
      </c>
      <c r="L22" s="2959">
        <v>28.63</v>
      </c>
      <c r="M22" s="2959" t="s">
        <v>3193</v>
      </c>
      <c r="N22" s="2959" t="s">
        <v>3133</v>
      </c>
    </row>
    <row r="23" spans="1:14">
      <c r="A23" s="1635" t="s">
        <v>3194</v>
      </c>
      <c r="B23" s="1635" t="s">
        <v>3090</v>
      </c>
      <c r="C23" s="1635" t="s">
        <v>3129</v>
      </c>
      <c r="D23" s="1635">
        <v>92055.95</v>
      </c>
      <c r="E23" s="1635">
        <v>92056</v>
      </c>
      <c r="F23" s="1635">
        <v>1</v>
      </c>
      <c r="G23" s="1635" t="s">
        <v>3135</v>
      </c>
      <c r="H23" s="1635" t="s">
        <v>3195</v>
      </c>
      <c r="I23" s="1635" t="s">
        <v>1321</v>
      </c>
      <c r="J23" s="1635">
        <v>285373.59000000003</v>
      </c>
      <c r="K23" s="1635">
        <v>31000</v>
      </c>
      <c r="L23" s="1635" t="s">
        <v>1321</v>
      </c>
      <c r="M23" s="1635" t="s">
        <v>3196</v>
      </c>
      <c r="N23" s="1635" t="s">
        <v>3133</v>
      </c>
    </row>
    <row r="24" spans="1:14">
      <c r="A24" s="1635" t="s">
        <v>3197</v>
      </c>
      <c r="B24" s="1635" t="s">
        <v>3090</v>
      </c>
      <c r="C24" s="1635" t="s">
        <v>3129</v>
      </c>
      <c r="D24" s="1635">
        <v>18303.330000000002</v>
      </c>
      <c r="E24" s="1635">
        <v>58571</v>
      </c>
      <c r="F24" s="1635">
        <v>3.2</v>
      </c>
      <c r="G24" s="1635" t="s">
        <v>3130</v>
      </c>
      <c r="H24" s="1635" t="s">
        <v>3198</v>
      </c>
      <c r="I24" s="1635">
        <v>79600</v>
      </c>
      <c r="J24" s="1635">
        <v>129000</v>
      </c>
      <c r="K24" s="1635">
        <v>22024.54</v>
      </c>
      <c r="L24" s="1635">
        <v>62.06</v>
      </c>
      <c r="M24" s="1635" t="s">
        <v>3199</v>
      </c>
      <c r="N24" s="1635" t="s">
        <v>3138</v>
      </c>
    </row>
    <row r="25" spans="1:14">
      <c r="A25" s="1635" t="s">
        <v>3200</v>
      </c>
      <c r="B25" s="1635" t="s">
        <v>3090</v>
      </c>
      <c r="C25" s="1635" t="s">
        <v>3129</v>
      </c>
      <c r="D25" s="1635">
        <v>29183.54</v>
      </c>
      <c r="E25" s="1635">
        <v>72959</v>
      </c>
      <c r="F25" s="1635">
        <v>2.5</v>
      </c>
      <c r="G25" s="1635" t="s">
        <v>3130</v>
      </c>
      <c r="H25" s="1635" t="s">
        <v>3201</v>
      </c>
      <c r="I25" s="1635">
        <v>83000</v>
      </c>
      <c r="J25" s="1635">
        <v>106000</v>
      </c>
      <c r="K25" s="1635">
        <v>14528.7</v>
      </c>
      <c r="L25" s="1635">
        <v>27.71</v>
      </c>
      <c r="M25" s="1635" t="s">
        <v>3202</v>
      </c>
      <c r="N25" s="1635" t="s">
        <v>3133</v>
      </c>
    </row>
    <row r="26" spans="1:14" s="2959" customFormat="1">
      <c r="A26" s="2959" t="s">
        <v>3203</v>
      </c>
      <c r="B26" s="2959" t="s">
        <v>3090</v>
      </c>
      <c r="C26" s="2959" t="s">
        <v>3129</v>
      </c>
      <c r="D26" s="2959">
        <v>46165.91</v>
      </c>
      <c r="E26" s="2959">
        <v>92332</v>
      </c>
      <c r="F26" s="2959">
        <v>2</v>
      </c>
      <c r="G26" s="2959" t="s">
        <v>3130</v>
      </c>
      <c r="H26" s="2959" t="s">
        <v>3201</v>
      </c>
      <c r="I26" s="2959">
        <v>176000</v>
      </c>
      <c r="J26" s="2959">
        <v>225000</v>
      </c>
      <c r="K26" s="2959">
        <v>24368.58</v>
      </c>
      <c r="L26" s="2959">
        <v>27.84</v>
      </c>
      <c r="M26" s="2959" t="s">
        <v>3204</v>
      </c>
      <c r="N26" s="2959" t="s">
        <v>3133</v>
      </c>
    </row>
    <row r="27" spans="1:14" s="2959" customFormat="1">
      <c r="A27" s="2959" t="s">
        <v>3205</v>
      </c>
      <c r="B27" s="2959" t="s">
        <v>3090</v>
      </c>
      <c r="C27" s="2959" t="s">
        <v>3129</v>
      </c>
      <c r="D27" s="2959">
        <v>38100</v>
      </c>
      <c r="E27" s="2959">
        <v>76200</v>
      </c>
      <c r="F27" s="2959">
        <v>2</v>
      </c>
      <c r="G27" s="2959" t="s">
        <v>3130</v>
      </c>
      <c r="H27" s="2959" t="s">
        <v>3201</v>
      </c>
      <c r="I27" s="2959">
        <v>145000</v>
      </c>
      <c r="J27" s="2959">
        <v>204000</v>
      </c>
      <c r="K27" s="2959">
        <v>26771.65</v>
      </c>
      <c r="L27" s="2959">
        <v>40.69</v>
      </c>
      <c r="M27" s="2959" t="s">
        <v>3206</v>
      </c>
      <c r="N27" s="2959" t="s">
        <v>3133</v>
      </c>
    </row>
    <row r="28" spans="1:14">
      <c r="A28" s="1635" t="s">
        <v>3207</v>
      </c>
      <c r="B28" s="1635" t="s">
        <v>3090</v>
      </c>
      <c r="C28" s="1635" t="s">
        <v>3129</v>
      </c>
      <c r="D28" s="1635">
        <v>23639.39</v>
      </c>
      <c r="E28" s="1635">
        <v>75646</v>
      </c>
      <c r="F28" s="1635">
        <v>3.2</v>
      </c>
      <c r="G28" s="1635" t="s">
        <v>3130</v>
      </c>
      <c r="H28" s="1635" t="s">
        <v>3208</v>
      </c>
      <c r="I28" s="1635">
        <v>102000</v>
      </c>
      <c r="J28" s="1635">
        <v>103020</v>
      </c>
      <c r="K28" s="1635">
        <v>13618.7</v>
      </c>
      <c r="L28" s="1635">
        <v>1</v>
      </c>
      <c r="M28" s="1635" t="s">
        <v>3209</v>
      </c>
      <c r="N28" s="1635" t="s">
        <v>3138</v>
      </c>
    </row>
    <row r="29" spans="1:14">
      <c r="A29" s="1635" t="s">
        <v>3210</v>
      </c>
      <c r="B29" s="1635" t="s">
        <v>3090</v>
      </c>
      <c r="C29" s="1635" t="s">
        <v>3129</v>
      </c>
      <c r="D29" s="1635">
        <v>69848.44</v>
      </c>
      <c r="E29" s="1635">
        <v>146863</v>
      </c>
      <c r="F29" s="1635">
        <v>2.1</v>
      </c>
      <c r="G29" s="1635" t="s">
        <v>3130</v>
      </c>
      <c r="H29" s="1635" t="s">
        <v>3211</v>
      </c>
      <c r="I29" s="1635">
        <v>220000</v>
      </c>
      <c r="J29" s="1635">
        <v>220000</v>
      </c>
      <c r="K29" s="1635">
        <v>14979.95</v>
      </c>
      <c r="L29" s="1635">
        <v>0</v>
      </c>
      <c r="M29" s="1635" t="s">
        <v>3212</v>
      </c>
      <c r="N29" s="1635" t="s">
        <v>3138</v>
      </c>
    </row>
    <row r="30" spans="1:14">
      <c r="A30" s="1635" t="s">
        <v>3213</v>
      </c>
      <c r="B30" s="1635" t="s">
        <v>3090</v>
      </c>
      <c r="C30" s="1635" t="s">
        <v>3129</v>
      </c>
      <c r="D30" s="1635">
        <v>66079.679999999993</v>
      </c>
      <c r="E30" s="1635">
        <v>111429</v>
      </c>
      <c r="F30" s="1635">
        <v>1.69</v>
      </c>
      <c r="G30" s="1635" t="s">
        <v>3130</v>
      </c>
      <c r="H30" s="1635" t="s">
        <v>3211</v>
      </c>
      <c r="I30" s="1635">
        <v>135000</v>
      </c>
      <c r="J30" s="1635">
        <v>135000</v>
      </c>
      <c r="K30" s="1635">
        <v>12115.34</v>
      </c>
      <c r="L30" s="1635">
        <v>0</v>
      </c>
      <c r="M30" s="1635" t="s">
        <v>3162</v>
      </c>
      <c r="N30" s="1635" t="s">
        <v>3138</v>
      </c>
    </row>
    <row r="31" spans="1:14">
      <c r="A31" s="1635" t="s">
        <v>3214</v>
      </c>
      <c r="B31" s="1635" t="s">
        <v>3090</v>
      </c>
      <c r="C31" s="1635" t="s">
        <v>3129</v>
      </c>
      <c r="D31" s="1635">
        <v>85709</v>
      </c>
      <c r="E31" s="1635">
        <v>179122</v>
      </c>
      <c r="F31" s="1635">
        <v>2.09</v>
      </c>
      <c r="G31" s="1635" t="s">
        <v>3130</v>
      </c>
      <c r="H31" s="1635" t="s">
        <v>3215</v>
      </c>
      <c r="I31" s="1635">
        <v>126000</v>
      </c>
      <c r="J31" s="1635">
        <v>378000</v>
      </c>
      <c r="K31" s="1635">
        <v>21102.93</v>
      </c>
      <c r="L31" s="1635">
        <v>200</v>
      </c>
      <c r="M31" s="1635" t="s">
        <v>3216</v>
      </c>
      <c r="N31" s="1635" t="s">
        <v>3154</v>
      </c>
    </row>
    <row r="32" spans="1:14">
      <c r="A32" s="1635" t="s">
        <v>3217</v>
      </c>
      <c r="B32" s="1635" t="s">
        <v>3090</v>
      </c>
      <c r="C32" s="1635" t="s">
        <v>3129</v>
      </c>
      <c r="D32" s="1635">
        <v>10384</v>
      </c>
      <c r="E32" s="1635">
        <v>25960</v>
      </c>
      <c r="F32" s="1635">
        <v>2.5</v>
      </c>
      <c r="G32" s="1635" t="s">
        <v>3130</v>
      </c>
      <c r="H32" s="1635" t="s">
        <v>3215</v>
      </c>
      <c r="I32" s="1635">
        <v>51300</v>
      </c>
      <c r="J32" s="1635">
        <v>51300</v>
      </c>
      <c r="K32" s="1635">
        <v>19761.16</v>
      </c>
      <c r="L32" s="1635">
        <v>0</v>
      </c>
      <c r="M32" s="1635" t="s">
        <v>3218</v>
      </c>
      <c r="N32" s="1635" t="s">
        <v>3138</v>
      </c>
    </row>
    <row r="33" spans="1:14">
      <c r="A33" s="1635" t="s">
        <v>3219</v>
      </c>
      <c r="B33" s="1635" t="s">
        <v>3090</v>
      </c>
      <c r="C33" s="1635" t="s">
        <v>3129</v>
      </c>
      <c r="D33" s="1635">
        <v>8466</v>
      </c>
      <c r="E33" s="1635">
        <v>21165</v>
      </c>
      <c r="F33" s="1635">
        <v>2.5</v>
      </c>
      <c r="G33" s="1635" t="s">
        <v>3130</v>
      </c>
      <c r="H33" s="1635" t="s">
        <v>3220</v>
      </c>
      <c r="I33" s="1635">
        <v>40600</v>
      </c>
      <c r="J33" s="1635">
        <v>42000</v>
      </c>
      <c r="K33" s="1635">
        <v>19844.080000000002</v>
      </c>
      <c r="L33" s="1635">
        <v>3.45</v>
      </c>
      <c r="M33" s="1635" t="s">
        <v>3221</v>
      </c>
      <c r="N33" s="1635" t="s">
        <v>3138</v>
      </c>
    </row>
    <row r="34" spans="1:14">
      <c r="A34" s="1635" t="s">
        <v>3222</v>
      </c>
      <c r="B34" s="1635" t="s">
        <v>3090</v>
      </c>
      <c r="C34" s="1635" t="s">
        <v>3129</v>
      </c>
      <c r="D34" s="1635">
        <v>2070793</v>
      </c>
      <c r="E34" s="1635">
        <v>1642730</v>
      </c>
      <c r="F34" s="1635">
        <v>0.79</v>
      </c>
      <c r="G34" s="1635" t="s">
        <v>3130</v>
      </c>
      <c r="H34" s="1635" t="s">
        <v>3223</v>
      </c>
      <c r="I34" s="1635">
        <v>870000</v>
      </c>
      <c r="J34" s="1635">
        <v>870000</v>
      </c>
      <c r="K34" s="1635">
        <v>5296.06</v>
      </c>
      <c r="L34" s="1635">
        <v>0</v>
      </c>
      <c r="M34" s="1635" t="s">
        <v>3224</v>
      </c>
      <c r="N34" s="1635" t="s">
        <v>3138</v>
      </c>
    </row>
    <row r="35" spans="1:14">
      <c r="A35" s="1635" t="s">
        <v>3225</v>
      </c>
      <c r="B35" s="1635" t="s">
        <v>3090</v>
      </c>
      <c r="C35" s="1635" t="s">
        <v>3129</v>
      </c>
      <c r="D35" s="1635">
        <v>13326.99</v>
      </c>
      <c r="E35" s="1635">
        <v>46644</v>
      </c>
      <c r="F35" s="1635">
        <v>3.5</v>
      </c>
      <c r="G35" s="1635" t="s">
        <v>3130</v>
      </c>
      <c r="H35" s="1635" t="s">
        <v>3226</v>
      </c>
      <c r="I35" s="1635">
        <v>68000</v>
      </c>
      <c r="J35" s="1635">
        <v>141000</v>
      </c>
      <c r="K35" s="1635">
        <v>30228.97</v>
      </c>
      <c r="L35" s="1635">
        <v>107.35</v>
      </c>
      <c r="M35" s="1635" t="s">
        <v>3227</v>
      </c>
      <c r="N35" s="1635" t="s">
        <v>3138</v>
      </c>
    </row>
    <row r="36" spans="1:14">
      <c r="A36" s="1635" t="s">
        <v>3228</v>
      </c>
      <c r="B36" s="1635" t="s">
        <v>3090</v>
      </c>
      <c r="C36" s="1635" t="s">
        <v>3129</v>
      </c>
      <c r="D36" s="1635">
        <v>33619.79</v>
      </c>
      <c r="E36" s="1635">
        <v>134479</v>
      </c>
      <c r="F36" s="1635">
        <v>4</v>
      </c>
      <c r="G36" s="1635" t="s">
        <v>3130</v>
      </c>
      <c r="H36" s="1635" t="s">
        <v>3229</v>
      </c>
      <c r="I36" s="1635">
        <v>153000</v>
      </c>
      <c r="J36" s="1635">
        <v>334000</v>
      </c>
      <c r="K36" s="1635">
        <v>24836.59</v>
      </c>
      <c r="L36" s="1635">
        <v>118.3</v>
      </c>
      <c r="M36" s="1635" t="s">
        <v>3230</v>
      </c>
      <c r="N36" s="1635" t="s">
        <v>3138</v>
      </c>
    </row>
    <row r="37" spans="1:14">
      <c r="A37" s="1635" t="s">
        <v>3231</v>
      </c>
      <c r="B37" s="1635" t="s">
        <v>3090</v>
      </c>
      <c r="C37" s="1635" t="s">
        <v>3129</v>
      </c>
      <c r="D37" s="1635">
        <v>71916.58</v>
      </c>
      <c r="E37" s="1635">
        <v>107875</v>
      </c>
      <c r="F37" s="1635">
        <v>1.5</v>
      </c>
      <c r="G37" s="1635" t="s">
        <v>3130</v>
      </c>
      <c r="H37" s="1635" t="s">
        <v>3232</v>
      </c>
      <c r="I37" s="1635">
        <v>90000</v>
      </c>
      <c r="J37" s="1635">
        <v>181000</v>
      </c>
      <c r="K37" s="1635">
        <v>16778.68</v>
      </c>
      <c r="L37" s="1635">
        <v>101.11</v>
      </c>
      <c r="M37" s="1635" t="s">
        <v>3233</v>
      </c>
      <c r="N37" s="1635" t="s">
        <v>3133</v>
      </c>
    </row>
    <row r="38" spans="1:14">
      <c r="A38" s="1635" t="s">
        <v>3234</v>
      </c>
      <c r="B38" s="1635" t="s">
        <v>3090</v>
      </c>
      <c r="C38" s="1635" t="s">
        <v>3129</v>
      </c>
      <c r="D38" s="1635">
        <v>47919.26</v>
      </c>
      <c r="E38" s="1635">
        <v>143758</v>
      </c>
      <c r="F38" s="1635">
        <v>3</v>
      </c>
      <c r="G38" s="1635" t="s">
        <v>3130</v>
      </c>
      <c r="H38" s="1635" t="s">
        <v>3235</v>
      </c>
      <c r="I38" s="1635">
        <v>120000</v>
      </c>
      <c r="J38" s="1635">
        <v>130000</v>
      </c>
      <c r="K38" s="1635">
        <v>9042.9599999999991</v>
      </c>
      <c r="L38" s="1635">
        <v>8.33</v>
      </c>
      <c r="M38" s="1635" t="s">
        <v>3233</v>
      </c>
      <c r="N38" s="1635" t="s">
        <v>3133</v>
      </c>
    </row>
    <row r="39" spans="1:14" s="2960" customFormat="1">
      <c r="A39" s="2960" t="s">
        <v>3236</v>
      </c>
      <c r="B39" s="2960" t="s">
        <v>3090</v>
      </c>
      <c r="C39" s="2960" t="s">
        <v>3129</v>
      </c>
      <c r="D39" s="2960">
        <v>49477.2</v>
      </c>
      <c r="E39" s="2960">
        <v>123693</v>
      </c>
      <c r="F39" s="2960">
        <v>2.5</v>
      </c>
      <c r="G39" s="2960" t="s">
        <v>3130</v>
      </c>
      <c r="H39" s="2960" t="s">
        <v>3237</v>
      </c>
      <c r="I39" s="2960">
        <v>74300</v>
      </c>
      <c r="J39" s="2960">
        <v>187500</v>
      </c>
      <c r="K39" s="2960">
        <v>15158.5</v>
      </c>
      <c r="L39" s="2960">
        <v>152.36000000000001</v>
      </c>
      <c r="M39" s="2960" t="s">
        <v>3238</v>
      </c>
      <c r="N39" s="2960" t="s">
        <v>3133</v>
      </c>
    </row>
    <row r="40" spans="1:14">
      <c r="A40" s="1635" t="s">
        <v>3239</v>
      </c>
      <c r="B40" s="1635" t="s">
        <v>3090</v>
      </c>
      <c r="C40" s="1635" t="s">
        <v>3129</v>
      </c>
      <c r="D40" s="1635">
        <v>18313.7</v>
      </c>
      <c r="E40" s="1635">
        <v>119400</v>
      </c>
      <c r="F40" s="1635">
        <v>6.52</v>
      </c>
      <c r="G40" s="1635" t="s">
        <v>3135</v>
      </c>
      <c r="H40" s="1635" t="s">
        <v>3240</v>
      </c>
      <c r="I40" s="1635" t="s">
        <v>1321</v>
      </c>
      <c r="J40" s="1635">
        <v>415000</v>
      </c>
      <c r="K40" s="1635">
        <v>34757.120000000003</v>
      </c>
      <c r="L40" s="1635" t="s">
        <v>1321</v>
      </c>
      <c r="M40" s="1635" t="s">
        <v>3241</v>
      </c>
      <c r="N40" s="1635" t="s">
        <v>3138</v>
      </c>
    </row>
    <row r="41" spans="1:14">
      <c r="A41" s="1635" t="s">
        <v>3242</v>
      </c>
      <c r="B41" s="1635" t="s">
        <v>3090</v>
      </c>
      <c r="C41" s="1635" t="s">
        <v>3129</v>
      </c>
      <c r="D41" s="1635">
        <v>61900.3</v>
      </c>
      <c r="E41" s="1635">
        <v>111421</v>
      </c>
      <c r="F41" s="1635">
        <v>1.8</v>
      </c>
      <c r="G41" s="1635" t="s">
        <v>3130</v>
      </c>
      <c r="H41" s="1635" t="s">
        <v>3243</v>
      </c>
      <c r="I41" s="1635">
        <v>89500</v>
      </c>
      <c r="J41" s="1635">
        <v>197000</v>
      </c>
      <c r="K41" s="1635">
        <v>17680.68</v>
      </c>
      <c r="L41" s="1635">
        <v>120.11</v>
      </c>
      <c r="M41" s="1635" t="s">
        <v>3233</v>
      </c>
      <c r="N41" s="1635" t="s">
        <v>3133</v>
      </c>
    </row>
    <row r="42" spans="1:14">
      <c r="A42" s="1635" t="s">
        <v>3244</v>
      </c>
      <c r="B42" s="1635" t="s">
        <v>3090</v>
      </c>
      <c r="C42" s="1635" t="s">
        <v>3129</v>
      </c>
      <c r="D42" s="1635">
        <v>66594.820000000007</v>
      </c>
      <c r="E42" s="1635">
        <v>119871</v>
      </c>
      <c r="F42" s="1635">
        <v>1.8</v>
      </c>
      <c r="G42" s="1635" t="s">
        <v>3130</v>
      </c>
      <c r="H42" s="1635" t="s">
        <v>3243</v>
      </c>
      <c r="I42" s="1635">
        <v>96000</v>
      </c>
      <c r="J42" s="1635">
        <v>196000</v>
      </c>
      <c r="K42" s="1635">
        <v>16350.9</v>
      </c>
      <c r="L42" s="1635">
        <v>104.17</v>
      </c>
      <c r="M42" s="1635" t="s">
        <v>3233</v>
      </c>
      <c r="N42" s="1635" t="s">
        <v>3133</v>
      </c>
    </row>
    <row r="43" spans="1:14">
      <c r="A43" s="1635" t="s">
        <v>3245</v>
      </c>
      <c r="B43" s="1635" t="s">
        <v>3090</v>
      </c>
      <c r="C43" s="1635" t="s">
        <v>3129</v>
      </c>
      <c r="D43" s="1635">
        <v>44700.95</v>
      </c>
      <c r="E43" s="1635">
        <v>80462</v>
      </c>
      <c r="F43" s="1635">
        <v>1.8</v>
      </c>
      <c r="G43" s="1635" t="s">
        <v>3130</v>
      </c>
      <c r="H43" s="1635" t="s">
        <v>3246</v>
      </c>
      <c r="I43" s="1635">
        <v>22400</v>
      </c>
      <c r="J43" s="1635">
        <v>22400</v>
      </c>
      <c r="K43" s="1635">
        <v>2783.92</v>
      </c>
      <c r="L43" s="1635">
        <v>0</v>
      </c>
      <c r="M43" s="1635" t="s">
        <v>3247</v>
      </c>
      <c r="N43" s="1635" t="s">
        <v>3133</v>
      </c>
    </row>
    <row r="44" spans="1:14">
      <c r="A44" s="1635" t="s">
        <v>3248</v>
      </c>
      <c r="B44" s="1635" t="s">
        <v>3090</v>
      </c>
      <c r="C44" s="1635" t="s">
        <v>3129</v>
      </c>
      <c r="D44" s="1635">
        <v>35244.94</v>
      </c>
      <c r="E44" s="1635">
        <v>123357</v>
      </c>
      <c r="F44" s="1635">
        <v>3.5</v>
      </c>
      <c r="G44" s="1635" t="s">
        <v>3130</v>
      </c>
      <c r="H44" s="1635" t="s">
        <v>3249</v>
      </c>
      <c r="I44" s="1635">
        <v>160000</v>
      </c>
      <c r="J44" s="1635">
        <v>354000</v>
      </c>
      <c r="K44" s="1635">
        <v>28697.200000000001</v>
      </c>
      <c r="L44" s="1635">
        <v>121.25</v>
      </c>
      <c r="M44" s="1635" t="s">
        <v>3250</v>
      </c>
      <c r="N44" s="1635" t="s">
        <v>3138</v>
      </c>
    </row>
    <row r="45" spans="1:14">
      <c r="A45" s="1635" t="s">
        <v>3251</v>
      </c>
      <c r="B45" s="1635" t="s">
        <v>3090</v>
      </c>
      <c r="C45" s="1635" t="s">
        <v>3129</v>
      </c>
      <c r="D45" s="1635">
        <v>74500</v>
      </c>
      <c r="E45" s="1635">
        <v>475640</v>
      </c>
      <c r="F45" s="1635">
        <v>6.38</v>
      </c>
      <c r="G45" s="1635" t="s">
        <v>3130</v>
      </c>
      <c r="H45" s="1635" t="s">
        <v>3252</v>
      </c>
      <c r="I45" s="1635">
        <v>420000</v>
      </c>
      <c r="J45" s="1635">
        <v>420000</v>
      </c>
      <c r="K45" s="1635">
        <v>8830.2000000000007</v>
      </c>
      <c r="L45" s="1635">
        <v>0</v>
      </c>
      <c r="M45" s="1635" t="s">
        <v>3253</v>
      </c>
      <c r="N45" s="1635" t="s">
        <v>3138</v>
      </c>
    </row>
    <row r="46" spans="1:14">
      <c r="A46" s="1635" t="s">
        <v>3254</v>
      </c>
      <c r="B46" s="1635" t="s">
        <v>3090</v>
      </c>
      <c r="C46" s="1635" t="s">
        <v>3129</v>
      </c>
      <c r="D46" s="1635">
        <v>17629.740000000002</v>
      </c>
      <c r="E46" s="1635">
        <v>52889</v>
      </c>
      <c r="F46" s="1635">
        <v>3</v>
      </c>
      <c r="G46" s="1635" t="s">
        <v>3130</v>
      </c>
      <c r="H46" s="1635" t="s">
        <v>3255</v>
      </c>
      <c r="I46" s="1635">
        <v>63500</v>
      </c>
      <c r="J46" s="1635">
        <v>64200</v>
      </c>
      <c r="K46" s="1635">
        <v>12138.62</v>
      </c>
      <c r="L46" s="1635">
        <v>1.1000000000000001</v>
      </c>
      <c r="M46" s="1635" t="s">
        <v>3256</v>
      </c>
      <c r="N46" s="1635" t="s">
        <v>3138</v>
      </c>
    </row>
    <row r="47" spans="1:14">
      <c r="A47" s="1635" t="s">
        <v>3257</v>
      </c>
      <c r="B47" s="1635" t="s">
        <v>3090</v>
      </c>
      <c r="C47" s="1635" t="s">
        <v>3129</v>
      </c>
      <c r="D47" s="1635">
        <v>20680.23</v>
      </c>
      <c r="E47" s="1635">
        <v>62041</v>
      </c>
      <c r="F47" s="1635">
        <v>3</v>
      </c>
      <c r="G47" s="1635" t="s">
        <v>3130</v>
      </c>
      <c r="H47" s="1635" t="s">
        <v>3258</v>
      </c>
      <c r="I47" s="1635">
        <v>75000</v>
      </c>
      <c r="J47" s="1635">
        <v>81000</v>
      </c>
      <c r="K47" s="1635">
        <v>13055.87</v>
      </c>
      <c r="L47" s="1635">
        <v>8</v>
      </c>
      <c r="M47" s="1635" t="s">
        <v>3259</v>
      </c>
      <c r="N47" s="1635" t="s">
        <v>3138</v>
      </c>
    </row>
    <row r="48" spans="1:14">
      <c r="A48" s="1635" t="s">
        <v>3260</v>
      </c>
      <c r="B48" s="1635" t="s">
        <v>3090</v>
      </c>
      <c r="C48" s="1635" t="s">
        <v>3129</v>
      </c>
      <c r="D48" s="1635">
        <v>27377.24</v>
      </c>
      <c r="E48" s="1635">
        <v>62968</v>
      </c>
      <c r="F48" s="1635">
        <v>2.2999999999999998</v>
      </c>
      <c r="G48" s="1635" t="s">
        <v>3130</v>
      </c>
      <c r="H48" s="1635" t="s">
        <v>3258</v>
      </c>
      <c r="I48" s="1635">
        <v>65000</v>
      </c>
      <c r="J48" s="1635">
        <v>65000</v>
      </c>
      <c r="K48" s="1635">
        <v>10322.700000000001</v>
      </c>
      <c r="L48" s="1635">
        <v>0</v>
      </c>
      <c r="M48" s="1635" t="s">
        <v>3212</v>
      </c>
      <c r="N48" s="1635" t="s">
        <v>3169</v>
      </c>
    </row>
    <row r="49" spans="1:14">
      <c r="A49" s="1635" t="s">
        <v>3261</v>
      </c>
      <c r="B49" s="1635" t="s">
        <v>3090</v>
      </c>
      <c r="C49" s="1635" t="s">
        <v>3129</v>
      </c>
      <c r="D49" s="1635">
        <v>14788.3</v>
      </c>
      <c r="E49" s="1635">
        <v>59153</v>
      </c>
      <c r="F49" s="1635">
        <v>4</v>
      </c>
      <c r="G49" s="1635" t="s">
        <v>3130</v>
      </c>
      <c r="H49" s="1635" t="s">
        <v>3262</v>
      </c>
      <c r="I49" s="1635">
        <v>71500</v>
      </c>
      <c r="J49" s="1635">
        <v>176000</v>
      </c>
      <c r="K49" s="1635">
        <v>29753.34</v>
      </c>
      <c r="L49" s="1635">
        <v>146.15</v>
      </c>
      <c r="M49" s="1635" t="s">
        <v>3263</v>
      </c>
      <c r="N49" s="1635" t="s">
        <v>3138</v>
      </c>
    </row>
    <row r="50" spans="1:14">
      <c r="A50" s="1635" t="s">
        <v>3264</v>
      </c>
      <c r="B50" s="1635" t="s">
        <v>3090</v>
      </c>
      <c r="C50" s="1635" t="s">
        <v>3129</v>
      </c>
      <c r="D50" s="1635">
        <v>29500</v>
      </c>
      <c r="E50" s="1635">
        <v>118000</v>
      </c>
      <c r="F50" s="1635">
        <v>4</v>
      </c>
      <c r="G50" s="1635" t="s">
        <v>3130</v>
      </c>
      <c r="H50" s="1635" t="s">
        <v>3262</v>
      </c>
      <c r="I50" s="1635">
        <v>142000</v>
      </c>
      <c r="J50" s="1635">
        <v>342000</v>
      </c>
      <c r="K50" s="1635">
        <v>28983.040000000001</v>
      </c>
      <c r="L50" s="1635">
        <v>140.85</v>
      </c>
      <c r="M50" s="1635" t="s">
        <v>3263</v>
      </c>
      <c r="N50" s="1635" t="s">
        <v>3138</v>
      </c>
    </row>
    <row r="51" spans="1:14">
      <c r="A51" s="1635" t="s">
        <v>3265</v>
      </c>
      <c r="B51" s="1635" t="s">
        <v>3090</v>
      </c>
      <c r="C51" s="1635" t="s">
        <v>3129</v>
      </c>
      <c r="D51" s="1635">
        <v>15089.35</v>
      </c>
      <c r="E51" s="1635">
        <v>60357</v>
      </c>
      <c r="F51" s="1635">
        <v>4</v>
      </c>
      <c r="G51" s="1635" t="s">
        <v>3130</v>
      </c>
      <c r="H51" s="1635" t="s">
        <v>3266</v>
      </c>
      <c r="I51" s="1635">
        <v>71000</v>
      </c>
      <c r="J51" s="1635">
        <v>110000</v>
      </c>
      <c r="K51" s="1635">
        <v>18224.900000000001</v>
      </c>
      <c r="L51" s="1635">
        <v>54.93</v>
      </c>
      <c r="M51" s="1635" t="s">
        <v>3267</v>
      </c>
      <c r="N51" s="1635" t="s">
        <v>3138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1631</v>
      </c>
      <c r="B2" s="3019" t="s">
        <v>1632</v>
      </c>
      <c r="C2" s="3019" t="s">
        <v>1633</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20"/>
      <c r="B3" s="3020"/>
      <c r="C3" s="3020"/>
      <c r="D3" s="1044" t="s">
        <v>1628</v>
      </c>
      <c r="E3" s="1044" t="s">
        <v>1634</v>
      </c>
      <c r="F3" s="1044" t="s">
        <v>1628</v>
      </c>
      <c r="G3" s="1044" t="s">
        <v>1629</v>
      </c>
      <c r="H3" s="1044" t="s">
        <v>1628</v>
      </c>
      <c r="I3" s="1044" t="s">
        <v>1629</v>
      </c>
    </row>
    <row r="4" spans="1:9" ht="30">
      <c r="A4" s="1973" t="str">
        <f>项目基本情况!S2</f>
        <v>北京市出让国有建设用地使用权及在建建筑物房地产</v>
      </c>
      <c r="B4" s="1044">
        <f>项目基本情况!C17</f>
        <v>48562.030000000006</v>
      </c>
      <c r="C4" s="1044">
        <f>项目基本情况!C18</f>
        <v>15620.22</v>
      </c>
      <c r="D4" s="1044">
        <f ca="1">结果表!D118</f>
        <v>109597</v>
      </c>
      <c r="E4" s="1044">
        <f ca="1">结果表!E118</f>
        <v>22568</v>
      </c>
      <c r="F4" s="1044">
        <f ca="1">结果表!F118</f>
        <v>12177</v>
      </c>
      <c r="G4" s="1044">
        <f ca="1">结果表!G118</f>
        <v>2508</v>
      </c>
      <c r="H4" s="1044">
        <f ca="1">结果表!H118</f>
        <v>121774</v>
      </c>
      <c r="I4" s="1044">
        <f ca="1">结果表!I118</f>
        <v>25076</v>
      </c>
    </row>
    <row r="5" spans="1:9" ht="30" customHeight="1">
      <c r="A5" s="3020" t="s">
        <v>1630</v>
      </c>
      <c r="B5" s="3020"/>
      <c r="C5" s="3020"/>
      <c r="D5" s="3021" t="str">
        <f ca="1">结果表!D119</f>
        <v>壹拾亿玖仟伍佰玖拾柒万元整</v>
      </c>
      <c r="E5" s="3021"/>
      <c r="F5" s="3021" t="str">
        <f ca="1">结果表!F119</f>
        <v>壹亿贰仟壹佰柒拾柒万元整</v>
      </c>
      <c r="G5" s="3021"/>
      <c r="H5" s="3021" t="str">
        <f ca="1">结果表!H119</f>
        <v>壹拾贰亿壹仟柒佰柒拾肆万元整</v>
      </c>
      <c r="I5" s="3021"/>
    </row>
    <row r="6" spans="1:9" ht="15.75">
      <c r="A6" s="3022" t="str">
        <f>结果表!A120</f>
        <v>估价师知悉的法定优先受偿款</v>
      </c>
      <c r="B6" s="3022"/>
      <c r="C6" s="3022"/>
      <c r="D6" s="3022">
        <f>结果表!D120</f>
        <v>0</v>
      </c>
      <c r="E6" s="3022"/>
      <c r="F6" s="3022"/>
      <c r="G6" s="3022"/>
      <c r="H6" s="3022"/>
      <c r="I6" s="3022"/>
    </row>
    <row r="7" spans="1:9" ht="15">
      <c r="A7" s="3020" t="s">
        <v>1630</v>
      </c>
      <c r="B7" s="3020"/>
      <c r="C7" s="3020"/>
      <c r="D7" s="3023" t="str">
        <f>结果表!D121</f>
        <v>零元整</v>
      </c>
      <c r="E7" s="3024"/>
      <c r="F7" s="3024"/>
      <c r="G7" s="3024"/>
      <c r="H7" s="3024"/>
      <c r="I7" s="3025"/>
    </row>
    <row r="8" spans="1:9" ht="15.75">
      <c r="A8" s="3022" t="str">
        <f>结果表!A122</f>
        <v>房地产抵押价值</v>
      </c>
      <c r="B8" s="3022"/>
      <c r="C8" s="3022"/>
      <c r="D8" s="3022">
        <f ca="1">结果表!D122</f>
        <v>121774</v>
      </c>
      <c r="E8" s="3022"/>
      <c r="F8" s="3022"/>
      <c r="G8" s="3022"/>
      <c r="H8" s="3022"/>
      <c r="I8" s="3022"/>
    </row>
    <row r="9" spans="1:9" ht="15">
      <c r="A9" s="3020" t="s">
        <v>1630</v>
      </c>
      <c r="B9" s="3020"/>
      <c r="C9" s="3020"/>
      <c r="D9" s="3021" t="str">
        <f ca="1">结果表!D123</f>
        <v>壹拾贰亿壹仟柒佰柒拾肆万元整</v>
      </c>
      <c r="E9" s="3021"/>
      <c r="F9" s="3021"/>
      <c r="G9" s="3021"/>
      <c r="H9" s="3021"/>
      <c r="I9" s="3021"/>
    </row>
    <row r="10" spans="1:9" ht="15.75">
      <c r="A10" s="3022" t="str">
        <f>结果表!A124</f>
        <v/>
      </c>
      <c r="B10" s="3022"/>
      <c r="C10" s="3022"/>
      <c r="D10" s="3022" t="str">
        <f>结果表!D124</f>
        <v>——</v>
      </c>
      <c r="E10" s="3022"/>
      <c r="F10" s="3022"/>
      <c r="G10" s="3022"/>
      <c r="H10" s="3022"/>
      <c r="I10" s="3022"/>
    </row>
    <row r="11" spans="1:9" ht="15">
      <c r="A11" s="3020" t="s">
        <v>1630</v>
      </c>
      <c r="B11" s="3020"/>
      <c r="C11" s="3020"/>
      <c r="D11" s="3021" t="e">
        <f>结果表!D125</f>
        <v>#VALUE!</v>
      </c>
      <c r="E11" s="3021"/>
      <c r="F11" s="3021"/>
      <c r="G11" s="3021"/>
      <c r="H11" s="3021"/>
      <c r="I11" s="3021"/>
    </row>
    <row r="12" spans="1:9" ht="15.75">
      <c r="A12" s="3022" t="str">
        <f>结果表!A126</f>
        <v/>
      </c>
      <c r="B12" s="3022"/>
      <c r="C12" s="3022"/>
      <c r="D12" s="3022" t="str">
        <f>结果表!D126</f>
        <v>——</v>
      </c>
      <c r="E12" s="3022"/>
      <c r="F12" s="3022"/>
      <c r="G12" s="3022"/>
      <c r="H12" s="3022"/>
      <c r="I12" s="3022"/>
    </row>
    <row r="13" spans="1:9" ht="15.75" thickBot="1">
      <c r="A13" s="3026" t="s">
        <v>1630</v>
      </c>
      <c r="B13" s="3026"/>
      <c r="C13" s="3026"/>
      <c r="D13" s="3027" t="e">
        <f>结果表!D127</f>
        <v>#VALUE!</v>
      </c>
      <c r="E13" s="3027"/>
      <c r="F13" s="3027"/>
      <c r="G13" s="3027"/>
      <c r="H13" s="3027"/>
      <c r="I13" s="3027"/>
    </row>
    <row r="14" spans="1:9" ht="15" thickTop="1">
      <c r="A14" s="3028" t="s">
        <v>1635</v>
      </c>
      <c r="B14" s="3028"/>
      <c r="C14" s="3028"/>
      <c r="D14" s="3028"/>
      <c r="E14" s="3028"/>
      <c r="F14" s="3028"/>
      <c r="G14" s="3028"/>
      <c r="H14" s="3028"/>
      <c r="I14" s="3028"/>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9" t="s">
        <v>1652</v>
      </c>
      <c r="B1" s="3029"/>
      <c r="C1" s="3029"/>
      <c r="D1" s="3029"/>
    </row>
    <row r="2" spans="1:4" ht="18">
      <c r="A2" s="3030" t="s">
        <v>1636</v>
      </c>
      <c r="B2" s="3030"/>
      <c r="C2" s="3030"/>
      <c r="D2" s="3030"/>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3030" t="s">
        <v>1642</v>
      </c>
      <c r="B6" s="3030"/>
      <c r="C6" s="3030"/>
      <c r="D6" s="3030"/>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3031" t="s">
        <v>1645</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1646</v>
      </c>
      <c r="B16" s="3035"/>
      <c r="C16" s="3035"/>
      <c r="D16" s="3035"/>
    </row>
    <row r="17" spans="1:4" ht="144" customHeight="1">
      <c r="A17" s="3035" t="s">
        <v>1647</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1648</v>
      </c>
      <c r="B22" s="3037"/>
      <c r="C22" s="3037"/>
      <c r="D22" s="3037"/>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43" t="s">
        <v>1659</v>
      </c>
      <c r="B15" s="3038" t="s">
        <v>136</v>
      </c>
      <c r="C15" s="3039"/>
    </row>
    <row r="16" spans="1:7" ht="13.5">
      <c r="A16" s="3044"/>
      <c r="B16" s="3038" t="s">
        <v>69</v>
      </c>
      <c r="C16" s="3039"/>
    </row>
    <row r="17" spans="1:3" ht="13.5">
      <c r="A17" s="3044"/>
      <c r="B17" s="3041" t="s">
        <v>1660</v>
      </c>
      <c r="C17" s="2000" t="s">
        <v>1659</v>
      </c>
    </row>
    <row r="18" spans="1:3" ht="13.5">
      <c r="A18" s="3044"/>
      <c r="B18" s="3041"/>
      <c r="C18" s="2000" t="s">
        <v>1661</v>
      </c>
    </row>
    <row r="19" spans="1:3" ht="13.5">
      <c r="A19" s="3044"/>
      <c r="B19" s="3041"/>
      <c r="C19" s="2000" t="s">
        <v>1662</v>
      </c>
    </row>
    <row r="20" spans="1:3" ht="13.5">
      <c r="A20" s="3045"/>
      <c r="B20" s="3040" t="s">
        <v>1663</v>
      </c>
      <c r="C20" s="3039"/>
    </row>
    <row r="21" spans="1:3" ht="13.5">
      <c r="A21" s="2001" t="s">
        <v>1664</v>
      </c>
      <c r="B21" s="2002"/>
      <c r="C21" s="2003"/>
    </row>
    <row r="22" spans="1:3" ht="13.5">
      <c r="A22" s="3042" t="s">
        <v>1665</v>
      </c>
      <c r="B22" s="3040" t="s">
        <v>1666</v>
      </c>
      <c r="C22" s="3039"/>
    </row>
    <row r="23" spans="1:3" ht="13.5">
      <c r="A23" s="3042"/>
      <c r="B23" s="3040" t="s">
        <v>1667</v>
      </c>
      <c r="C23" s="3039"/>
    </row>
    <row r="24" spans="1:3" ht="13.5">
      <c r="A24" s="3042"/>
      <c r="B24" s="3040" t="s">
        <v>1668</v>
      </c>
      <c r="C24" s="3039"/>
    </row>
    <row r="25" spans="1:3" ht="13.5">
      <c r="A25" s="3042"/>
      <c r="B25" s="3041" t="s">
        <v>1669</v>
      </c>
      <c r="C25" s="2000" t="s">
        <v>1670</v>
      </c>
    </row>
    <row r="26" spans="1:3" ht="13.5">
      <c r="A26" s="3042"/>
      <c r="B26" s="3041"/>
      <c r="C26" s="2000" t="s">
        <v>1671</v>
      </c>
    </row>
    <row r="27" spans="1:3" ht="13.5">
      <c r="A27" s="3042"/>
      <c r="B27" s="3041"/>
      <c r="C27" s="2000" t="s">
        <v>1672</v>
      </c>
    </row>
    <row r="28" spans="1:3" ht="13.5">
      <c r="A28" s="3042"/>
      <c r="B28" s="3041"/>
      <c r="C28" s="2000" t="s">
        <v>1673</v>
      </c>
    </row>
    <row r="29" spans="1:3" ht="13.5">
      <c r="A29" s="3042"/>
      <c r="B29" s="3041"/>
      <c r="C29" s="2000" t="s">
        <v>1674</v>
      </c>
    </row>
    <row r="30" spans="1:3" ht="13.5">
      <c r="A30" s="3042"/>
      <c r="B30" s="3041"/>
      <c r="C30" s="2000" t="s">
        <v>1675</v>
      </c>
    </row>
    <row r="31" spans="1:3" ht="13.5">
      <c r="A31" s="3042"/>
      <c r="B31" s="3041"/>
      <c r="C31" s="2000" t="s">
        <v>1676</v>
      </c>
    </row>
    <row r="32" spans="1:3" ht="13.5">
      <c r="A32" s="3042"/>
      <c r="B32" s="3041"/>
      <c r="C32" s="2000" t="s">
        <v>1677</v>
      </c>
    </row>
    <row r="33" spans="1:3" ht="13.5">
      <c r="A33" s="3042"/>
      <c r="B33" s="3041"/>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t="str">
        <f ca="1">IF(C11&lt;B2,"已过期",1120100036)</f>
        <v>已过期</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1">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1323</v>
      </c>
      <c r="B24" s="1703" t="s">
        <v>1323</v>
      </c>
      <c r="C24" s="2349" t="s">
        <v>1323</v>
      </c>
      <c r="D24" s="2352" t="s">
        <v>1323</v>
      </c>
      <c r="E24" s="1703" t="s">
        <v>1323</v>
      </c>
      <c r="F24" s="1703" t="s">
        <v>1323</v>
      </c>
    </row>
    <row r="25" spans="1:7" ht="24" customHeight="1">
      <c r="A25" s="3046" t="s">
        <v>843</v>
      </c>
      <c r="B25" s="3046"/>
      <c r="C25" s="3046"/>
      <c r="D25" s="3046"/>
      <c r="E25" s="3046"/>
      <c r="F25" s="3046"/>
      <c r="G25" s="3046"/>
    </row>
    <row r="26" spans="1:7" s="1025" customFormat="1" ht="24" customHeight="1">
      <c r="A26" s="3047" t="s">
        <v>844</v>
      </c>
      <c r="B26" s="3047"/>
      <c r="C26" s="3048"/>
      <c r="D26" s="3049" t="s">
        <v>845</v>
      </c>
      <c r="E26" s="3047"/>
      <c r="F26" s="304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预测绘</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2019-09-18T08:21:15Z</dcterms:modified>
</cp:coreProperties>
</file>