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30" i="9" l="1"/>
  <c r="F60" i="34" l="1"/>
  <c r="H60" i="34" s="1"/>
  <c r="E60" i="34"/>
  <c r="D60" i="34"/>
  <c r="C11" i="34"/>
  <c r="G11" i="34" s="1"/>
  <c r="I7" i="34"/>
  <c r="G7" i="34"/>
  <c r="I5" i="34"/>
  <c r="G5" i="34"/>
  <c r="E5" i="34"/>
  <c r="S13" i="63"/>
  <c r="S14" i="63"/>
  <c r="S12" i="63"/>
  <c r="R13" i="63"/>
  <c r="G37" i="34" s="1"/>
  <c r="R14" i="63"/>
  <c r="I37" i="34" s="1"/>
  <c r="R12" i="63"/>
  <c r="E37" i="34" s="1"/>
  <c r="N13" i="63"/>
  <c r="G48" i="34" s="1"/>
  <c r="N14" i="63"/>
  <c r="I48" i="34" s="1"/>
  <c r="N12" i="63"/>
  <c r="E48" i="34" s="1"/>
  <c r="E20" i="1"/>
  <c r="C37" i="34" s="1"/>
  <c r="D30" i="43"/>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3" i="61"/>
  <c r="F6" i="61"/>
  <c r="F5" i="61"/>
  <c r="D3" i="61"/>
  <c r="F4" i="61"/>
  <c r="I1" i="61" l="1"/>
  <c r="B30" i="1" s="1"/>
  <c r="D4" i="61"/>
  <c r="D7" i="61"/>
  <c r="D6"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AA17" i="59" s="1"/>
  <c r="O17" i="59"/>
  <c r="Y17" i="59" s="1"/>
  <c r="Z17" i="59" s="1"/>
  <c r="N17" i="59"/>
  <c r="X17" i="59" s="1"/>
  <c r="Q16" i="59"/>
  <c r="AB16" i="59" s="1"/>
  <c r="P16" i="59"/>
  <c r="AA16" i="59" s="1"/>
  <c r="O16" i="59"/>
  <c r="Y16" i="59" s="1"/>
  <c r="Z16" i="59" s="1"/>
  <c r="N16" i="59"/>
  <c r="X16" i="59" s="1"/>
  <c r="F16" i="59"/>
  <c r="F17" i="59" s="1"/>
  <c r="F18" i="59" s="1"/>
  <c r="V18" i="59" s="1"/>
  <c r="Q15" i="59"/>
  <c r="AB15" i="59" s="1"/>
  <c r="P15" i="59"/>
  <c r="O15" i="59"/>
  <c r="N15" i="59"/>
  <c r="D15" i="59"/>
  <c r="Q14" i="59"/>
  <c r="AB14" i="59" s="1"/>
  <c r="P14" i="59"/>
  <c r="O14" i="59"/>
  <c r="Y14" i="59" s="1"/>
  <c r="Z14" i="59" s="1"/>
  <c r="N14" i="59"/>
  <c r="Q13" i="59"/>
  <c r="AB13" i="59" s="1"/>
  <c r="P13" i="59"/>
  <c r="AA13" i="59" s="1"/>
  <c r="O13" i="59"/>
  <c r="Y13" i="59" s="1"/>
  <c r="Z13" i="59" s="1"/>
  <c r="N13" i="59"/>
  <c r="X13" i="59" s="1"/>
  <c r="Q12" i="59"/>
  <c r="AB12" i="59" s="1"/>
  <c r="P12" i="59"/>
  <c r="AA12" i="59" s="1"/>
  <c r="O12" i="59"/>
  <c r="Y12" i="59" s="1"/>
  <c r="Z12" i="59" s="1"/>
  <c r="N12" i="59"/>
  <c r="X12" i="59" s="1"/>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Z25" i="40" l="1"/>
  <c r="Q25" i="40"/>
  <c r="E94" i="40"/>
  <c r="F94" i="40" s="1"/>
  <c r="D94" i="40"/>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c r="K99" i="43"/>
  <c r="K108" i="43" s="1"/>
  <c r="J99" i="43"/>
  <c r="J108" i="43" s="1"/>
  <c r="I99" i="43"/>
  <c r="I108" i="43" s="1"/>
  <c r="H99" i="43"/>
  <c r="H108" i="43" s="1"/>
  <c r="G99" i="43"/>
  <c r="G108" i="43" s="1"/>
  <c r="F99" i="43"/>
  <c r="F100" i="43" s="1"/>
  <c r="E99" i="43"/>
  <c r="E108" i="43" s="1"/>
  <c r="D99" i="43"/>
  <c r="D108" i="43"/>
  <c r="C99" i="43"/>
  <c r="C108" i="43" s="1"/>
  <c r="C100" i="43"/>
  <c r="I100" i="43"/>
  <c r="D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G20" i="43" s="1"/>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F15" i="34"/>
  <c r="AA15" i="34" s="1"/>
  <c r="D70" i="34"/>
  <c r="E70" i="34"/>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B2" i="47"/>
  <c r="D6" i="47"/>
  <c r="F4" i="47" s="1"/>
  <c r="H19" i="40"/>
  <c r="AB19" i="40" s="1"/>
  <c r="F19" i="40"/>
  <c r="S19" i="40" s="1"/>
  <c r="S13" i="40"/>
  <c r="S17" i="39"/>
  <c r="AC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F15" i="47" l="1"/>
  <c r="B13" i="47" s="1"/>
  <c r="AC9" i="35"/>
  <c r="W9" i="35"/>
  <c r="W12" i="40"/>
  <c r="AC12" i="40"/>
  <c r="D1" i="58"/>
  <c r="E10" i="58" s="1"/>
  <c r="U34" i="36"/>
  <c r="AB34" i="36"/>
  <c r="AB33" i="36"/>
  <c r="U33" i="36"/>
  <c r="AB14" i="37"/>
  <c r="U14" i="37"/>
  <c r="AB45" i="33"/>
  <c r="AC11" i="36"/>
  <c r="S14" i="33"/>
  <c r="S47" i="34"/>
  <c r="F7" i="15"/>
  <c r="C6" i="15" s="1"/>
  <c r="B27" i="9"/>
  <c r="E13" i="1"/>
  <c r="C8" i="11" s="1"/>
  <c r="H100" i="43"/>
  <c r="M100" i="43"/>
  <c r="E100" i="43"/>
  <c r="E26" i="58"/>
  <c r="C30" i="58"/>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10" i="34" l="1"/>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E81" i="43"/>
  <c r="B79" i="43" s="1"/>
  <c r="C24"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D30"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4" i="9" l="1"/>
  <c r="C30" i="9"/>
  <c r="C25" i="9" s="1"/>
  <c r="C38"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E2" i="11"/>
  <c r="E2" i="21"/>
  <c r="E2" i="34"/>
  <c r="E2" i="37"/>
  <c r="E2" i="33"/>
  <c r="C19" i="57"/>
  <c r="E2" i="35"/>
  <c r="E2" i="36"/>
  <c r="C20" i="57"/>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20" i="9"/>
  <c r="D19"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H121" i="9" l="1"/>
  <c r="I121" i="9" s="1"/>
  <c r="I4" i="52" s="1"/>
  <c r="F121" i="9"/>
  <c r="G121" i="9" s="1"/>
  <c r="G4" i="52" s="1"/>
  <c r="B41" i="60" s="1"/>
  <c r="D121" i="9"/>
  <c r="E121" i="9" s="1"/>
  <c r="E4" i="52" s="1"/>
  <c r="B38" i="60" s="1"/>
  <c r="C104" i="9" l="1"/>
  <c r="D107" i="9"/>
  <c r="I103" i="9"/>
  <c r="D30" i="50" s="1"/>
  <c r="I102" i="9"/>
  <c r="D14" i="62"/>
  <c r="L65" i="9"/>
  <c r="M65" i="9" s="1"/>
  <c r="L68" i="9"/>
  <c r="M68" i="9" s="1"/>
  <c r="L64" i="9"/>
  <c r="M64" i="9" s="1"/>
  <c r="L67" i="9"/>
  <c r="M67" i="9" s="1"/>
  <c r="L66" i="9"/>
  <c r="M66" i="9" s="1"/>
  <c r="L63" i="9"/>
  <c r="M63" i="9" s="1"/>
  <c r="D106" i="9"/>
  <c r="D112" i="9" s="1"/>
  <c r="D117" i="9" s="1"/>
  <c r="H4" i="52"/>
  <c r="C103" i="9"/>
  <c r="H122" i="9"/>
  <c r="H5" i="52" s="1"/>
  <c r="D122" i="9"/>
  <c r="D5" i="52" s="1"/>
  <c r="B39" i="60" s="1"/>
  <c r="D4" i="52"/>
  <c r="B37" i="60" s="1"/>
  <c r="F122" i="9"/>
  <c r="F5" i="52" s="1"/>
  <c r="B42" i="60" s="1"/>
  <c r="F4" i="52"/>
  <c r="B40" i="60" s="1"/>
  <c r="D9" i="50" l="1"/>
  <c r="B21" i="60" s="1"/>
  <c r="I110" i="9"/>
  <c r="M49" i="9" s="1"/>
  <c r="D36" i="50"/>
  <c r="D37" i="50" s="1"/>
  <c r="D15" i="50"/>
  <c r="D16" i="50" s="1"/>
  <c r="B30" i="60" s="1"/>
  <c r="D28" i="50"/>
  <c r="D29" i="50" s="1"/>
  <c r="M48" i="9"/>
  <c r="D7" i="50"/>
  <c r="B19" i="60" s="1"/>
  <c r="D45" i="9"/>
  <c r="C64" i="9" s="1"/>
  <c r="C63" i="9" s="1"/>
  <c r="C67" i="9" s="1"/>
  <c r="C68" i="9" s="1"/>
  <c r="D54" i="9" s="1"/>
  <c r="E14" i="62"/>
  <c r="F14" i="62"/>
  <c r="B5" i="62"/>
  <c r="M69" i="9"/>
  <c r="N69" i="9" s="1"/>
  <c r="D59" i="9"/>
  <c r="M55" i="9" s="1"/>
  <c r="D113" i="9"/>
  <c r="I111" i="9" s="1"/>
  <c r="C72" i="9"/>
  <c r="B29" i="60"/>
  <c r="D44" i="50"/>
  <c r="I115" i="9"/>
  <c r="D23" i="50" s="1"/>
  <c r="B34" i="60" s="1"/>
  <c r="D125" i="9" l="1"/>
  <c r="D8" i="50"/>
  <c r="B22" i="60" s="1"/>
  <c r="C78" i="9"/>
  <c r="C73" i="9" s="1"/>
  <c r="C93" i="9"/>
  <c r="C86" i="9" s="1"/>
  <c r="D55" i="9"/>
  <c r="M53" i="9" s="1"/>
  <c r="D53" i="9"/>
  <c r="D48" i="9" s="1"/>
  <c r="M52" i="9" s="1"/>
  <c r="D52" i="9"/>
  <c r="C85" i="9"/>
  <c r="C5" i="62"/>
  <c r="D5" i="62"/>
  <c r="D38" i="50"/>
  <c r="B62" i="60" s="1"/>
  <c r="C95" i="9"/>
  <c r="C96" i="9" s="1"/>
  <c r="E96" i="9" s="1"/>
  <c r="E97" i="9" s="1"/>
  <c r="C79" i="9"/>
  <c r="C80" i="9" s="1"/>
  <c r="E80" i="9" s="1"/>
  <c r="E81" i="9" s="1"/>
  <c r="D17" i="50"/>
  <c r="D126" i="9"/>
  <c r="D9" i="52" s="1"/>
  <c r="G14" i="62" l="1"/>
  <c r="B6" i="62" s="1"/>
  <c r="D8" i="52"/>
  <c r="C97" i="9"/>
  <c r="D58" i="9" s="1"/>
  <c r="D56" i="9" s="1"/>
  <c r="M54" i="9" s="1"/>
  <c r="N57" i="9" s="1"/>
  <c r="P57" i="9" s="1"/>
  <c r="C81" i="9"/>
  <c r="C6" i="62" l="1"/>
  <c r="D6" i="62"/>
  <c r="N58"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<sst xmlns="http://schemas.openxmlformats.org/spreadsheetml/2006/main" count="6912" uniqueCount="2911">
  <si>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</si>
  <si>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</si>
  <si>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</si>
  <si>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</si>
  <si>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</si>
  <si>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</si>
  <si>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</si>
  <si>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</si>
  <si>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</si>
  <si>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</si>
  <si>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</si>
  <si>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</si>
  <si>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</si>
  <si>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</si>
  <si>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</si>
  <si>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</si>
  <si>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</si>
  <si>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</si>
  <si>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</si>
  <si>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</si>
  <si>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</si>
  <si>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</si>
  <si>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</si>
  <si>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</si>
  <si>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</si>
  <si>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</si>
  <si>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</si>
  <si>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</si>
  <si>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</si>
  <si>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</si>
  <si>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</si>
  <si>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</si>
  <si>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</si>
  <si>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</si>
  <si>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</si>
  <si>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</si>
  <si>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</si>
  <si>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</si>
  <si>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</si>
  <si>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</si>
  <si>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</si>
  <si>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</si>
  <si>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</si>
  <si>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</si>
  <si>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</si>
  <si>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</si>
  <si>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</si>
  <si>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</si>
  <si>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</si>
  <si>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</si>
  <si>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</si>
  <si>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</si>
  <si>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</si>
  <si>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</si>
  <si>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</si>
  <si>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</si>
  <si>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</si>
  <si>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</si>
  <si>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</si>
  <si>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</si>
  <si>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</si>
  <si>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</si>
  <si>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</si>
  <si>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</si>
  <si>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</si>
  <si>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</si>
  <si>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</si>
  <si>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</si>
  <si>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</si>
  <si>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</si>
  <si>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</si>
  <si>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</si>
  <si>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</si>
  <si>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</si>
  <si>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</si>
  <si>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</si>
  <si>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</si>
  <si>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</si>
  <si>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</si>
  <si>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</si>
  <si>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</si>
  <si>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</si>
  <si>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</si>
  <si>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</si>
  <si>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</si>
  <si>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</si>
  <si>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</si>
  <si>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</si>
  <si>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</si>
  <si>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</si>
  <si>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</si>
  <si>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</si>
  <si>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</si>
  <si>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</si>
  <si>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</si>
  <si>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</si>
  <si>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</si>
  <si>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</si>
  <si>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</si>
  <si>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</si>
  <si>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</si>
  <si>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</si>
  <si>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</si>
  <si>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</si>
  <si>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</si>
  <si>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</si>
  <si>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</si>
  <si>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</si>
  <si>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</si>
  <si>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</si>
  <si>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</si>
  <si>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</si>
  <si>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</si>
  <si>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</si>
  <si>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</si>
  <si>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</si>
  <si>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</si>
  <si>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</si>
  <si>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</si>
  <si>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</si>
  <si>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</si>
  <si>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</si>
  <si>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</si>
  <si>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</si>
  <si>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</si>
  <si>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</si>
  <si>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</si>
  <si>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</si>
  <si>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</si>
  <si>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</si>
  <si>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</si>
  <si>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</si>
  <si>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</si>
  <si>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</si>
  <si>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</si>
  <si>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</si>
  <si>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</si>
  <si>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</si>
  <si>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</si>
  <si>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</si>
  <si>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</si>
  <si>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</si>
  <si>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</si>
  <si>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</si>
  <si>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</si>
  <si>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</si>
  <si>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</si>
  <si>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</si>
  <si>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</si>
  <si>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</si>
  <si>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</si>
  <si>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</si>
  <si>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</si>
  <si>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</si>
  <si>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</si>
  <si>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</si>
  <si>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</si>
  <si>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</si>
  <si>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</si>
  <si>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</si>
  <si>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</si>
  <si>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</si>
  <si>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</si>
  <si>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</si>
  <si>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</si>
  <si>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</si>
  <si>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</si>
  <si>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</si>
  <si>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</si>
  <si>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</si>
  <si>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</si>
  <si>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</si>
  <si>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</si>
  <si>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</si>
  <si>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</si>
  <si>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</si>
  <si>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</si>
  <si>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</si>
  <si>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</si>
  <si>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</si>
  <si>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</si>
  <si>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</si>
  <si>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</si>
  <si>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</si>
  <si>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</si>
  <si>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</si>
  <si>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</si>
  <si>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</si>
  <si>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</si>
  <si>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</si>
  <si>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</si>
  <si>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</si>
  <si>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</si>
  <si>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</si>
  <si>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</si>
  <si>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</si>
  <si>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</si>
  <si>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</si>
  <si>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</si>
  <si>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</si>
  <si>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</si>
  <si>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</si>
  <si>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</si>
  <si>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</si>
  <si>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</si>
  <si>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</si>
  <si>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</si>
  <si>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</si>
  <si>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</si>
  <si>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</si>
  <si>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</si>
  <si>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</si>
  <si>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</si>
  <si>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</si>
  <si>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</si>
  <si>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</si>
  <si>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</si>
  <si>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</si>
  <si>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</si>
  <si>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</si>
  <si>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</si>
  <si>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</si>
  <si>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</si>
  <si>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</si>
  <si>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</si>
  <si>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</si>
  <si>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</si>
  <si>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</si>
  <si>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</si>
  <si>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</si>
  <si>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</si>
  <si>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</si>
  <si>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</si>
  <si>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</si>
  <si>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</si>
  <si>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</si>
  <si>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</si>
  <si>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</si>
  <si>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</si>
  <si>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</si>
  <si>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</si>
  <si>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</si>
  <si>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</si>
  <si>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</si>
  <si>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</si>
  <si>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</si>
  <si>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</si>
  <si>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</si>
  <si>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</si>
  <si>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</si>
  <si>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</si>
  <si>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</si>
  <si>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</si>
  <si>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</si>
  <si>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</si>
  <si>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</si>
  <si>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</si>
  <si>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</si>
  <si>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</si>
  <si>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</si>
  <si>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</si>
  <si>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</si>
  <si>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</si>
  <si>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</si>
  <si>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</si>
  <si>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</si>
  <si>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</si>
  <si>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</si>
  <si>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</si>
  <si>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</si>
  <si>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</si>
  <si>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</si>
  <si>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</si>
  <si>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</si>
  <si>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</si>
  <si>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</si>
  <si>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</si>
  <si>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</si>
  <si>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</si>
  <si>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</si>
  <si>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</si>
  <si>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</si>
  <si>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</si>
  <si>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</si>
  <si>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</si>
  <si>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</si>
  <si>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</si>
  <si>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</si>
  <si>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</si>
  <si>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</si>
  <si>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</si>
  <si>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</si>
  <si>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</si>
  <si>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</si>
  <si>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</si>
  <si>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</si>
  <si>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</si>
  <si>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</si>
  <si>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</si>
  <si>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</si>
  <si>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</si>
  <si>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</si>
  <si>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</si>
  <si>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</si>
  <si>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</si>
  <si>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</si>
  <si>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</si>
  <si>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</si>
  <si>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</si>
  <si>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</si>
  <si>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</si>
  <si>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</si>
  <si>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</si>
  <si>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</si>
  <si>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</si>
  <si>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</si>
  <si>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</si>
  <si>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</si>
  <si>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</si>
  <si>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</si>
  <si>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</si>
  <si>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</si>
  <si>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</si>
  <si>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</si>
  <si>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</si>
  <si>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</si>
  <si>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</si>
  <si>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</si>
  <si>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</si>
  <si>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</si>
  <si>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</si>
  <si>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</si>
  <si>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</si>
  <si>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</si>
  <si>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</si>
  <si>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</si>
  <si>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</si>
  <si>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</si>
  <si>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</si>
  <si>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</si>
  <si>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</si>
  <si>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</si>
  <si>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</si>
  <si>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</si>
  <si>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</si>
  <si>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</si>
  <si>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</si>
  <si>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</si>
  <si>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</si>
  <si>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</si>
  <si>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</si>
  <si>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</si>
  <si>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</si>
  <si>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</si>
  <si>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</si>
  <si>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</si>
  <si>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</si>
  <si>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</si>
  <si>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</si>
  <si>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</si>
  <si>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</si>
  <si>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</si>
  <si>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</si>
  <si>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</si>
  <si>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</si>
  <si>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</si>
  <si>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</si>
  <si>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</si>
  <si>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</si>
  <si>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</si>
  <si>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</si>
  <si>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</si>
  <si>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</si>
  <si>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</si>
  <si>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</si>
  <si>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</si>
  <si>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</si>
  <si>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</si>
  <si>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</si>
  <si>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</si>
  <si>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</si>
  <si>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</si>
  <si>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</si>
  <si>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</si>
  <si>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</si>
  <si>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</si>
  <si>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</si>
  <si>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</si>
  <si>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</si>
  <si>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</si>
  <si>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</si>
  <si>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</si>
  <si>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</si>
  <si>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</si>
  <si>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</si>
  <si>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</si>
  <si>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</si>
  <si>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</si>
  <si>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</si>
  <si>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</si>
  <si>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</si>
  <si>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</si>
  <si>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</si>
  <si>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</si>
  <si>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</si>
  <si>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</si>
  <si>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</si>
  <si>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</si>
  <si>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</si>
  <si>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</si>
  <si>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</si>
  <si>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</si>
  <si>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</si>
  <si>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</si>
  <si>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</si>
  <si>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</si>
  <si>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</si>
  <si>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</si>
  <si>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</si>
  <si>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</si>
  <si>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</si>
  <si>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</si>
  <si>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</si>
  <si>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</si>
  <si>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</si>
  <si>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</si>
  <si>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</si>
  <si>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</si>
  <si>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</si>
  <si>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</si>
  <si>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</si>
  <si>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</si>
  <si>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</si>
  <si>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</si>
  <si>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</si>
  <si>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</si>
  <si>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</si>
  <si>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</si>
  <si>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</si>
  <si>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</si>
  <si>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</si>
  <si>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</si>
  <si>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</si>
  <si>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</si>
  <si>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</si>
  <si>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</si>
  <si>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</si>
  <si>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</si>
  <si>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</si>
  <si>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</si>
  <si>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</si>
  <si>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</si>
  <si>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</si>
  <si>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</si>
  <si>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</si>
  <si>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</si>
  <si>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</si>
  <si>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</si>
  <si>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</si>
  <si>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</si>
  <si>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</si>
  <si>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</si>
  <si>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</si>
  <si>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</si>
  <si>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</si>
  <si>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</si>
  <si>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</si>
  <si>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</si>
  <si>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</si>
  <si>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</si>
  <si>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</si>
  <si>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</si>
  <si>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</si>
  <si>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</si>
  <si>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</si>
  <si>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</si>
  <si>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</si>
  <si>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</si>
  <si>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</si>
  <si>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</si>
  <si>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</si>
  <si>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</si>
  <si>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</si>
  <si>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</si>
  <si>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</si>
  <si>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</si>
  <si>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</si>
  <si>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</si>
  <si>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</si>
  <si>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</si>
  <si>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</si>
  <si>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</si>
  <si>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</si>
  <si>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</si>
  <si>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</si>
  <si>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</si>
  <si>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</si>
  <si>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</si>
  <si>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</si>
  <si>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</si>
  <si>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</si>
  <si>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</si>
  <si>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</si>
  <si>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</si>
  <si>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</si>
  <si>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</si>
  <si>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</si>
  <si>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</si>
  <si>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</si>
  <si>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</si>
  <si>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</si>
  <si>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</si>
  <si>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</si>
  <si>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</si>
  <si>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</si>
  <si>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</si>
  <si>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</si>
  <si>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</si>
  <si>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</si>
  <si>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</si>
  <si>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</si>
  <si>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</si>
  <si>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</si>
  <si>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</si>
  <si>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</si>
  <si>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</si>
  <si>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</si>
  <si>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</si>
  <si>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</si>
  <si>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</si>
  <si>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</si>
  <si>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</si>
  <si>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</si>
  <si>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</si>
  <si>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</si>
  <si>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</si>
  <si>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</si>
  <si>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</si>
  <si>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</si>
  <si>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</si>
  <si>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</si>
  <si>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</si>
  <si>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</si>
  <si>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</si>
  <si>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</si>
  <si>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</si>
  <si>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</si>
  <si>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</si>
  <si>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</si>
  <si>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</si>
  <si>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</si>
  <si>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</si>
  <si>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</si>
  <si>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</si>
  <si>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</si>
  <si>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</si>
  <si>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</si>
  <si>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</si>
  <si>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</si>
  <si>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</si>
  <si>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</si>
  <si>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</si>
  <si>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</si>
  <si>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</si>
  <si>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</si>
  <si>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</si>
  <si>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</si>
  <si>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</si>
  <si>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</si>
  <si>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</si>
  <si>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</si>
  <si>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</si>
  <si>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</si>
  <si>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</si>
  <si>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</si>
  <si>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</si>
  <si>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</si>
  <si>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</si>
  <si>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</si>
  <si>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</si>
  <si>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</si>
  <si>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</si>
  <si>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</si>
  <si>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</si>
  <si>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</si>
  <si>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</si>
  <si>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</si>
  <si>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</si>
  <si>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</si>
  <si>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</si>
  <si>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</si>
  <si>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</si>
  <si>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</si>
  <si>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</si>
  <si>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</si>
  <si>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</si>
  <si>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</si>
  <si>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</si>
  <si>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</si>
  <si>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</si>
  <si>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</si>
  <si>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</si>
  <si>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</si>
  <si>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</si>
  <si>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</si>
  <si>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</si>
  <si>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</si>
  <si>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</si>
  <si>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</si>
  <si>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</si>
  <si>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</si>
  <si>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</si>
  <si>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</si>
  <si>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</si>
  <si>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</si>
  <si>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</si>
  <si>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</si>
  <si>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</si>
  <si>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</si>
  <si>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</si>
  <si>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</si>
  <si>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</si>
  <si>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</si>
  <si>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</si>
  <si>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</si>
  <si>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</si>
  <si>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</si>
  <si>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</si>
  <si>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</si>
  <si>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</si>
  <si>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</si>
  <si>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</si>
  <si>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</si>
  <si>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</si>
  <si>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</si>
  <si>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</si>
  <si>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</si>
  <si>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</si>
  <si>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</si>
  <si>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</si>
  <si>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</si>
  <si>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</si>
  <si>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</si>
  <si>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</si>
  <si>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</si>
  <si>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</si>
  <si>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</si>
  <si>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</si>
  <si>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</si>
  <si>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</si>
  <si>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</si>
  <si>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</si>
  <si>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</si>
  <si>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</si>
  <si>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</si>
  <si>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</si>
  <si>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</si>
  <si>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</si>
  <si>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</si>
  <si>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</si>
  <si>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</si>
  <si>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</si>
  <si>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</si>
  <si>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</si>
  <si>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</si>
  <si>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</si>
  <si>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</si>
  <si>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</si>
  <si>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</si>
  <si>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</si>
  <si>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</si>
  <si>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</si>
  <si>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</si>
  <si>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</si>
  <si>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</si>
  <si>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</si>
  <si>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</si>
  <si>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</si>
  <si>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</si>
  <si>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</si>
  <si>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</si>
  <si>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</si>
  <si>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</si>
  <si>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</si>
  <si>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</si>
  <si>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</si>
  <si>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</si>
  <si>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</si>
  <si>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</si>
  <si>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</si>
  <si>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</si>
  <si>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</si>
  <si>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</si>
  <si>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</si>
  <si>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</si>
  <si>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</si>
  <si>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</si>
  <si>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</si>
  <si>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</si>
  <si>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</si>
  <si>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</si>
  <si>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</si>
  <si>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</si>
  <si>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</si>
  <si>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</si>
  <si>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</si>
  <si>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</si>
  <si>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</si>
  <si>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</si>
  <si>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</si>
  <si>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</si>
  <si>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</si>
  <si>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</si>
  <si>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</si>
  <si>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</si>
  <si>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</si>
  <si>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</si>
  <si>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</si>
  <si>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</si>
  <si>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</si>
  <si>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</si>
  <si>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</si>
  <si>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</si>
  <si>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</si>
  <si>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</si>
  <si>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</si>
  <si>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</si>
  <si>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</si>
  <si>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</si>
  <si>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</si>
  <si>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</si>
  <si>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</si>
  <si>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</si>
  <si>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</si>
  <si>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</si>
  <si>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</si>
  <si>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</si>
  <si>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</si>
  <si>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</si>
  <si>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</si>
  <si>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</si>
  <si>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</si>
  <si>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</si>
  <si>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</si>
  <si>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</si>
  <si>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</si>
  <si>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</si>
  <si>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</si>
  <si>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</si>
  <si>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</si>
  <si>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</si>
  <si>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</si>
  <si>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</si>
  <si>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</si>
  <si>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</si>
  <si>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</si>
  <si>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</si>
  <si>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</si>
  <si>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</si>
  <si>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</si>
  <si>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</si>
  <si>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</si>
  <si>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</si>
  <si>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</si>
  <si>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</si>
  <si>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</si>
  <si>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</si>
  <si>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</si>
  <si>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</si>
  <si>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</si>
  <si>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</si>
  <si>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</si>
  <si>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</si>
  <si>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</si>
  <si>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</si>
  <si>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</si>
  <si>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</si>
  <si>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</si>
  <si>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</si>
  <si>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</si>
  <si>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</si>
  <si>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</si>
  <si>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</si>
  <si>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</si>
  <si>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</si>
  <si>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</si>
  <si>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</si>
  <si>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</si>
  <si>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</si>
  <si>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</si>
  <si>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</si>
  <si>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</si>
  <si>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</si>
  <si>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</si>
  <si>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</si>
  <si>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</si>
  <si>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</si>
  <si>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</si>
  <si>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</si>
  <si>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</si>
  <si>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</si>
  <si>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</si>
  <si>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</si>
  <si>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</si>
  <si>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</si>
  <si>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</si>
  <si>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</si>
  <si>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</si>
  <si>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</si>
  <si>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</si>
  <si>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</si>
  <si>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</si>
  <si>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</si>
  <si>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</si>
  <si>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</si>
  <si>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</si>
  <si>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</si>
  <si>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</si>
  <si>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</si>
  <si>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</si>
  <si>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</si>
  <si>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</si>
  <si>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</si>
  <si>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</si>
  <si>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</si>
  <si>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</si>
  <si>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</si>
  <si>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</si>
  <si>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</si>
  <si>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</si>
  <si>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</si>
  <si>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</si>
  <si>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</si>
  <si>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</si>
  <si>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</si>
  <si>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</si>
  <si>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</si>
  <si>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</si>
  <si>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</si>
  <si>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</si>
  <si>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</si>
  <si>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</si>
  <si>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</si>
  <si>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</si>
  <si>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</si>
  <si>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</si>
  <si>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</si>
  <si>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</si>
  <si>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</si>
  <si>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</si>
  <si>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</si>
  <si>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</si>
  <si>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</si>
  <si>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</si>
  <si>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</si>
  <si>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</si>
  <si>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</si>
  <si>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</si>
  <si>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</si>
  <si>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</si>
  <si>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</si>
  <si>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</si>
  <si>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</si>
  <si>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</si>
  <si>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</si>
  <si>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</si>
  <si>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</si>
  <si>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</si>
  <si>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</si>
  <si>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</si>
  <si>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</si>
  <si>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</si>
  <si>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</si>
  <si>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</si>
  <si>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</si>
  <si>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</si>
  <si>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</si>
  <si>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</si>
  <si>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</si>
  <si>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</si>
  <si>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</si>
  <si>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</si>
  <si>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</si>
  <si>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</si>
  <si>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</si>
  <si>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</si>
  <si>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</si>
  <si>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</si>
  <si>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</si>
  <si>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</si>
  <si>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</si>
  <si>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</si>
  <si>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</si>
  <si>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</si>
  <si>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</si>
  <si>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</si>
  <si>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</si>
  <si>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</si>
  <si>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</si>
  <si>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</si>
  <si>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</si>
  <si>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</si>
  <si>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</si>
  <si>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</si>
  <si>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</si>
  <si>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</si>
  <si>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</si>
  <si>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</si>
  <si>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</si>
  <si>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</si>
  <si>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</si>
  <si>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</si>
  <si>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</si>
  <si>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</si>
  <si>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</si>
  <si>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</si>
  <si>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</si>
  <si>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</si>
  <si>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</si>
  <si>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</si>
  <si>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</si>
  <si>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</si>
  <si>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</si>
  <si>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</si>
  <si>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</si>
  <si>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</si>
  <si>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</si>
  <si>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</si>
  <si>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</si>
  <si>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</si>
  <si>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</si>
  <si>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</si>
  <si>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</si>
  <si>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</si>
  <si>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</si>
  <si>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</si>
  <si>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</si>
  <si>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</si>
  <si>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</si>
  <si>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</si>
  <si>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</si>
  <si>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</si>
  <si>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</si>
  <si>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</si>
  <si>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</si>
  <si>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</si>
  <si>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</si>
  <si>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</si>
  <si>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</si>
  <si>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</si>
  <si>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</si>
  <si>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</si>
  <si>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</si>
  <si>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</si>
  <si>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</si>
  <si>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</si>
  <si>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</si>
  <si>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</si>
  <si>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</si>
  <si>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</si>
  <si>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</si>
  <si>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</si>
  <si>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</si>
  <si>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</si>
  <si>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</si>
  <si>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</si>
  <si>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</si>
  <si>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</si>
  <si>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</si>
  <si>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</si>
  <si>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</si>
  <si>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</si>
  <si>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</si>
  <si>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</si>
  <si>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</si>
  <si>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</si>
  <si>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</si>
  <si>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</si>
  <si>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</si>
  <si>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</si>
  <si>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</si>
  <si>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</si>
  <si>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</si>
  <si>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</si>
  <si>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</si>
  <si>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</si>
  <si>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</si>
  <si>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</si>
  <si>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</si>
  <si>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</si>
  <si>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</si>
  <si>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</si>
  <si>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</si>
  <si>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</si>
  <si>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</si>
  <si>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</si>
  <si>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</si>
  <si>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</si>
  <si>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</si>
  <si>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</si>
  <si>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</si>
  <si>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</si>
  <si>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</si>
  <si>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</si>
  <si>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</si>
  <si>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</si>
  <si>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</si>
  <si>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</si>
  <si>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</si>
  <si>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</si>
  <si>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</si>
  <si>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</si>
  <si>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</si>
  <si>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</si>
  <si>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</si>
  <si>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</si>
  <si>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</si>
  <si>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</si>
  <si>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</si>
  <si>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</si>
  <si>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</si>
  <si>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</si>
  <si>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</si>
  <si>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</si>
  <si>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</si>
  <si>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</si>
  <si>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</si>
  <si>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</si>
  <si>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</si>
  <si>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</si>
  <si>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</si>
  <si>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</si>
  <si>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</si>
  <si>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</si>
  <si>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</si>
  <si>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</si>
  <si>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</si>
  <si>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</si>
  <si>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</si>
  <si>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</si>
  <si>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</si>
  <si>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</si>
  <si>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</si>
  <si>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</si>
  <si>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</si>
  <si>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</si>
  <si>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</si>
  <si>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</si>
  <si>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</si>
  <si>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</si>
  <si>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</si>
  <si>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</si>
  <si>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</si>
  <si>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</si>
  <si>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</si>
  <si>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</si>
  <si>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</si>
  <si>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</si>
  <si>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</si>
  <si>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</si>
  <si>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</si>
  <si>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</si>
  <si>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</si>
  <si>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</si>
  <si>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</si>
  <si>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</si>
  <si>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</si>
  <si>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</si>
  <si>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</si>
  <si>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</si>
  <si>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</si>
  <si>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</si>
  <si>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</si>
  <si>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</si>
  <si>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</si>
  <si>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</si>
  <si>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</si>
  <si>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</si>
  <si>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</si>
  <si>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</si>
  <si>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</si>
  <si>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</si>
  <si>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</si>
  <si>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</si>
  <si>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</si>
  <si>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</si>
  <si>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</si>
  <si>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</si>
  <si>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</si>
  <si>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</si>
  <si>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</si>
  <si>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</si>
  <si>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</si>
  <si>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</si>
  <si>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</si>
  <si>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</si>
  <si>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</si>
  <si>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</si>
  <si>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</si>
  <si>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</si>
  <si>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</si>
  <si>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</si>
  <si>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</si>
  <si>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</si>
  <si>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</si>
  <si>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</si>
  <si>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</si>
  <si>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</si>
  <si>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</si>
  <si>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</si>
  <si>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</si>
  <si>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</si>
  <si>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</si>
  <si>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</si>
  <si>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</si>
  <si>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</si>
  <si>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</si>
  <si>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</si>
  <si>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</si>
  <si>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</si>
  <si>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</si>
  <si>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</si>
  <si>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</si>
  <si>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</si>
  <si>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</si>
  <si>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</si>
  <si>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</si>
  <si>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</si>
  <si>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</si>
  <si>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</si>
  <si>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</si>
  <si>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</si>
  <si>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</si>
  <si>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</si>
  <si>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</si>
  <si>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</si>
  <si>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</si>
  <si>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</si>
  <si>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</si>
  <si>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</si>
  <si>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</si>
  <si>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</si>
  <si>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</si>
  <si>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</si>
  <si>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</si>
  <si>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</si>
  <si>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</si>
  <si>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</si>
  <si>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</si>
  <si>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</si>
  <si>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</si>
  <si>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</si>
  <si>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</si>
  <si>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</si>
  <si>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</si>
  <si>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</si>
  <si>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</si>
  <si>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</si>
  <si>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</si>
  <si>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</si>
  <si>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</si>
  <si>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</si>
  <si>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</si>
  <si>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</si>
  <si>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</si>
  <si>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</si>
  <si>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</si>
  <si>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</si>
  <si>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</si>
  <si>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</si>
  <si>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</si>
  <si>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</si>
  <si>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</si>
  <si>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</si>
  <si>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</si>
  <si>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</si>
  <si>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</si>
  <si>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</si>
  <si>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</si>
  <si>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</si>
  <si>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</si>
  <si>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</si>
  <si>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</si>
  <si>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</si>
  <si>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</si>
  <si>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</si>
  <si>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</si>
  <si>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</si>
  <si>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</si>
  <si>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</si>
  <si>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</si>
  <si>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</si>
  <si>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</si>
  <si>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</si>
  <si>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</si>
  <si>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</si>
  <si>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</si>
  <si>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</si>
  <si>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</si>
  <si>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</si>
  <si>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</si>
  <si>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</si>
  <si>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</si>
  <si>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</si>
  <si>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</si>
  <si>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</si>
  <si>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</si>
  <si>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</si>
  <si>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</si>
  <si>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</si>
  <si>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</si>
  <si>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</si>
  <si>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</si>
  <si>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</si>
  <si>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</si>
  <si>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</si>
  <si>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</si>
  <si>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</si>
  <si>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</si>
  <si>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</si>
  <si>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</si>
  <si>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</si>
  <si>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</si>
  <si>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</si>
  <si>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</si>
  <si>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</si>
  <si>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</si>
  <si>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</si>
  <si>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</si>
  <si>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</si>
  <si>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</si>
  <si>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</si>
  <si>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</si>
  <si>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</si>
  <si>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</si>
  <si>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</si>
  <si>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</si>
  <si>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</si>
  <si>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</si>
  <si>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</si>
  <si>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</si>
  <si>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</si>
  <si>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</si>
  <si>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</si>
  <si>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</si>
  <si>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</si>
  <si>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</si>
  <si>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</si>
  <si>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</si>
  <si>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</si>
  <si>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</si>
  <si>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</si>
  <si>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</si>
  <si>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</si>
  <si>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</si>
  <si>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</si>
  <si>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</si>
  <si>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</si>
  <si>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</si>
  <si>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</si>
  <si>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</si>
  <si>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</si>
  <si>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</si>
  <si>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</si>
  <si>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</si>
  <si>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</si>
  <si>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</si>
  <si>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</si>
  <si>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</si>
  <si>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</si>
  <si>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</si>
  <si>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</si>
  <si>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</si>
  <si>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</si>
  <si>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</si>
  <si>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</si>
  <si>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</si>
  <si>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</si>
  <si>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</si>
  <si>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</si>
  <si>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</si>
  <si>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</si>
  <si>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</si>
  <si>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</si>
  <si>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</si>
  <si>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</si>
  <si>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</si>
  <si>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</si>
  <si>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</si>
  <si>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</si>
  <si>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</si>
  <si>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</si>
  <si>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</si>
  <si>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</si>
  <si>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</si>
  <si>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</si>
  <si>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</si>
  <si>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</si>
  <si>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</si>
  <si>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</si>
  <si>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</si>
  <si>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</si>
  <si>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</si>
  <si>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</si>
  <si>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</si>
  <si>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</si>
  <si>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</si>
  <si>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</si>
  <si>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</si>
  <si>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</si>
  <si>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</si>
  <si>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</si>
  <si>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</si>
  <si>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</si>
  <si>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</si>
  <si>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</si>
  <si>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</si>
  <si>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</si>
  <si>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</si>
  <si>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</si>
  <si>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</si>
  <si>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</si>
  <si>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</si>
  <si>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</si>
  <si>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</si>
  <si>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</si>
  <si>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</si>
  <si>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</si>
  <si>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</si>
  <si>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</si>
  <si>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</si>
  <si>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</si>
  <si>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</si>
  <si>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</si>
  <si>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</si>
  <si>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</si>
  <si>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</si>
  <si>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</si>
  <si>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</si>
  <si>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</si>
  <si>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</si>
  <si>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</si>
  <si>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</si>
  <si>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</si>
  <si>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</si>
  <si>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</si>
  <si>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</si>
  <si>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</si>
  <si>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</si>
  <si>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</si>
  <si>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</si>
  <si>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</si>
  <si>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</si>
  <si>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</si>
  <si>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</si>
  <si>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</si>
  <si>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</si>
  <si>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</si>
  <si>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</si>
  <si>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</si>
  <si>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</si>
  <si>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</si>
  <si>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</si>
  <si>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</si>
  <si>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</si>
  <si>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</si>
  <si>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</si>
  <si>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</si>
  <si>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</si>
  <si>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</si>
  <si>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</si>
  <si>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</si>
  <si>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</si>
  <si>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</si>
  <si>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</si>
  <si>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</si>
  <si>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</si>
  <si>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</si>
  <si>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</si>
  <si>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</si>
  <si>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</si>
  <si>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</si>
  <si>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</si>
  <si>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</si>
  <si>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</si>
  <si>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</si>
  <si>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</si>
  <si>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</si>
  <si>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</si>
  <si>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</si>
  <si>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</si>
  <si>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</si>
  <si>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</si>
  <si>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</si>
  <si>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</si>
  <si>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</si>
  <si>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</si>
  <si>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</si>
  <si>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</si>
  <si>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</si>
  <si>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</si>
  <si>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</si>
  <si>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</si>
  <si>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</si>
  <si>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</si>
  <si>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</si>
  <si>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</si>
  <si>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</si>
  <si>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</si>
  <si>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</si>
  <si>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</si>
  <si>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</si>
  <si>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</si>
  <si>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</si>
  <si>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</si>
  <si>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</si>
  <si>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</si>
  <si>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</si>
  <si>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</si>
  <si>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</si>
  <si>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</si>
  <si>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</si>
  <si>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</si>
  <si>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</si>
  <si>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</si>
  <si>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</si>
  <si>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</si>
  <si>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</si>
  <si>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</si>
  <si>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</si>
  <si>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</si>
  <si>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</si>
  <si>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</si>
  <si>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</si>
  <si>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</si>
  <si>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</si>
  <si>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</si>
  <si>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</si>
  <si>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</si>
  <si>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</si>
  <si>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</si>
  <si>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</si>
  <si>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</si>
  <si>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</si>
  <si>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</si>
  <si>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</si>
  <si>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</si>
  <si>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</si>
  <si>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</si>
  <si>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</si>
  <si>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</si>
  <si>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</si>
  <si>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</si>
  <si>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</si>
  <si>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</si>
  <si>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</si>
  <si>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</si>
  <si>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</si>
  <si>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</si>
  <si>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</si>
  <si>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</si>
  <si>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</si>
  <si>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</si>
  <si>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</si>
  <si>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</si>
  <si>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</si>
  <si>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</si>
  <si>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</si>
  <si>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</si>
  <si>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</si>
  <si>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</si>
  <si>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</si>
  <si>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</si>
  <si>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</si>
  <si>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</si>
  <si>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</si>
  <si>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</si>
  <si>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</si>
  <si>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</si>
  <si>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</si>
  <si>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</si>
  <si>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</si>
  <si>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</si>
  <si>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</si>
  <si>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</si>
  <si>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</si>
  <si>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</si>
  <si>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</si>
  <si>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</si>
  <si>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</si>
  <si>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</si>
  <si>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</si>
  <si>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</si>
  <si>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</si>
  <si>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</si>
  <si>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</si>
  <si>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</si>
  <si>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</si>
  <si>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</si>
  <si>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</si>
  <si>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</si>
  <si>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</si>
  <si>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</si>
  <si>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</si>
  <si>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</si>
  <si>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</si>
  <si>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</si>
  <si>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</si>
  <si>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</si>
  <si>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</si>
  <si>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</si>
  <si>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</si>
  <si>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</si>
  <si>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</si>
  <si>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</si>
  <si>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</si>
  <si>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</si>
  <si>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</si>
  <si>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</si>
  <si>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</si>
  <si>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</si>
  <si>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</si>
  <si>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</si>
  <si>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</si>
  <si>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</si>
  <si>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</si>
  <si>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</si>
  <si>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</si>
  <si>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</si>
  <si>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</si>
  <si>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</si>
  <si>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</si>
  <si>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</si>
  <si>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</si>
  <si>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</si>
  <si>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</si>
  <si>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</si>
  <si>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</si>
  <si>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</si>
  <si>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</si>
  <si>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</si>
  <si>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</si>
  <si>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</si>
  <si>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</si>
  <si>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</si>
  <si>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</si>
  <si>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</si>
  <si>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</si>
  <si>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</si>
  <si>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</si>
  <si>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</si>
  <si>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</si>
  <si>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</si>
  <si>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</si>
  <si>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</si>
  <si>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</si>
  <si>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</si>
  <si>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</si>
  <si>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</si>
  <si>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</si>
  <si>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</si>
  <si>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</si>
  <si>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</si>
  <si>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</si>
  <si>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</si>
  <si>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</si>
  <si>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</si>
  <si>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</si>
  <si>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</si>
  <si>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</si>
  <si>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</si>
  <si>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</si>
  <si>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</si>
  <si>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</si>
  <si>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</si>
  <si>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</si>
  <si>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</si>
  <si>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</si>
  <si>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</si>
  <si>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</si>
  <si>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</si>
  <si>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</si>
  <si>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</si>
  <si>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</si>
  <si>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</si>
  <si>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</si>
  <si>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</si>
  <si>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</si>
  <si>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</si>
  <si>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</si>
  <si>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</si>
  <si>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</si>
  <si>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</si>
  <si>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</si>
  <si>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</si>
  <si>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</si>
  <si>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</si>
  <si>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</si>
  <si>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</si>
  <si>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</si>
  <si>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</si>
  <si>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</si>
  <si>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</si>
  <si>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</si>
  <si>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</si>
  <si>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</si>
  <si>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</si>
  <si>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</si>
  <si>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</si>
  <si>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</si>
  <si>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</si>
  <si>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</si>
  <si>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</si>
  <si>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</si>
  <si>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</si>
  <si>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</si>
  <si>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</si>
  <si>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</si>
  <si>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</si>
  <si>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</si>
  <si>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</si>
  <si>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</si>
  <si>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</si>
  <si>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</si>
  <si>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</si>
  <si>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</si>
  <si>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</si>
  <si>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</si>
  <si>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</si>
  <si>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</si>
  <si>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</si>
  <si>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</si>
  <si>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</si>
  <si>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</si>
  <si>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</si>
  <si>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</si>
  <si>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</si>
  <si>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</si>
  <si>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</si>
  <si>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</si>
  <si>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</si>
  <si>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</si>
  <si>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</si>
  <si>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</si>
  <si>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</si>
  <si>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</si>
  <si>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</si>
  <si>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</si>
  <si>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</si>
  <si>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</si>
  <si>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</si>
  <si>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</si>
  <si>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</si>
  <si>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</si>
  <si>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</si>
  <si>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</si>
  <si>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</si>
  <si>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</si>
  <si>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</si>
  <si>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</si>
  <si>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</si>
  <si>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</si>
  <si>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</si>
  <si>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</si>
  <si>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</si>
  <si>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</si>
  <si>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</si>
  <si>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</si>
  <si>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</si>
  <si>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</si>
  <si>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</si>
  <si>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</si>
  <si>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</si>
  <si>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</si>
  <si>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</si>
  <si>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</si>
  <si>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</si>
  <si>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</si>
  <si>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</si>
  <si>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</si>
  <si>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</si>
  <si>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</si>
  <si>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</si>
  <si>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</si>
  <si>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</si>
  <si>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</si>
  <si>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</si>
  <si>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</si>
  <si>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</si>
  <si>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</si>
  <si>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</si>
  <si>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</si>
  <si>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</si>
  <si>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</si>
  <si>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</si>
  <si>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</si>
  <si>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</si>
  <si>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</si>
  <si>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</si>
  <si>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</si>
  <si>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</si>
  <si>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</si>
  <si>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</si>
  <si>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</si>
  <si>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</si>
  <si>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</si>
  <si>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</si>
  <si>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</si>
  <si>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</si>
  <si>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</si>
  <si>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</si>
  <si>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</si>
  <si>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</si>
  <si>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</si>
  <si>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</si>
  <si>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</si>
  <si>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</si>
  <si>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</si>
  <si>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</si>
  <si>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</si>
  <si>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</si>
  <si>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</si>
  <si>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</si>
  <si>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</si>
  <si>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</si>
  <si>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</si>
  <si>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</si>
  <si>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</si>
  <si>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</si>
  <si>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</si>
  <si>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</si>
  <si>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</si>
  <si>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</si>
  <si>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</si>
  <si>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</si>
  <si>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</si>
  <si>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</si>
  <si>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</si>
  <si>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</si>
  <si>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</si>
  <si>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</si>
  <si>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</si>
  <si>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</si>
  <si>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</si>
  <si>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</si>
  <si>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</si>
  <si>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</si>
  <si>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</si>
  <si>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</si>
  <si>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</si>
  <si>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</si>
  <si>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</si>
  <si>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</si>
  <si>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</si>
  <si>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</si>
  <si>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</si>
  <si>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</si>
  <si>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</si>
  <si>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</si>
  <si>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</si>
  <si>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</si>
  <si>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</si>
  <si>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</si>
  <si>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</si>
  <si>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</si>
  <si>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</si>
  <si>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</si>
  <si>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</si>
  <si>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</si>
  <si>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</si>
  <si>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</si>
  <si>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</si>
  <si>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</si>
  <si>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</si>
  <si>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</si>
  <si>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</si>
  <si>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</si>
  <si>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</si>
  <si>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</si>
  <si>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</si>
  <si>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</si>
  <si>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</si>
  <si>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</si>
  <si>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</si>
  <si>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</si>
  <si>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</si>
  <si>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</si>
  <si>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</si>
  <si>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</si>
  <si>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</si>
  <si>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</si>
  <si>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</si>
  <si>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</si>
  <si>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</si>
  <si>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</si>
  <si>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</si>
  <si>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</si>
  <si>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</si>
  <si>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</si>
  <si>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</si>
  <si>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</si>
  <si>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</si>
  <si>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</si>
  <si>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</si>
  <si>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</si>
  <si>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</si>
  <si>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</si>
  <si>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</si>
  <si>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</si>
  <si>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</si>
  <si>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</si>
  <si>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</si>
  <si>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</si>
  <si>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</si>
  <si>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</si>
  <si>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</si>
  <si>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</si>
  <si>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</si>
  <si>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</si>
  <si>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</si>
  <si>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</si>
  <si>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</si>
  <si>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</si>
  <si>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</si>
  <si>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</si>
  <si>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</si>
  <si>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</si>
  <si>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</si>
  <si>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</si>
  <si>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</si>
  <si>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</si>
  <si>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</si>
  <si>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</si>
  <si>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</si>
  <si>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</si>
  <si>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</si>
  <si>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</si>
  <si>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</si>
  <si>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</si>
  <si>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</si>
  <si>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</si>
  <si>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</si>
  <si>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</si>
  <si>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</si>
  <si>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</si>
  <si>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</si>
  <si>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</si>
  <si>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</si>
  <si>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</si>
  <si>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</si>
  <si>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</si>
  <si>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</si>
  <si>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</si>
  <si>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</si>
  <si>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</si>
  <si>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</si>
  <si>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</si>
  <si>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</si>
  <si>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</si>
  <si>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</si>
  <si>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</si>
  <si>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</si>
  <si>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</si>
  <si>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</si>
  <si>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</si>
  <si>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</si>
  <si>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</si>
  <si>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</si>
  <si>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</si>
  <si>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</si>
  <si>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</si>
  <si>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</si>
  <si>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</si>
  <si>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</si>
  <si>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</si>
  <si>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</si>
  <si>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</si>
  <si>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</si>
  <si>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</si>
  <si>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</si>
  <si>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</si>
  <si>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</si>
  <si>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</si>
  <si>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</si>
  <si>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</si>
  <si>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</si>
  <si>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</si>
  <si>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</si>
  <si>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</si>
  <si>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</si>
  <si>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</si>
  <si>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</si>
  <si>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</si>
  <si>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</si>
  <si>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</si>
  <si>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</si>
  <si>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</si>
  <si>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</si>
  <si>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</si>
  <si>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</si>
  <si>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</si>
  <si>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</si>
  <si>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</si>
  <si>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</si>
  <si>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</si>
  <si>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</si>
  <si>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</si>
  <si>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</si>
  <si>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</si>
  <si>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</si>
  <si>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</si>
  <si>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</si>
  <si>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</si>
  <si>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</si>
  <si>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</si>
  <si>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</si>
  <si>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</si>
  <si>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</si>
  <si>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</si>
  <si>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</si>
  <si>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</si>
  <si>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</si>
  <si>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</si>
  <si>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</si>
  <si>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</si>
  <si>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</si>
  <si>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</si>
  <si>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</si>
  <si>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</si>
  <si>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</si>
  <si>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</si>
  <si>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</si>
  <si>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</si>
  <si>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</si>
  <si>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</si>
  <si>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</si>
  <si>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</si>
  <si>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</si>
  <si>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</si>
  <si>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</si>
  <si>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</si>
  <si>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</si>
  <si>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</si>
  <si>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</si>
  <si>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</si>
  <si>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</si>
  <si>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</si>
  <si>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</si>
  <si>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</si>
  <si>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</si>
  <si>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</si>
  <si>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</si>
  <si>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</si>
  <si>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</si>
  <si>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</si>
  <si>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</si>
  <si>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</si>
  <si>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</si>
  <si>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</si>
  <si>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</si>
  <si>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</si>
  <si>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</si>
  <si>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</si>
  <si>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</si>
  <si>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</si>
  <si>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</si>
  <si>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</si>
  <si>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</si>
  <si>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</si>
  <si>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</si>
  <si>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</si>
  <si>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</si>
  <si>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</si>
  <si>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</si>
  <si>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</si>
  <si>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</si>
  <si>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</si>
  <si>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</si>
  <si>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</si>
  <si>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</si>
  <si>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</si>
  <si>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</si>
  <si>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</si>
  <si>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</si>
  <si>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</si>
  <si>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</si>
  <si>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</si>
  <si>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</si>
  <si>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</si>
  <si>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</si>
  <si>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</si>
  <si>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</si>
  <si>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</si>
  <si>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</si>
  <si>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</si>
  <si>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</si>
  <si>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</si>
  <si>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</si>
  <si>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</si>
  <si>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</si>
  <si>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</si>
  <si>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</si>
  <si>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</si>
  <si>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</si>
  <si>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</si>
  <si>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</si>
  <si>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</si>
  <si>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</si>
  <si>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</si>
  <si>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</si>
  <si>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</si>
  <si>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</si>
  <si>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</si>
  <si>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</si>
  <si>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</si>
  <si>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</si>
  <si>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</si>
  <si>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</si>
  <si>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</si>
  <si>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</si>
  <si>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</si>
  <si>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</si>
  <si>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</si>
  <si>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</si>
  <si>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</si>
  <si>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</si>
  <si>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</si>
  <si>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</si>
  <si>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</si>
  <si>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</si>
  <si>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</si>
  <si>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</si>
  <si>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</si>
  <si>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</si>
  <si>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</si>
  <si>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</si>
  <si>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</si>
  <si>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</si>
  <si>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</si>
  <si>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</si>
  <si>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</si>
  <si>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</si>
  <si>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</si>
  <si>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</si>
  <si>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</si>
  <si>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</si>
  <si>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</si>
  <si>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</si>
  <si>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</si>
  <si>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</si>
  <si>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</si>
  <si>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</si>
  <si>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</si>
  <si>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</si>
  <si>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</si>
  <si>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</si>
  <si>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</si>
  <si>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</si>
  <si>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</si>
  <si>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</si>
  <si>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</si>
  <si>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</si>
  <si>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</si>
  <si>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</si>
  <si>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</si>
  <si>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</si>
  <si>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</si>
  <si>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</si>
  <si>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</si>
  <si>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</si>
  <si>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</si>
  <si>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</si>
  <si>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</si>
  <si>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</si>
  <si>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</si>
  <si>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</si>
  <si>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</si>
  <si>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</si>
  <si>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</si>
  <si>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</si>
  <si>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</si>
  <si>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</si>
  <si>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</si>
  <si>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</si>
  <si>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</si>
  <si>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</si>
  <si>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</si>
  <si>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</si>
  <si>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</si>
  <si>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</si>
  <si>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</si>
  <si>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</si>
  <si>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</si>
  <si>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</si>
  <si>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</si>
  <si>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</si>
  <si>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</si>
  <si>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</si>
  <si>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</si>
  <si>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</si>
  <si>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</si>
  <si>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</si>
  <si>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</si>
  <si>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</si>
  <si>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</si>
  <si>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</si>
  <si>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</si>
  <si>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</si>
  <si>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</si>
  <si>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</si>
  <si>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</si>
  <si>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</si>
  <si>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</si>
  <si>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</si>
  <si>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</si>
  <si>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</si>
  <si>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</si>
  <si>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</si>
  <si>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</si>
  <si>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</si>
  <si>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</si>
  <si>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</si>
  <si>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</si>
  <si>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</si>
  <si>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</si>
  <si>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</si>
  <si>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</si>
  <si>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</si>
  <si>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</si>
  <si>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</si>
  <si>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</si>
  <si>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</si>
  <si>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</si>
  <si>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</si>
  <si>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</si>
  <si>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</si>
  <si>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</si>
  <si>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</si>
  <si>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</si>
  <si>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</si>
  <si>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</si>
  <si>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</si>
  <si>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</si>
  <si>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</si>
  <si>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</si>
  <si>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</si>
  <si>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</si>
  <si>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</si>
  <si>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</si>
  <si>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</si>
  <si>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</si>
  <si>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</si>
  <si>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</si>
  <si>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</si>
  <si>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</si>
  <si>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</si>
  <si>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</si>
  <si>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</si>
  <si>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</si>
  <si>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</si>
  <si>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</si>
  <si>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</si>
  <si>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</si>
  <si>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</si>
  <si>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</si>
  <si>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</si>
  <si>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</si>
  <si>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</si>
  <si>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</si>
  <si>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</si>
  <si>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</si>
  <si>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</si>
  <si>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</si>
  <si>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</si>
  <si>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</si>
  <si>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</si>
  <si>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</si>
  <si>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</si>
  <si>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</si>
  <si>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</si>
  <si>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</si>
  <si>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</si>
  <si>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</si>
  <si>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</si>
  <si>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</si>
  <si>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</si>
  <si>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</si>
  <si>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</si>
  <si>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</si>
  <si>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</si>
  <si>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</si>
  <si>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</si>
  <si>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</si>
  <si>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</si>
  <si>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</si>
  <si>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</si>
  <si>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</si>
  <si>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</si>
  <si>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</si>
  <si>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</si>
  <si>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</si>
  <si>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</si>
  <si>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</si>
  <si>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</si>
  <si>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</si>
  <si>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</si>
  <si>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</si>
  <si>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</si>
  <si>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</si>
  <si>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</si>
  <si>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</si>
  <si>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</si>
  <si>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</si>
  <si>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</si>
  <si>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</si>
  <si>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</si>
  <si>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</si>
  <si>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</si>
  <si>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</si>
  <si>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</si>
  <si>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</si>
  <si>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</si>
  <si>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</si>
  <si>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</si>
  <si>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</si>
  <si>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</si>
  <si>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</si>
  <si>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</si>
  <si>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</si>
  <si>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</si>
  <si>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</si>
  <si>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</si>
  <si>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</si>
  <si>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</si>
  <si>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</si>
  <si>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</si>
  <si>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</si>
  <si>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</si>
  <si>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</si>
  <si>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</si>
  <si>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</si>
  <si>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</si>
  <si>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</si>
  <si>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</si>
  <si>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</si>
  <si>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</si>
  <si>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</si>
  <si>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</si>
  <si>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</si>
  <si>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</si>
  <si>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</si>
  <si>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</si>
  <si>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</si>
  <si>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</si>
  <si>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</si>
  <si>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</si>
  <si>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</si>
  <si>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</si>
  <si>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</si>
  <si>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</si>
  <si>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</si>
  <si>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</si>
  <si>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</si>
  <si>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</si>
  <si>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</si>
  <si>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</si>
  <si>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</si>
  <si>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</si>
  <si>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</si>
  <si>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</si>
  <si>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</si>
  <si>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</si>
  <si>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</si>
  <si>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</si>
  <si>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</si>
  <si>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</si>
  <si>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</si>
  <si>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</si>
  <si>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</si>
  <si>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</si>
  <si>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</si>
  <si>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</si>
  <si>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</si>
  <si>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</si>
  <si>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</si>
  <si>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</si>
  <si>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</si>
  <si>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</si>
  <si>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</si>
  <si>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</si>
  <si>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</si>
  <si>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</si>
  <si>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</si>
  <si>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</si>
  <si>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</si>
  <si>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</si>
  <si>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</si>
  <si>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</si>
  <si>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</si>
  <si>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</si>
  <si>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</si>
  <si>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</si>
  <si>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</si>
  <si>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</si>
  <si>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</si>
  <si>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</si>
  <si>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</si>
  <si>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</si>
  <si>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</si>
  <si>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</si>
  <si>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</si>
  <si>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</si>
  <si>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</si>
  <si>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</si>
  <si>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</si>
  <si>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</si>
  <si>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</si>
  <si>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</si>
  <si>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</si>
  <si>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</si>
  <si>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</si>
  <si>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</si>
  <si>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</si>
  <si>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</si>
  <si>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</si>
  <si>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</si>
  <si>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</si>
  <si>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</si>
  <si>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</si>
  <si>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</si>
  <si>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</si>
  <si>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</si>
  <si>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</si>
  <si>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</si>
  <si>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</si>
  <si>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</si>
  <si>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</si>
  <si>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</si>
  <si>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</si>
  <si>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</si>
  <si>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</si>
  <si>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</si>
  <si>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</si>
  <si>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</si>
  <si>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</si>
  <si>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</si>
  <si>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</si>
  <si>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</si>
  <si>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</si>
  <si>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</si>
  <si>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</si>
  <si>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</si>
  <si>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</si>
  <si>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</si>
  <si>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</si>
  <si>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</si>
  <si>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</si>
  <si>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</si>
  <si>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</si>
  <si>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</si>
  <si>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</si>
  <si>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</si>
  <si>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</si>
  <si>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</si>
  <si>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</si>
  <si>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</si>
  <si>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</si>
  <si>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</si>
  <si>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</si>
  <si>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</si>
  <si>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</si>
  <si>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</si>
  <si>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</si>
  <si>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</si>
  <si>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</si>
  <si>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</si>
  <si>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</si>
  <si>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</si>
  <si>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</si>
  <si>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</si>
  <si>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</si>
  <si>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</si>
  <si>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</si>
  <si>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</si>
  <si>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</si>
  <si>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</si>
  <si>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</si>
  <si>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</si>
  <si>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</si>
  <si>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</si>
  <si>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</si>
  <si>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</si>
  <si>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</si>
  <si>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</si>
  <si>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</si>
  <si>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</si>
  <si>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</si>
  <si>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</si>
  <si>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</si>
  <si>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</si>
  <si>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</si>
  <si>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</si>
  <si>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</si>
  <si>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</si>
  <si>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</si>
  <si>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</si>
  <si>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</si>
  <si>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</si>
  <si>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</si>
  <si>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</si>
  <si>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</si>
  <si>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</si>
  <si>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</si>
  <si>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</si>
  <si>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</si>
  <si>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</si>
  <si>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</si>
  <si>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</si>
  <si>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</si>
  <si>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</si>
  <si>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</si>
  <si>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</si>
  <si>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</si>
  <si>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</si>
  <si>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</si>
  <si>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</si>
  <si>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</si>
  <si>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</si>
  <si>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</si>
  <si>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</si>
  <si>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</si>
  <si>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</si>
  <si>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</si>
  <si>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</si>
  <si>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</si>
  <si>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</si>
  <si>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</si>
  <si>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</si>
  <si>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</si>
  <si>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</si>
  <si>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</si>
  <si>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</si>
  <si>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</si>
  <si>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</si>
  <si>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</si>
  <si>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</si>
  <si>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</si>
  <si>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</si>
  <si>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</si>
  <si>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</si>
  <si>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</si>
  <si>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</si>
  <si>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</si>
  <si>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</si>
  <si>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</si>
  <si>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</si>
  <si>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</si>
  <si>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</si>
  <si>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</si>
  <si>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</si>
  <si>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</si>
  <si>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</si>
  <si>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</si>
  <si>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</si>
  <si>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</si>
  <si>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</si>
  <si>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</si>
  <si>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</si>
  <si>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</si>
  <si>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</si>
  <si>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</si>
  <si>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</si>
  <si>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</si>
  <si>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</si>
  <si>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</si>
  <si>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</si>
  <si>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</si>
  <si>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</si>
  <si>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</si>
  <si>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</si>
  <si>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</si>
  <si>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</si>
  <si>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</si>
  <si>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</si>
  <si>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</si>
  <si>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</si>
  <si>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</si>
  <si>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</si>
  <si>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</si>
  <si>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</si>
  <si>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</si>
  <si>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</si>
  <si>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</si>
  <si>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</si>
  <si>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</si>
  <si>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</si>
  <si>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</si>
  <si>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</si>
  <si>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</si>
  <si>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</si>
  <si>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</si>
  <si>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</si>
  <si>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</si>
  <si>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</si>
  <si>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</si>
  <si>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</si>
  <si>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</si>
  <si>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</si>
  <si>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</si>
  <si>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</si>
  <si>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</si>
  <si>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</si>
  <si>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</si>
  <si>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</si>
  <si>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</si>
  <si>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</si>
  <si>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</si>
  <si>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</si>
  <si>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</si>
  <si>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</si>
  <si>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</si>
  <si>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</si>
  <si>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</si>
  <si>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</si>
  <si>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</si>
  <si>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</si>
  <si>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</si>
  <si>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</si>
  <si>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</si>
  <si>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</si>
  <si>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</si>
  <si>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</si>
  <si>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</si>
  <si>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</si>
  <si>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</si>
  <si>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</si>
  <si>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</si>
  <si>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</si>
  <si>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</si>
  <si>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</si>
  <si>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</si>
  <si>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</si>
  <si>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</si>
  <si>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</si>
  <si>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</si>
  <si>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</si>
  <si>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</si>
  <si>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</si>
  <si>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</si>
  <si>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</si>
  <si>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</si>
  <si>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</si>
  <si>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</si>
  <si>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</si>
  <si>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</si>
  <si>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</si>
  <si>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</si>
  <si>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</si>
  <si>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</si>
  <si>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</si>
  <si>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</si>
  <si>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</si>
  <si>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</si>
  <si>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</si>
  <si>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</si>
  <si>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</si>
  <si>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</si>
  <si>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</si>
  <si>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</si>
  <si>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</si>
  <si>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</si>
  <si>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</si>
  <si>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</si>
  <si>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</si>
  <si>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</si>
  <si>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</si>
  <si>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</si>
  <si>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</si>
  <si>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</si>
  <si>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</si>
  <si>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</si>
  <si>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</si>
  <si>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</si>
  <si>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</si>
  <si>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</si>
  <si>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</si>
  <si>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</si>
  <si>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</si>
  <si>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</si>
  <si>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</si>
  <si>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</si>
  <si>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</si>
  <si>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</si>
  <si>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</si>
  <si>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</si>
  <si>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</si>
  <si>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</si>
  <si>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</si>
  <si>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</si>
  <si>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</si>
  <si>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</si>
  <si>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</si>
  <si>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</si>
  <si>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</si>
  <si>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</si>
  <si>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</si>
  <si>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</si>
  <si>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</si>
  <si>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</si>
  <si>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</si>
  <si>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</si>
  <si>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</si>
  <si>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</si>
  <si>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</si>
  <si>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</si>
  <si>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</si>
  <si>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</si>
  <si>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</si>
  <si>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</si>
  <si>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</si>
  <si>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</si>
  <si>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</si>
  <si>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</si>
  <si>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</si>
  <si>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</si>
  <si>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</si>
  <si>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</si>
  <si>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</si>
  <si>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</si>
  <si>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</si>
  <si>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</si>
  <si>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</si>
  <si>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</si>
  <si>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</si>
  <si>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</si>
  <si>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</si>
  <si>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</si>
  <si>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</si>
  <si>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</si>
  <si>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</si>
  <si>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</si>
  <si>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</si>
  <si>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</si>
  <si>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</si>
  <si>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</si>
  <si>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</si>
  <si>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</si>
  <si>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</si>
  <si>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</si>
  <si>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</si>
  <si>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</si>
  <si>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</si>
  <si>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</si>
  <si>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</si>
  <si>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</si>
  <si>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</si>
  <si>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</si>
  <si>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</si>
  <si>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</si>
  <si>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</si>
  <si>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</si>
  <si>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</si>
  <si>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</si>
  <si>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</si>
  <si>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</si>
  <si>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</si>
  <si>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</si>
  <si>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</si>
  <si>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</si>
  <si>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</si>
  <si>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</si>
  <si>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</si>
  <si>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</si>
  <si>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</si>
  <si>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</si>
  <si>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</si>
  <si>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</si>
  <si>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</si>
  <si>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</si>
  <si>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</si>
  <si>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</si>
  <si>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</si>
  <si>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</si>
  <si>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</si>
  <si>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</si>
  <si>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</si>
  <si>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</si>
  <si>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</si>
  <si>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</si>
  <si>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</si>
  <si>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</si>
  <si>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</si>
  <si>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</si>
  <si>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</si>
  <si>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</si>
  <si>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</si>
  <si>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</si>
  <si>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</si>
  <si>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</si>
  <si>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</si>
  <si>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</si>
  <si>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</si>
  <si>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</si>
  <si>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</si>
  <si>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</si>
  <si>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</si>
  <si>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</si>
  <si>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</si>
  <si>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</si>
  <si>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</si>
  <si>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</si>
  <si>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</si>
  <si>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</si>
  <si>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</si>
  <si>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</si>
  <si>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</si>
  <si>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</si>
  <si>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</si>
  <si>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</si>
  <si>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</si>
  <si>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</si>
  <si>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</si>
  <si>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</si>
  <si>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</si>
  <si>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</si>
  <si>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</si>
  <si>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</si>
  <si>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</si>
  <si>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</si>
  <si>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</si>
  <si>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</si>
  <si>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</si>
  <si>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</si>
  <si>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</si>
  <si>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</si>
  <si>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</si>
  <si>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</si>
  <si>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</si>
  <si>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</si>
  <si>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</si>
  <si>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</si>
  <si>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</si>
  <si>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</si>
  <si>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</si>
  <si>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</si>
  <si>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</si>
  <si>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</si>
  <si>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</si>
  <si>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</si>
  <si>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</si>
  <si>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</si>
  <si>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</si>
  <si>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</si>
  <si>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</si>
  <si>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</si>
  <si>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</si>
  <si>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</si>
  <si>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</si>
  <si>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</si>
  <si>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</si>
  <si>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</si>
  <si>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</si>
  <si>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</si>
  <si>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</si>
  <si>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</si>
  <si>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</si>
  <si>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</si>
  <si>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</si>
  <si>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</si>
  <si>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</si>
  <si>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</si>
  <si>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</si>
  <si>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</si>
  <si>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</si>
  <si>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</si>
  <si>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</si>
  <si>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</si>
  <si>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</si>
  <si>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</si>
  <si>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</si>
  <si>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</si>
  <si>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</si>
  <si>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</si>
  <si>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</si>
  <si>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</si>
  <si>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</si>
  <si>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</si>
  <si>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</si>
  <si>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</si>
  <si>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</si>
  <si>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</si>
  <si>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</si>
  <si>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</si>
  <si>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</si>
  <si>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</si>
  <si>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</si>
  <si>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</si>
  <si>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</si>
  <si>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</si>
  <si>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</si>
  <si>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</si>
  <si>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</si>
  <si>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</si>
  <si>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</si>
  <si>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</si>
  <si>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</si>
  <si>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</si>
  <si>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</si>
  <si>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</si>
  <si>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</si>
  <si>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</si>
  <si>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</si>
  <si>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</si>
  <si>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</si>
  <si>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</si>
  <si>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</si>
  <si>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</si>
  <si>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</si>
  <si>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商务金融用地（办公类）</t>
  </si>
  <si>
    <t>不临58条商业街</t>
  </si>
  <si>
    <t>五通一平</t>
  </si>
  <si>
    <t>缺少</t>
  </si>
  <si>
    <t>通热</t>
  </si>
  <si>
    <t>燃气</t>
  </si>
  <si>
    <t>按公示增长率计算</t>
  </si>
  <si>
    <t>办公</t>
    <phoneticPr fontId="8" type="noConversion"/>
  </si>
  <si>
    <t>否</t>
  </si>
  <si>
    <t>元</t>
  </si>
  <si>
    <t>估价对象</t>
  </si>
  <si>
    <t>钢混</t>
  </si>
  <si>
    <t>非生产用房</t>
  </si>
  <si>
    <t>划拨</t>
    <phoneticPr fontId="8" type="noConversion"/>
  </si>
  <si>
    <t>押一</t>
  </si>
  <si>
    <t>按租金收入计税</t>
  </si>
  <si>
    <t>售价</t>
  </si>
  <si>
    <t>售价</t>
    <phoneticPr fontId="147" type="noConversion"/>
  </si>
  <si>
    <t>A</t>
    <phoneticPr fontId="147" type="noConversion"/>
  </si>
  <si>
    <t>B</t>
    <phoneticPr fontId="147" type="noConversion"/>
  </si>
  <si>
    <t>C</t>
    <phoneticPr fontId="147" type="noConversion"/>
  </si>
  <si>
    <t>修正单价</t>
    <phoneticPr fontId="147" type="noConversion"/>
  </si>
  <si>
    <t>修正系数</t>
    <phoneticPr fontId="147" type="noConversion"/>
  </si>
  <si>
    <t>建筑面积</t>
    <phoneticPr fontId="147" type="noConversion"/>
  </si>
  <si>
    <t>楼层</t>
    <phoneticPr fontId="147" type="noConversion"/>
  </si>
  <si>
    <t>高区</t>
  </si>
  <si>
    <t>高区</t>
    <phoneticPr fontId="147" type="noConversion"/>
  </si>
  <si>
    <t>低区</t>
  </si>
  <si>
    <t>低区</t>
    <phoneticPr fontId="147" type="noConversion"/>
  </si>
  <si>
    <t>建成年代</t>
    <phoneticPr fontId="147" type="noConversion"/>
  </si>
  <si>
    <t>项目名称</t>
    <phoneticPr fontId="147" type="noConversion"/>
  </si>
  <si>
    <t>大恒科技大厦</t>
    <phoneticPr fontId="147" type="noConversion"/>
  </si>
  <si>
    <t>银科大厦</t>
    <phoneticPr fontId="147" type="noConversion"/>
  </si>
  <si>
    <t>1+1大厦</t>
    <phoneticPr fontId="147" type="noConversion"/>
  </si>
  <si>
    <t>成新度</t>
    <phoneticPr fontId="147" type="noConversion"/>
  </si>
  <si>
    <t>剩余年限</t>
    <phoneticPr fontId="147" type="noConversion"/>
  </si>
  <si>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</si>
  <si>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</si>
  <si>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</si>
  <si>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</si>
  <si>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</si>
  <si>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</si>
  <si>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</si>
  <si>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</si>
  <si>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</si>
  <si>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</si>
  <si>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</si>
  <si>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</si>
  <si>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</si>
  <si>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</si>
  <si>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</si>
  <si>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</si>
  <si>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</si>
  <si>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</si>
  <si>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</si>
  <si>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</si>
  <si>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</si>
  <si>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</si>
  <si>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</si>
  <si>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</si>
  <si>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</si>
  <si>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</si>
  <si>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</si>
  <si>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</si>
  <si>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</si>
  <si>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</si>
  <si>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</si>
  <si>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</si>
  <si>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</si>
  <si>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</si>
  <si>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</si>
  <si>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</si>
  <si>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</si>
  <si>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</si>
  <si>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</si>
  <si>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</si>
  <si>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</si>
  <si>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</si>
  <si>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</si>
  <si>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</si>
  <si>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比较法-办公</t>
  </si>
  <si>
    <t>收益法</t>
  </si>
  <si>
    <t>正常操作</t>
  </si>
  <si>
    <t>300-500</t>
    <phoneticPr fontId="27" type="noConversion"/>
  </si>
  <si>
    <t>2018-1-0418-P01HDZC1</t>
    <phoneticPr fontId="8" type="noConversion"/>
  </si>
  <si>
    <t>无租约</t>
  </si>
  <si>
    <t>设定收益年期(n)</t>
  </si>
  <si>
    <t>40-50（含）</t>
  </si>
  <si>
    <t>权属不清</t>
    <phoneticPr fontId="27" type="noConversion"/>
  </si>
  <si>
    <t>有</t>
    <phoneticPr fontId="27" type="noConversion"/>
  </si>
  <si>
    <t>无</t>
    <phoneticPr fontId="27" type="noConversion"/>
  </si>
  <si>
    <t>估价对象1（结果表）</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</si>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</sst>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2" xfId="0" applyNumberFormat="1" applyFont="1" applyFill="1" applyBorder="1" applyAlignment="1" applyProtection="1">
      <alignment horizontal="center" vertical="center" shrinkToFi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27"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399314</xdr:colOff>
      <xdr:row>5</xdr:row>
      <xdr:rowOff>114179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885714" cy="971429"/>
        </a:xfrm>
        <a:prstGeom prst="rect">
          <a:avLst/>
        </a:prstGeom>
      </xdr:spPr>
    </xdr:pic>
    <xdr:clientData/>
  </xdr:twoCellAnchor>
  <xdr:twoCellAnchor editAs="oneCell">
    <xdr:from>
      <xdr:col>0</xdr:col>
      <xdr:colOff>0</xdr:colOff>
      <xdr:row>6</xdr:row>
      <xdr:rowOff>0</xdr:rowOff>
    </xdr:from>
    <xdr:to>
      <xdr:col>8</xdr:col>
      <xdr:colOff>265981</xdr:colOff>
      <xdr:row>48</xdr:row>
      <xdr:rowOff>37195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5752381" cy="7238095"/>
        </a:xfrm>
        <a:prstGeom prst="rect">
          <a:avLst/>
        </a:prstGeom>
      </xdr:spPr>
    </xdr:pic>
    <xdr:clientData/>
  </xdr:twoCellAnchor>
  <xdr:twoCellAnchor editAs="oneCell">
    <xdr:from>
      <xdr:col>0</xdr:col>
      <xdr:colOff>0</xdr:colOff>
      <xdr:row>49</xdr:row>
      <xdr:rowOff>0</xdr:rowOff>
    </xdr:from>
    <xdr:to>
      <xdr:col>8</xdr:col>
      <xdr:colOff>627886</xdr:colOff>
      <xdr:row>97</xdr:row>
      <xdr:rowOff>46590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401050"/>
          <a:ext cx="6114286" cy="8276190"/>
        </a:xfrm>
        <a:prstGeom prst="rect">
          <a:avLst/>
        </a:prstGeom>
      </xdr:spPr>
    </xdr:pic>
    <xdr:clientData/>
  </xdr:twoCellAnchor>
  <xdr:twoCellAnchor editAs="oneCell">
    <xdr:from>
      <xdr:col>0</xdr:col>
      <xdr:colOff>0</xdr:colOff>
      <xdr:row>98</xdr:row>
      <xdr:rowOff>0</xdr:rowOff>
    </xdr:from>
    <xdr:to>
      <xdr:col>12</xdr:col>
      <xdr:colOff>65638</xdr:colOff>
      <xdr:row>147</xdr:row>
      <xdr:rowOff>56093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802100"/>
          <a:ext cx="8295238" cy="8457143"/>
        </a:xfrm>
        <a:prstGeom prst="rect">
          <a:avLst/>
        </a:prstGeom>
      </xdr:spPr>
    </xdr:pic>
    <xdr:clientData/>
  </xdr:twoCellAnchor>
  <xdr:twoCellAnchor editAs="oneCell">
    <xdr:from>
      <xdr:col>10</xdr:col>
      <xdr:colOff>0</xdr:colOff>
      <xdr:row>19</xdr:row>
      <xdr:rowOff>0</xdr:rowOff>
    </xdr:from>
    <xdr:to>
      <xdr:col>23</xdr:col>
      <xdr:colOff>36981</xdr:colOff>
      <xdr:row>48</xdr:row>
      <xdr:rowOff>123188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0" y="3257550"/>
          <a:ext cx="8952381" cy="5095238"/>
        </a:xfrm>
        <a:prstGeom prst="rect">
          <a:avLst/>
        </a:prstGeom>
      </xdr:spPr>
    </xdr:pic>
    <xdr:clientData/>
  </xdr:twoCellAnchor>
  <xdr:twoCellAnchor editAs="oneCell">
    <xdr:from>
      <xdr:col>23</xdr:col>
      <xdr:colOff>0</xdr:colOff>
      <xdr:row>0</xdr:row>
      <xdr:rowOff>0</xdr:rowOff>
    </xdr:from>
    <xdr:to>
      <xdr:col>35</xdr:col>
      <xdr:colOff>113257</xdr:colOff>
      <xdr:row>40</xdr:row>
      <xdr:rowOff>46762</xdr:rowOff>
    </xdr:to>
    <xdr:pic>
      <xdr:nvPicPr>
        <xdr:cNvPr id="7" name="图片 6"/>
        <xdr:cNvPicPr>
          <a:picLocks noChangeAspect="1"/>
        </xdr:cNvPicPr>
      </xdr:nvPicPr>
      <xdr:blipFill>
        <a:blip xmlns:r="http://schemas.openxmlformats.org/officeDocument/2006/relationships" r:embed="rId6"/>
        <a:stretch>
          <a:fillRect/>
        </a:stretch>
      </xdr:blipFill>
      <xdr:spPr>
        <a:xfrm>
          <a:off x="15773400" y="0"/>
          <a:ext cx="8342857" cy="6904762"/>
        </a:xfrm>
        <a:prstGeom prst="rect">
          <a:avLst/>
        </a:prstGeom>
      </xdr:spPr>
    </xdr:pic>
    <xdr:clientData/>
  </xdr:twoCellAnchor>
  <xdr:twoCellAnchor editAs="oneCell">
    <xdr:from>
      <xdr:col>23</xdr:col>
      <xdr:colOff>0</xdr:colOff>
      <xdr:row>42</xdr:row>
      <xdr:rowOff>0</xdr:rowOff>
    </xdr:from>
    <xdr:to>
      <xdr:col>36</xdr:col>
      <xdr:colOff>94124</xdr:colOff>
      <xdr:row>89</xdr:row>
      <xdr:rowOff>94231</xdr:rowOff>
    </xdr:to>
    <xdr:pic>
      <xdr:nvPicPr>
        <xdr:cNvPr id="8" name="图片 7"/>
        <xdr:cNvPicPr>
          <a:picLocks noChangeAspect="1"/>
        </xdr:cNvPicPr>
      </xdr:nvPicPr>
      <xdr:blipFill>
        <a:blip xmlns:r="http://schemas.openxmlformats.org/officeDocument/2006/relationships" r:embed="rId7"/>
        <a:stretch>
          <a:fillRect/>
        </a:stretch>
      </xdr:blipFill>
      <xdr:spPr>
        <a:xfrm>
          <a:off x="15773400" y="7200900"/>
          <a:ext cx="9009524" cy="8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北京市房地产市场价值预评估</v>
      </c>
    </row>
    <row r="3" spans="1:2" s="1699" customFormat="1">
      <c r="A3" s="1700" t="s">
        <v>1109</v>
      </c>
      <c r="B3" s="1685" t="str">
        <f>'预评函-封皮'!B12</f>
        <v>农商行</v>
      </c>
    </row>
    <row r="4" spans="1:2" s="1699" customFormat="1">
      <c r="A4" s="1700" t="s">
        <v>1110</v>
      </c>
      <c r="B4" s="1685" t="str">
        <f ca="1">'预评函-封皮'!B18</f>
        <v>欧红伟（注册号:1120000080）、崔锴（注册号:1120100036)</v>
      </c>
    </row>
    <row r="5" spans="1:2" s="1697" customFormat="1" ht="15.75" thickBot="1">
      <c r="A5" s="1701" t="s">
        <v>1111</v>
      </c>
      <c r="B5" s="1686" t="str">
        <f>'预评函-封皮'!B21</f>
        <v>康正预评字2018-1-0418-P01HDZC1号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估价对象为北京市房地产，为农商行所有。根据《不动产权证书》[]，估价对象建筑面积为218.48平方米，（分摊）出让国有建设用地使用权面积为0平方米。估价对象用途为办公。</v>
      </c>
    </row>
    <row r="8" spans="1:2">
      <c r="A8" s="1700" t="s">
        <v>1114</v>
      </c>
      <c r="B8" s="1687" t="str">
        <f>'预评函-1'!A8</f>
        <v>为估价委托人了解估价对象房地产市场价值提供参考依据。</v>
      </c>
    </row>
    <row r="9" spans="1:2">
      <c r="A9" s="1700" t="s">
        <v>1115</v>
      </c>
      <c r="B9" s="1687" t="str">
        <f>'预评函-1'!A10</f>
        <v>2018年6月6日（评估专业人员实地查勘之日）</v>
      </c>
    </row>
    <row r="10" spans="1:2">
      <c r="A10" s="1700" t="s">
        <v>1116</v>
      </c>
      <c r="B10" s="1687" t="str">
        <f>'预评函-1'!A13</f>
        <v>本次估价的“房地产价值”是指在正常市场情况下，在价值时点2018年6月6日，估价对象规划用途为办公，假定未设立法定优先受偿款下的房地产市场价值。</v>
      </c>
    </row>
    <row r="11" spans="1:2">
      <c r="A11" s="1700" t="s">
        <v>1117</v>
      </c>
      <c r="B11" s="1687"/>
    </row>
    <row r="12" spans="1:2">
      <c r="A12" s="1700" t="s">
        <v>1118</v>
      </c>
      <c r="B12" s="1687" t="str">
        <f>'预评函-1'!A14</f>
        <v>——</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218.48</v>
      </c>
    </row>
    <row r="19" spans="1:2">
      <c r="A19" s="1700" t="s">
        <v>1125</v>
      </c>
      <c r="B19" s="1687">
        <f ca="1">'预评函-2（1）'!D7</f>
        <v>5476390</v>
      </c>
    </row>
    <row r="20" spans="1:2">
      <c r="A20" s="1700" t="s">
        <v>1163</v>
      </c>
      <c r="B20" s="1687" t="str">
        <f>'预评函-2（1）'!C7</f>
        <v>总价（元）</v>
      </c>
    </row>
    <row r="21" spans="1:2">
      <c r="A21" s="1700" t="s">
        <v>1126</v>
      </c>
      <c r="B21" s="1687">
        <f ca="1">'预评函-2（1）'!D9</f>
        <v>25066</v>
      </c>
    </row>
    <row r="22" spans="1:2">
      <c r="A22" s="1700" t="s">
        <v>1127</v>
      </c>
      <c r="B22" s="1687" t="str">
        <f ca="1">'预评函-2（1）'!D8</f>
        <v>伍佰肆拾柒万陆仟叁佰玖拾元整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5476390</v>
      </c>
    </row>
    <row r="30" spans="1:2">
      <c r="A30" s="1700" t="s">
        <v>1133</v>
      </c>
      <c r="B30" s="1687" t="str">
        <f ca="1">'预评函-2（1）'!D16</f>
        <v>伍佰肆拾柒万陆仟叁佰玖拾元整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4726125</v>
      </c>
    </row>
    <row r="38" spans="1:2">
      <c r="A38" s="1700" t="s">
        <v>1141</v>
      </c>
      <c r="B38" s="1687">
        <f ca="1">'预评函-2（2）'!E4</f>
        <v>21632</v>
      </c>
    </row>
    <row r="39" spans="1:2">
      <c r="A39" s="1700" t="s">
        <v>1142</v>
      </c>
      <c r="B39" s="1687" t="str">
        <f ca="1">'预评函-2（2）'!D5</f>
        <v>肆佰柒拾贰万陆仟壹佰贰拾伍元整</v>
      </c>
    </row>
    <row r="40" spans="1:2">
      <c r="A40" s="1700" t="s">
        <v>1143</v>
      </c>
      <c r="B40" s="1687">
        <f ca="1">'预评函-2（2）'!F4</f>
        <v>750265</v>
      </c>
    </row>
    <row r="41" spans="1:2">
      <c r="A41" s="1700" t="s">
        <v>1144</v>
      </c>
      <c r="B41" s="1687">
        <f ca="1">'预评函-2（2）'!G4</f>
        <v>3434</v>
      </c>
    </row>
    <row r="42" spans="1:2" s="1697" customFormat="1" ht="15.75" thickBot="1">
      <c r="A42" s="1701" t="s">
        <v>1145</v>
      </c>
      <c r="B42" s="1689" t="str">
        <f ca="1">'预评函-2（2）'!F5</f>
        <v>柒拾伍万零贰佰陆拾伍元整</v>
      </c>
    </row>
    <row r="43" spans="1:2" ht="15.75" thickTop="1">
      <c r="A43" s="1698" t="s">
        <v>1146</v>
      </c>
      <c r="B43" s="1690" t="str">
        <f>'预评函-3'!A13</f>
        <v>2.本次评估设定估价对象房地产权属无争议，未被查封或者以其他形式限制其房地产权利，未设定抵押权等他项权利，不涉及第三方权利义务。</v>
      </c>
    </row>
    <row r="44" spans="1:2">
      <c r="A44" s="1700" t="s">
        <v>1147</v>
      </c>
      <c r="B44" s="1687" t="str">
        <f>'预评函-3'!A14</f>
        <v>——</v>
      </c>
    </row>
    <row r="45" spans="1:2">
      <c r="A45" s="1700" t="s">
        <v>1148</v>
      </c>
      <c r="B45" s="1687" t="str">
        <f>'预评函-3'!A15</f>
        <v>——</v>
      </c>
    </row>
    <row r="46" spans="1:2">
      <c r="A46" s="1700" t="s">
        <v>1149</v>
      </c>
      <c r="B46" s="1687" t="str">
        <f>'预评函-3'!A16</f>
        <v>——</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v>
      </c>
    </row>
    <row r="49" spans="1:2">
      <c r="A49" s="1700" t="s">
        <v>1151</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欧红伟</v>
      </c>
    </row>
    <row r="53" spans="1:2">
      <c r="A53" s="1700" t="s">
        <v>1155</v>
      </c>
      <c r="B53" s="1687">
        <f ca="1">'预评函-3'!B4</f>
        <v>1120000080</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25066</v>
      </c>
    </row>
    <row r="63" spans="1:2" s="1699" customFormat="1" ht="28.5">
      <c r="A63" s="1703" t="s">
        <v>1257</v>
      </c>
      <c r="B63" s="1687" t="str">
        <f>'预评函-2（1）'!D41</f>
        <v>——</v>
      </c>
    </row>
    <row r="64" spans="1:2">
      <c r="A64" s="1703" t="s">
        <v>1180</v>
      </c>
      <c r="B64" s="1687" t="str">
        <f>'预评函-2（2）'!A6</f>
        <v>——</v>
      </c>
    </row>
    <row r="65" spans="1:2">
      <c r="A65" s="1703" t="s">
        <v>1181</v>
      </c>
      <c r="B65" s="1687" t="str">
        <f>'预评函-2（2）'!A8</f>
        <v>——</v>
      </c>
    </row>
    <row r="66" spans="1:2">
      <c r="A66" s="1703" t="s">
        <v>1182</v>
      </c>
      <c r="B66" s="1687" t="str">
        <f>'预评函-2（2）'!A10</f>
        <v>——</v>
      </c>
    </row>
    <row r="67" spans="1:2" s="1697" customFormat="1" ht="15.75" thickBot="1">
      <c r="A67" s="1704" t="s">
        <v>1183</v>
      </c>
      <c r="B67" s="1688" t="str">
        <f>'预评函-2（2）'!A12</f>
        <v>——</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4" zoomScaleNormal="100" zoomScaleSheetLayoutView="110" workbookViewId="0">
      <selection activeCell="B53" sqref="B5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2" t="s">
        <v>1543</v>
      </c>
      <c r="B1" s="1993" t="str">
        <f>IF(B6="北京市","北京市",C6)&amp;IF(E12="房屋所有权证",B28,E28)&amp;D5&amp;"预评估"</f>
        <v>北京市房地产市场价值预评估</v>
      </c>
      <c r="C1" s="1062"/>
      <c r="D1" s="1994"/>
      <c r="E1" s="1062"/>
      <c r="F1" s="1995" t="s">
        <v>1544</v>
      </c>
      <c r="G1" s="1680" t="s">
        <v>2902</v>
      </c>
      <c r="I1" s="1019" t="str">
        <f>IF(B6="北京市","北京市",C6)&amp;IF(E12="房屋所有权证",B28,E28)&amp;"房地产"</f>
        <v>北京市房地产</v>
      </c>
    </row>
    <row r="2" spans="1:10" ht="13.5" thickTop="1">
      <c r="A2" s="1996" t="s">
        <v>1545</v>
      </c>
      <c r="B2" s="1087">
        <v>43257</v>
      </c>
      <c r="C2" s="1997" t="s">
        <v>1546</v>
      </c>
      <c r="D2" s="1087">
        <f>B2</f>
        <v>43257</v>
      </c>
      <c r="E2" s="1063"/>
      <c r="F2" s="1063"/>
      <c r="G2" s="1681"/>
      <c r="H2" s="1019"/>
    </row>
    <row r="3" spans="1:10" ht="13.5" thickBot="1">
      <c r="A3" s="1998" t="s">
        <v>1547</v>
      </c>
      <c r="B3" s="1999" t="s">
        <v>2810</v>
      </c>
      <c r="C3" s="1064">
        <f ca="1">SUMIF(注册房地产估价师,B3,估价师及机构信息!B3:B24)</f>
        <v>1120000080</v>
      </c>
      <c r="D3" s="1999" t="s">
        <v>2811</v>
      </c>
      <c r="E3" s="1065">
        <f ca="1">SUMIF(注册房地产估价师,D3,估价师及机构信息!B3:B24)</f>
        <v>1120100036</v>
      </c>
      <c r="F3" s="1066"/>
      <c r="G3" s="1682"/>
      <c r="H3" s="1019"/>
    </row>
    <row r="4" spans="1:10" ht="13.5" customHeight="1" thickTop="1">
      <c r="A4" s="2000" t="s">
        <v>1548</v>
      </c>
      <c r="B4" s="2731" t="s">
        <v>2812</v>
      </c>
      <c r="C4" s="2001" t="s">
        <v>1549</v>
      </c>
      <c r="D4" s="2002" t="s">
        <v>2813</v>
      </c>
      <c r="E4" s="1063"/>
      <c r="F4" s="1063"/>
      <c r="G4" s="1681"/>
    </row>
    <row r="5" spans="1:10">
      <c r="A5" s="2003" t="s">
        <v>1550</v>
      </c>
      <c r="B5" s="2004" t="str">
        <f>B4</f>
        <v>农商行</v>
      </c>
      <c r="C5" s="2005" t="s">
        <v>1551</v>
      </c>
      <c r="D5" s="2006" t="s">
        <v>2814</v>
      </c>
      <c r="E5" s="2007" t="s">
        <v>1552</v>
      </c>
      <c r="F5" s="2008"/>
      <c r="G5" s="2009" t="s">
        <v>1253</v>
      </c>
      <c r="I5" s="1019" t="str">
        <f>IF(C16="否","截至估价时点，估价对象抵押权未见登记。","截至价值时点，估价对象已设定抵押。")</f>
        <v>截至估价时点，估价对象抵押权未见登记。</v>
      </c>
    </row>
    <row r="6" spans="1:10">
      <c r="A6" s="2010" t="s">
        <v>1553</v>
      </c>
      <c r="B6" s="2011" t="s">
        <v>2815</v>
      </c>
      <c r="C6" s="2012"/>
      <c r="D6" s="2013" t="s">
        <v>1554</v>
      </c>
      <c r="E6" s="1021"/>
      <c r="F6" s="1020"/>
      <c r="G6" s="1073"/>
      <c r="I6" s="1069" t="str">
        <f>IF(COUNTIF(B5,"*上海银行*"),"上海银行","")</f>
        <v/>
      </c>
    </row>
    <row r="7" spans="1:10" ht="13.5" thickBot="1">
      <c r="A7" s="1998" t="s">
        <v>1555</v>
      </c>
      <c r="B7" s="2014" t="s">
        <v>2816</v>
      </c>
      <c r="C7" s="2015" t="str">
        <f>IF(B7="自然人","姓名","名称")</f>
        <v>名称</v>
      </c>
      <c r="D7" s="2016" t="str">
        <f>B4</f>
        <v>农商行</v>
      </c>
      <c r="E7" s="1067"/>
      <c r="F7" s="1066"/>
      <c r="G7" s="1682"/>
    </row>
    <row r="8" spans="1:10" ht="13.5" thickTop="1">
      <c r="A8" s="2812" t="s">
        <v>1556</v>
      </c>
      <c r="B8" s="2017" t="s">
        <v>1557</v>
      </c>
      <c r="C8" s="2824"/>
      <c r="D8" s="2825"/>
      <c r="E8" s="2018" t="s">
        <v>1558</v>
      </c>
      <c r="F8" s="2019" t="s">
        <v>1559</v>
      </c>
      <c r="G8" s="690">
        <f>C6</f>
        <v>0</v>
      </c>
    </row>
    <row r="9" spans="1:10">
      <c r="A9" s="2812"/>
      <c r="B9" s="344" t="s">
        <v>1560</v>
      </c>
      <c r="C9" s="2004"/>
      <c r="D9" s="2020"/>
      <c r="E9" s="1009" t="s">
        <v>1561</v>
      </c>
      <c r="F9" s="996" t="s">
        <v>221</v>
      </c>
      <c r="G9" s="1011"/>
    </row>
    <row r="10" spans="1:10" ht="13.5" thickBot="1">
      <c r="A10" s="2812"/>
      <c r="B10" s="344" t="s">
        <v>1562</v>
      </c>
      <c r="C10" s="2826"/>
      <c r="D10" s="2827"/>
      <c r="E10" s="2021" t="s">
        <v>1563</v>
      </c>
      <c r="F10" s="1012" t="s">
        <v>88</v>
      </c>
      <c r="G10" s="1013"/>
    </row>
    <row r="11" spans="1:10" ht="13.5" thickBot="1">
      <c r="A11" s="2812"/>
      <c r="B11" s="2022" t="s">
        <v>1564</v>
      </c>
      <c r="C11" s="2828"/>
      <c r="D11" s="2829"/>
      <c r="E11" s="1021"/>
      <c r="F11" s="1020"/>
      <c r="G11" s="1073"/>
    </row>
    <row r="12" spans="1:10" ht="24.75" thickBot="1">
      <c r="A12" s="2815" t="s">
        <v>1565</v>
      </c>
      <c r="B12" s="2023" t="s">
        <v>1566</v>
      </c>
      <c r="C12" s="1015">
        <v>218.48</v>
      </c>
      <c r="D12" s="2023" t="s">
        <v>1567</v>
      </c>
      <c r="E12" s="2024" t="s">
        <v>1568</v>
      </c>
      <c r="F12" s="2025" t="s">
        <v>1569</v>
      </c>
      <c r="G12" s="1073"/>
    </row>
    <row r="13" spans="1:10" ht="21" customHeight="1" thickBot="1">
      <c r="A13" s="2816"/>
      <c r="B13" s="2026" t="s">
        <v>1570</v>
      </c>
      <c r="C13" s="1016">
        <v>0</v>
      </c>
      <c r="D13" s="2026" t="s">
        <v>1571</v>
      </c>
      <c r="E13" s="2027" t="s">
        <v>1568</v>
      </c>
      <c r="F13" s="1020"/>
      <c r="G13" s="1073"/>
      <c r="I13" s="2802" t="s">
        <v>1572</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1573</v>
      </c>
      <c r="C14" s="2732" t="s">
        <v>2825</v>
      </c>
      <c r="D14" s="1020"/>
      <c r="E14" s="1020"/>
      <c r="F14" s="1020"/>
      <c r="G14" s="1073"/>
      <c r="I14" s="2802"/>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1574</v>
      </c>
      <c r="C15" s="1068">
        <v>3.6</v>
      </c>
      <c r="D15" s="1066"/>
      <c r="E15" s="1066"/>
      <c r="F15" s="1066"/>
      <c r="G15" s="1682"/>
      <c r="I15" s="2802"/>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t="s">
        <v>2826</v>
      </c>
      <c r="D16" s="2035" t="s">
        <v>1577</v>
      </c>
      <c r="E16" s="2036" t="s">
        <v>1253</v>
      </c>
      <c r="F16" s="2037" t="str">
        <f>IF(AND(C16="是",E16="否"),"是否提供他项权证或相关说明","")</f>
        <v/>
      </c>
      <c r="G16" s="2036" t="s">
        <v>1253</v>
      </c>
      <c r="I16" s="1070"/>
      <c r="J16" s="1019"/>
    </row>
    <row r="17" spans="1:15" ht="13.5" customHeight="1">
      <c r="A17" s="2038" t="s">
        <v>1578</v>
      </c>
      <c r="B17" s="2830" t="s">
        <v>1579</v>
      </c>
      <c r="C17" s="2831"/>
      <c r="D17" s="2832" t="s">
        <v>1580</v>
      </c>
      <c r="E17" s="2833"/>
      <c r="F17" s="2039" t="s">
        <v>1581</v>
      </c>
      <c r="G17" s="2040"/>
      <c r="J17" s="1019"/>
    </row>
    <row r="18" spans="1:15">
      <c r="A18" s="2038"/>
      <c r="B18" s="2041" t="s">
        <v>1253</v>
      </c>
      <c r="C18" s="2009" t="s">
        <v>1253</v>
      </c>
      <c r="D18" s="2042"/>
      <c r="E18" s="2043" t="s">
        <v>1253</v>
      </c>
      <c r="F18" s="2044"/>
      <c r="G18" s="1866"/>
      <c r="H18" s="1019"/>
      <c r="J18" s="1019"/>
    </row>
    <row r="19" spans="1:15" ht="21.75" customHeight="1" thickBot="1">
      <c r="A19" s="2038"/>
      <c r="B19" s="2045" t="s">
        <v>1253</v>
      </c>
      <c r="C19" s="2027" t="s">
        <v>1253</v>
      </c>
      <c r="D19" s="2046"/>
      <c r="E19" s="1020"/>
      <c r="F19" s="1020"/>
      <c r="G19" s="1866"/>
    </row>
    <row r="20" spans="1:15">
      <c r="A20" s="2047" t="s">
        <v>1582</v>
      </c>
      <c r="B20" s="2048" t="s">
        <v>1583</v>
      </c>
      <c r="C20" s="2049"/>
      <c r="D20" s="2050" t="s">
        <v>1583</v>
      </c>
      <c r="E20" s="2049"/>
      <c r="F20" s="1020"/>
      <c r="G20" s="1866"/>
    </row>
    <row r="21" spans="1:15">
      <c r="A21" s="2051"/>
      <c r="B21" s="2052" t="s">
        <v>1584</v>
      </c>
      <c r="C21" s="2053"/>
      <c r="D21" s="2038" t="s">
        <v>1584</v>
      </c>
      <c r="E21" s="2054"/>
      <c r="F21" s="1020"/>
      <c r="G21" s="1866"/>
    </row>
    <row r="22" spans="1:15">
      <c r="A22" s="2051"/>
      <c r="B22" s="2055" t="s">
        <v>1585</v>
      </c>
      <c r="C22" s="2056"/>
      <c r="D22" s="2055" t="s">
        <v>1585</v>
      </c>
      <c r="E22" s="2054"/>
      <c r="F22" s="1020"/>
      <c r="G22" s="1866"/>
    </row>
    <row r="23" spans="1:15" s="1864" customFormat="1" ht="21" thickBot="1">
      <c r="A23" s="2057"/>
      <c r="B23" s="2058" t="s">
        <v>1586</v>
      </c>
      <c r="C23" s="2059"/>
      <c r="D23" s="2058" t="s">
        <v>1587</v>
      </c>
      <c r="E23" s="2060"/>
      <c r="F23" s="1020"/>
      <c r="G23" s="1866"/>
      <c r="H23" s="2061"/>
      <c r="I23" s="1865"/>
      <c r="K23" s="1863"/>
      <c r="L23" s="1863"/>
      <c r="M23" s="1863"/>
      <c r="O23" s="1865"/>
    </row>
    <row r="24" spans="1:15" ht="13.5" thickBot="1">
      <c r="A24" s="1071" t="s">
        <v>1588</v>
      </c>
      <c r="B24" s="1020"/>
      <c r="C24" s="1020"/>
      <c r="D24" s="1020"/>
      <c r="E24" s="1020"/>
      <c r="F24" s="1020"/>
      <c r="G24" s="1867"/>
      <c r="I24" s="1070"/>
      <c r="K24" s="1070"/>
    </row>
    <row r="25" spans="1:15" s="1080" customFormat="1" ht="13.5" thickBot="1">
      <c r="A25" s="995"/>
      <c r="B25" s="2062" t="s">
        <v>1589</v>
      </c>
      <c r="C25" s="995"/>
      <c r="D25" s="1014"/>
      <c r="E25" s="1017" t="s">
        <v>1590</v>
      </c>
      <c r="F25" s="995"/>
      <c r="G25" s="2063" t="s">
        <v>1591</v>
      </c>
      <c r="L25" s="1081"/>
      <c r="M25" s="1081"/>
      <c r="O25" s="1082"/>
    </row>
    <row r="26" spans="1:15" s="1080" customFormat="1" ht="13.5" thickBot="1">
      <c r="A26" s="995"/>
      <c r="B26" s="1088" t="s">
        <v>1253</v>
      </c>
      <c r="C26" s="995"/>
      <c r="D26" s="1014"/>
      <c r="E26" s="1088" t="s">
        <v>1253</v>
      </c>
      <c r="F26" s="995"/>
      <c r="G26" s="1683" t="s">
        <v>1253</v>
      </c>
      <c r="L26" s="1081"/>
      <c r="M26" s="1081"/>
      <c r="O26" s="1082"/>
    </row>
    <row r="27" spans="1:15">
      <c r="A27" s="1006" t="s">
        <v>1592</v>
      </c>
      <c r="B27" s="1003"/>
      <c r="C27" s="2818" t="s">
        <v>1592</v>
      </c>
      <c r="D27" s="2819"/>
      <c r="E27" s="1003"/>
      <c r="F27" s="1010" t="s">
        <v>1592</v>
      </c>
      <c r="G27" s="1003"/>
      <c r="I27" s="1070"/>
      <c r="K27" s="1070"/>
    </row>
    <row r="28" spans="1:15">
      <c r="A28" s="1007" t="s">
        <v>1593</v>
      </c>
      <c r="B28" s="978"/>
      <c r="C28" s="2820" t="s">
        <v>1594</v>
      </c>
      <c r="D28" s="2821"/>
      <c r="E28" s="978"/>
      <c r="F28" s="1892" t="s">
        <v>1594</v>
      </c>
      <c r="G28" s="978"/>
      <c r="I28" s="1070"/>
      <c r="K28" s="1070"/>
    </row>
    <row r="29" spans="1:15">
      <c r="A29" s="1007" t="s">
        <v>1595</v>
      </c>
      <c r="B29" s="978"/>
      <c r="C29" s="2820" t="s">
        <v>1595</v>
      </c>
      <c r="D29" s="2821"/>
      <c r="E29" s="978"/>
      <c r="F29" s="1892" t="s">
        <v>1596</v>
      </c>
      <c r="G29" s="978"/>
      <c r="I29" s="1070"/>
      <c r="K29" s="1070"/>
    </row>
    <row r="30" spans="1:15">
      <c r="A30" s="1007" t="s">
        <v>1597</v>
      </c>
      <c r="B30" s="978"/>
      <c r="C30" s="2809" t="s">
        <v>1598</v>
      </c>
      <c r="D30" s="2064"/>
      <c r="E30" s="1022" t="str">
        <f>E31&amp;" "&amp;E32&amp;" "&amp;E33&amp;" "&amp;E34</f>
        <v xml:space="preserve">   </v>
      </c>
      <c r="F30" s="1892" t="s">
        <v>1599</v>
      </c>
      <c r="G30" s="978"/>
    </row>
    <row r="31" spans="1:15">
      <c r="A31" s="1007" t="s">
        <v>1600</v>
      </c>
      <c r="B31" s="978"/>
      <c r="C31" s="2810"/>
      <c r="D31" s="1891" t="s">
        <v>1601</v>
      </c>
      <c r="E31" s="978"/>
      <c r="F31" s="1892" t="s">
        <v>1602</v>
      </c>
      <c r="G31" s="978"/>
    </row>
    <row r="32" spans="1:15" ht="24.75" thickBot="1">
      <c r="A32" s="1008" t="s">
        <v>1603</v>
      </c>
      <c r="B32" s="1004"/>
      <c r="C32" s="2810"/>
      <c r="D32" s="1891" t="s">
        <v>1604</v>
      </c>
      <c r="E32" s="978"/>
      <c r="F32" s="1892" t="s">
        <v>1605</v>
      </c>
      <c r="G32" s="978"/>
    </row>
    <row r="33" spans="1:7">
      <c r="A33" s="1006" t="s">
        <v>1606</v>
      </c>
      <c r="B33" s="1003"/>
      <c r="C33" s="2810"/>
      <c r="D33" s="1891" t="s">
        <v>1607</v>
      </c>
      <c r="E33" s="978"/>
      <c r="F33" s="1892" t="s">
        <v>1608</v>
      </c>
      <c r="G33" s="978"/>
    </row>
    <row r="34" spans="1:7" ht="13.5" thickBot="1">
      <c r="A34" s="1007" t="s">
        <v>1609</v>
      </c>
      <c r="B34" s="978"/>
      <c r="C34" s="2811"/>
      <c r="D34" s="1891" t="s">
        <v>1610</v>
      </c>
      <c r="E34" s="978"/>
      <c r="F34" s="1893" t="s">
        <v>1611</v>
      </c>
      <c r="G34" s="1005"/>
    </row>
    <row r="35" spans="1:7">
      <c r="A35" s="1007" t="s">
        <v>1566</v>
      </c>
      <c r="B35" s="978"/>
      <c r="C35" s="2820" t="s">
        <v>1612</v>
      </c>
      <c r="D35" s="2821"/>
      <c r="E35" s="978"/>
      <c r="F35" s="1018" t="s">
        <v>1613</v>
      </c>
      <c r="G35" s="1003"/>
    </row>
    <row r="36" spans="1:7" ht="13.5" thickBot="1">
      <c r="A36" s="1007" t="s">
        <v>1614</v>
      </c>
      <c r="B36" s="978"/>
      <c r="C36" s="2822" t="s">
        <v>1615</v>
      </c>
      <c r="D36" s="2823"/>
      <c r="E36" s="1004"/>
      <c r="F36" s="1889" t="s">
        <v>1616</v>
      </c>
      <c r="G36" s="978"/>
    </row>
    <row r="37" spans="1:7" ht="13.5" thickBot="1">
      <c r="A37" s="1007" t="s">
        <v>1617</v>
      </c>
      <c r="B37" s="978"/>
      <c r="C37" s="2807" t="s">
        <v>1618</v>
      </c>
      <c r="D37" s="2065" t="s">
        <v>1602</v>
      </c>
      <c r="E37" s="1003"/>
      <c r="F37" s="1893" t="s">
        <v>1619</v>
      </c>
      <c r="G37" s="1004"/>
    </row>
    <row r="38" spans="1:7">
      <c r="A38" s="1007" t="s">
        <v>1620</v>
      </c>
      <c r="B38" s="978"/>
      <c r="C38" s="2813"/>
      <c r="D38" s="1891" t="s">
        <v>1609</v>
      </c>
      <c r="E38" s="978"/>
      <c r="F38" s="1010" t="s">
        <v>1621</v>
      </c>
      <c r="G38" s="1003"/>
    </row>
    <row r="39" spans="1:7">
      <c r="A39" s="1007" t="s">
        <v>1622</v>
      </c>
      <c r="B39" s="978"/>
      <c r="C39" s="2813" t="s">
        <v>1623</v>
      </c>
      <c r="D39" s="1891" t="s">
        <v>1566</v>
      </c>
      <c r="E39" s="978"/>
      <c r="F39" s="1892" t="s">
        <v>1624</v>
      </c>
      <c r="G39" s="978"/>
    </row>
    <row r="40" spans="1:7" ht="24.75" customHeight="1" thickBot="1">
      <c r="A40" s="1008" t="s">
        <v>1625</v>
      </c>
      <c r="B40" s="1004">
        <v>2005</v>
      </c>
      <c r="C40" s="2814"/>
      <c r="D40" s="1894" t="s">
        <v>1570</v>
      </c>
      <c r="E40" s="1004"/>
      <c r="F40" s="1893" t="s">
        <v>1626</v>
      </c>
      <c r="G40" s="1004"/>
    </row>
    <row r="41" spans="1:7">
      <c r="A41" s="1009" t="s">
        <v>1627</v>
      </c>
      <c r="B41" s="1059"/>
      <c r="C41" s="2803" t="s">
        <v>1627</v>
      </c>
      <c r="D41" s="2804"/>
      <c r="E41" s="1059"/>
      <c r="F41" s="1010" t="s">
        <v>1628</v>
      </c>
      <c r="G41" s="1059"/>
    </row>
    <row r="42" spans="1:7">
      <c r="A42" s="1056" t="s">
        <v>1629</v>
      </c>
      <c r="B42" s="1060"/>
      <c r="C42" s="2066"/>
      <c r="D42" s="2067"/>
      <c r="E42" s="1060"/>
      <c r="F42" s="1058"/>
      <c r="G42" s="1060"/>
    </row>
    <row r="43" spans="1:7">
      <c r="A43" s="94" t="s">
        <v>1583</v>
      </c>
      <c r="B43" s="1057"/>
      <c r="C43" s="2066"/>
      <c r="D43" s="2068" t="s">
        <v>1583</v>
      </c>
      <c r="E43" s="1057"/>
      <c r="F43" s="94" t="s">
        <v>1583</v>
      </c>
      <c r="G43" s="1057"/>
    </row>
    <row r="44" spans="1:7">
      <c r="A44" s="94" t="s">
        <v>1584</v>
      </c>
      <c r="B44" s="1057"/>
      <c r="C44" s="2066"/>
      <c r="D44" s="2052" t="s">
        <v>1584</v>
      </c>
      <c r="E44" s="1057"/>
      <c r="F44" s="94" t="s">
        <v>1584</v>
      </c>
      <c r="G44" s="1057"/>
    </row>
    <row r="45" spans="1:7">
      <c r="A45" s="94" t="s">
        <v>1585</v>
      </c>
      <c r="B45" s="1057"/>
      <c r="C45" s="2066"/>
      <c r="D45" s="2052" t="s">
        <v>1585</v>
      </c>
      <c r="E45" s="1057"/>
      <c r="F45" s="94" t="s">
        <v>1585</v>
      </c>
      <c r="G45" s="1057"/>
    </row>
    <row r="46" spans="1:7">
      <c r="A46" s="94" t="s">
        <v>1586</v>
      </c>
      <c r="B46" s="1057"/>
      <c r="C46" s="2066"/>
      <c r="D46" s="2052" t="s">
        <v>1586</v>
      </c>
      <c r="E46" s="1057"/>
      <c r="F46" s="94" t="s">
        <v>1586</v>
      </c>
      <c r="G46" s="1057"/>
    </row>
    <row r="47" spans="1:7">
      <c r="A47" s="1056"/>
      <c r="B47" s="1057"/>
      <c r="C47" s="2066"/>
      <c r="D47" s="2067"/>
      <c r="E47" s="1057"/>
      <c r="F47" s="1058"/>
      <c r="G47" s="1057"/>
    </row>
    <row r="48" spans="1:7" ht="13.5" thickBot="1">
      <c r="A48" s="1008" t="s">
        <v>1630</v>
      </c>
      <c r="B48" s="1004"/>
      <c r="C48" s="2805" t="s">
        <v>1630</v>
      </c>
      <c r="D48" s="2806"/>
      <c r="E48" s="1054"/>
      <c r="F48" s="1893" t="s">
        <v>1631</v>
      </c>
      <c r="G48" s="1004"/>
    </row>
    <row r="49" spans="1:15">
      <c r="A49" s="1007" t="s">
        <v>1632</v>
      </c>
      <c r="B49" s="1053"/>
      <c r="C49" s="2807" t="s">
        <v>1633</v>
      </c>
      <c r="D49" s="2808"/>
      <c r="E49" s="1055"/>
      <c r="F49" s="1083"/>
      <c r="G49" s="1084"/>
    </row>
    <row r="50" spans="1:15" ht="13.5" thickBot="1">
      <c r="A50" s="1007" t="s">
        <v>1634</v>
      </c>
      <c r="B50" s="2746" t="s">
        <v>2831</v>
      </c>
      <c r="C50" s="2814" t="s">
        <v>1635</v>
      </c>
      <c r="D50" s="2817"/>
      <c r="E50" s="1004"/>
      <c r="F50" s="1020"/>
      <c r="G50" s="1073"/>
    </row>
    <row r="51" spans="1:15">
      <c r="A51" s="1007" t="s">
        <v>1613</v>
      </c>
      <c r="B51" s="978"/>
      <c r="C51" s="1020"/>
      <c r="D51" s="1020"/>
      <c r="E51" s="1020"/>
      <c r="F51" s="1020"/>
      <c r="G51" s="1073"/>
    </row>
    <row r="52" spans="1:15" ht="24.75" thickBot="1">
      <c r="A52" s="1008" t="s">
        <v>1636</v>
      </c>
      <c r="B52" s="1005">
        <v>61509</v>
      </c>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4" sqref="B4"/>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1637</v>
      </c>
      <c r="B1" s="1236"/>
      <c r="C1" s="1236"/>
      <c r="D1" s="1851"/>
      <c r="E1" s="1851"/>
      <c r="AE1" s="1236"/>
      <c r="AF1" s="1236"/>
      <c r="AG1" s="1236"/>
      <c r="AH1" s="1236"/>
      <c r="AI1" s="1236"/>
      <c r="AJ1" s="1236"/>
      <c r="AK1" s="1236"/>
      <c r="AL1" s="1236"/>
      <c r="AM1" s="1236"/>
      <c r="AN1" s="1236"/>
      <c r="AO1" s="1236"/>
    </row>
    <row r="2" spans="1:41" s="2074" customFormat="1" ht="15.75" thickBot="1">
      <c r="A2" s="2071" t="s">
        <v>1638</v>
      </c>
      <c r="B2" s="1208">
        <f>项目基本情况!D2</f>
        <v>43257</v>
      </c>
      <c r="C2" s="1853"/>
      <c r="D2" s="2836" t="s">
        <v>1639</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1640</v>
      </c>
      <c r="B3" s="2075" t="s">
        <v>2827</v>
      </c>
      <c r="C3" s="1853"/>
      <c r="D3" s="2837"/>
      <c r="E3" s="1187" t="s">
        <v>2826</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1641</v>
      </c>
      <c r="B4" s="2075" t="s">
        <v>2910</v>
      </c>
      <c r="C4" s="1853"/>
      <c r="D4" s="2837"/>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1642</v>
      </c>
      <c r="B5" s="1317">
        <f>项目基本情况!C12</f>
        <v>218.48</v>
      </c>
      <c r="C5" s="1853"/>
      <c r="D5" s="2077" t="s">
        <v>1643</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1644</v>
      </c>
      <c r="B6" s="1318">
        <f>项目基本情况!C13</f>
        <v>0</v>
      </c>
      <c r="C6" s="1853"/>
      <c r="D6" s="2077" t="s">
        <v>1645</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1646</v>
      </c>
      <c r="B10" s="2082" t="s">
        <v>2817</v>
      </c>
      <c r="C10" s="1853"/>
      <c r="D10" s="2071" t="s">
        <v>1647</v>
      </c>
      <c r="E10" s="2083" t="s">
        <v>1648</v>
      </c>
      <c r="F10" s="1144" t="s">
        <v>1649</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1650</v>
      </c>
      <c r="B11" s="990">
        <v>50</v>
      </c>
      <c r="C11" s="1853"/>
      <c r="D11" s="2085" t="s">
        <v>1651</v>
      </c>
      <c r="E11" s="34"/>
      <c r="F11" s="1852" t="s">
        <v>1652</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1653</v>
      </c>
      <c r="B12" s="2738">
        <f>项目基本情况!B52</f>
        <v>61509</v>
      </c>
      <c r="C12" s="1853"/>
      <c r="D12" s="2089" t="s">
        <v>1654</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1655</v>
      </c>
      <c r="B13" s="991">
        <f>IF(B12="",B11-(YEAR($B$2)-B26+B23),ROUNDDOWN(MIN((B12-$B$2)/365,B11),2))</f>
        <v>50</v>
      </c>
      <c r="C13" s="2091"/>
      <c r="D13" s="2092" t="s">
        <v>1656</v>
      </c>
      <c r="E13" s="39">
        <f>ROUND(E12*B5/10000,2)</f>
        <v>4.37</v>
      </c>
      <c r="F13" s="1847" t="s">
        <v>1657</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1658</v>
      </c>
      <c r="B14" s="992">
        <f>IF(ISERROR(ROUND(POWER(1+B15,B11-B13)*(POWER(1+B15,B13)-1)/(POWER(1+B15,B11)-1),3)),0,ROUND(POWER(1+B15,B11-B13)*(POWER(1+B15,B13)-1)/(POWER(1+B15,B11)-1),3))</f>
        <v>1</v>
      </c>
      <c r="C14" s="1853"/>
      <c r="D14" s="2093" t="s">
        <v>1659</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1660</v>
      </c>
      <c r="B15" s="30">
        <v>5.5E-2</v>
      </c>
      <c r="C15" s="1853"/>
      <c r="D15" s="2089" t="s">
        <v>1661</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1662</v>
      </c>
      <c r="B16" s="30">
        <v>0.06</v>
      </c>
      <c r="C16" s="1853"/>
      <c r="D16" s="2094" t="s">
        <v>1663</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1664</v>
      </c>
      <c r="B17" s="997">
        <v>8.5000000000000006E-2</v>
      </c>
      <c r="C17" s="1853"/>
      <c r="D17" s="2081" t="s">
        <v>1665</v>
      </c>
      <c r="E17" s="985">
        <v>3500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6">
        <f>ROUND(B5*E17*IF(B25=0,1,E20),0)</f>
        <v>764680</v>
      </c>
      <c r="F18" s="1319">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1666</v>
      </c>
      <c r="B19" s="1853"/>
      <c r="C19" s="1853"/>
      <c r="D19" s="2096" t="str">
        <f>IF(B25=0,"——","续建建安")</f>
        <v>——</v>
      </c>
      <c r="E19" s="986"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1667</v>
      </c>
      <c r="B20" s="31">
        <v>0</v>
      </c>
      <c r="C20" s="1853"/>
      <c r="D20" s="2098" t="str">
        <f>IF(B25=0,"成新率","工程进度")</f>
        <v>成新率</v>
      </c>
      <c r="E20" s="987">
        <f>ROUND(1-(1-0%)*(2018-B26)/60,2)</f>
        <v>0.78</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1668</v>
      </c>
      <c r="B21" s="32">
        <v>2</v>
      </c>
      <c r="C21" s="1853"/>
      <c r="D21" s="2089" t="s">
        <v>1669</v>
      </c>
      <c r="E21" s="711">
        <v>0.05</v>
      </c>
      <c r="F21" s="1850" t="s">
        <v>1670</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1671</v>
      </c>
      <c r="B22" s="1452">
        <v>2</v>
      </c>
      <c r="C22" s="1853"/>
      <c r="D22" s="2089" t="s">
        <v>1672</v>
      </c>
      <c r="E22" s="40">
        <v>0</v>
      </c>
      <c r="F22" s="1850" t="s">
        <v>1673</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1674</v>
      </c>
      <c r="B23" s="33">
        <f>B20+B21</f>
        <v>2</v>
      </c>
      <c r="C23" s="1853"/>
      <c r="D23" s="2089" t="s">
        <v>1675</v>
      </c>
      <c r="E23" s="37">
        <v>200</v>
      </c>
      <c r="F23" s="1850" t="s">
        <v>1676</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1677</v>
      </c>
      <c r="B24" s="1740">
        <f>B20+B22</f>
        <v>2</v>
      </c>
      <c r="C24" s="1853"/>
      <c r="D24" s="2094" t="s">
        <v>1678</v>
      </c>
      <c r="E24" s="1816">
        <v>1.4999999999999999E-2</v>
      </c>
      <c r="F24" s="1850" t="s">
        <v>1679</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1680</v>
      </c>
      <c r="B25" s="1451">
        <f>B21-B22</f>
        <v>0</v>
      </c>
      <c r="C25" s="1236"/>
      <c r="D25" s="2085" t="s">
        <v>1681</v>
      </c>
      <c r="E25" s="711">
        <v>0.02</v>
      </c>
      <c r="F25" s="1850" t="s">
        <v>1682</v>
      </c>
      <c r="I25" s="1851"/>
      <c r="AE25" s="1236"/>
      <c r="AF25" s="1236"/>
      <c r="AG25" s="1236"/>
      <c r="AH25" s="1236"/>
      <c r="AI25" s="1236"/>
      <c r="AJ25" s="1236"/>
      <c r="AK25" s="1236"/>
      <c r="AL25" s="1236"/>
      <c r="AM25" s="1236"/>
      <c r="AN25" s="1236"/>
      <c r="AO25" s="1236"/>
    </row>
    <row r="26" spans="1:41" ht="15.75" thickBot="1">
      <c r="A26" s="2103" t="s">
        <v>1683</v>
      </c>
      <c r="B26" s="1093">
        <v>2005</v>
      </c>
      <c r="C26" s="1853"/>
      <c r="D26" s="2089" t="s">
        <v>1684</v>
      </c>
      <c r="E26" s="40">
        <v>0.02</v>
      </c>
      <c r="F26" s="1850" t="s">
        <v>1682</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89" t="s">
        <v>1685</v>
      </c>
      <c r="E27" s="352">
        <f ca="1">存贷款利率!G1</f>
        <v>4.7500000000000001E-2</v>
      </c>
      <c r="F27" s="1850" t="s">
        <v>1686</v>
      </c>
      <c r="G27" s="2073"/>
      <c r="H27" s="2073"/>
      <c r="K27" s="1853"/>
      <c r="N27" s="1853"/>
      <c r="AE27" s="1236"/>
      <c r="AF27" s="1236"/>
      <c r="AG27" s="1236"/>
      <c r="AH27" s="1236"/>
      <c r="AI27" s="1236"/>
      <c r="AJ27" s="1236"/>
      <c r="AK27" s="1236"/>
      <c r="AL27" s="1236"/>
      <c r="AM27" s="1236"/>
      <c r="AN27" s="1236"/>
      <c r="AO27" s="1236"/>
    </row>
    <row r="28" spans="1:41" ht="15" thickBot="1">
      <c r="A28" s="2104" t="s">
        <v>1687</v>
      </c>
      <c r="B28" s="2105" t="s">
        <v>2903</v>
      </c>
      <c r="C28" s="1236"/>
      <c r="D28" s="2106" t="s">
        <v>1688</v>
      </c>
      <c r="E28" s="989">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742">
        <v>5</v>
      </c>
      <c r="C29" s="1236"/>
      <c r="D29" s="2093" t="s">
        <v>1689</v>
      </c>
      <c r="E29" s="988">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1690</v>
      </c>
      <c r="B30" s="1417">
        <f ca="1">存贷款利率!I1</f>
        <v>1.4999999999999999E-2</v>
      </c>
      <c r="C30" s="1236"/>
      <c r="D30" s="2107" t="s">
        <v>1691</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1692</v>
      </c>
      <c r="B31" s="30">
        <v>2.5000000000000001E-2</v>
      </c>
      <c r="C31" s="1236"/>
      <c r="D31" s="2107" t="s">
        <v>1693</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1694</v>
      </c>
      <c r="B32" s="30">
        <v>0.05</v>
      </c>
      <c r="C32" s="1236"/>
      <c r="D32" s="2108" t="s">
        <v>1695</v>
      </c>
      <c r="E32" s="43">
        <v>7.0000000000000007E-2</v>
      </c>
      <c r="F32" s="1845" t="s">
        <v>1696</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1697</v>
      </c>
      <c r="B33" s="1378">
        <f>收益法!J54</f>
        <v>47</v>
      </c>
      <c r="C33" s="1236"/>
      <c r="D33" s="2108" t="s">
        <v>1698</v>
      </c>
      <c r="E33" s="41">
        <v>0.03</v>
      </c>
      <c r="F33" s="1844" t="s">
        <v>1699</v>
      </c>
      <c r="G33" s="2073"/>
      <c r="H33" s="2073"/>
      <c r="K33" s="1853"/>
      <c r="L33" s="1853"/>
      <c r="M33" s="1853"/>
      <c r="N33" s="1853"/>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2749"/>
      <c r="C34" s="1236"/>
      <c r="D34" s="2108" t="s">
        <v>1700</v>
      </c>
      <c r="E34" s="41">
        <v>0.02</v>
      </c>
      <c r="F34" s="1844" t="s">
        <v>1701</v>
      </c>
      <c r="G34" s="2109"/>
      <c r="H34" s="2109"/>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1702</v>
      </c>
      <c r="B35" s="994"/>
      <c r="C35" s="1236"/>
      <c r="D35" s="2112" t="s">
        <v>1703</v>
      </c>
      <c r="E35" s="44">
        <v>0</v>
      </c>
      <c r="F35" s="1852" t="s">
        <v>1704</v>
      </c>
      <c r="G35" s="2109"/>
      <c r="H35" s="2109"/>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1705</v>
      </c>
      <c r="E36" s="45">
        <v>0.03</v>
      </c>
      <c r="F36" s="1848" t="s">
        <v>1706</v>
      </c>
      <c r="G36" s="2109"/>
      <c r="H36" s="2109"/>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8" t="str">
        <f>IF(B28="租赁期内按合同租金","年租金增长率","——")</f>
        <v>——</v>
      </c>
      <c r="B37" s="30"/>
      <c r="C37" s="1236"/>
      <c r="D37" s="2094" t="s">
        <v>1707</v>
      </c>
      <c r="E37" s="41">
        <v>5.0000000000000001E-4</v>
      </c>
      <c r="F37" s="1848" t="s">
        <v>1708</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8" t="str">
        <f>IF(B28="租赁期内按合同租金","空置率","——")</f>
        <v>——</v>
      </c>
      <c r="B38" s="30"/>
      <c r="C38" s="1236"/>
      <c r="D38" s="2115" t="s">
        <v>1709</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8" t="str">
        <f>IF(B28="租赁期内按合同租金","成新率","——")</f>
        <v>——</v>
      </c>
      <c r="B39" s="2737"/>
      <c r="C39" s="1236"/>
      <c r="D39" s="2092" t="s">
        <v>1710</v>
      </c>
      <c r="E39" s="47">
        <v>0.12</v>
      </c>
      <c r="F39" s="1846"/>
      <c r="G39" s="2109"/>
      <c r="H39" s="2109"/>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1711</v>
      </c>
      <c r="E40" s="48">
        <f>SUMIF(D42:D51,E41,E42:E51)</f>
        <v>24</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6" t="s">
        <v>1712</v>
      </c>
      <c r="B41" s="999"/>
      <c r="C41" s="1236"/>
      <c r="D41" s="2089" t="s">
        <v>1713</v>
      </c>
      <c r="E41" s="2117" t="s">
        <v>221</v>
      </c>
      <c r="F41" s="1846" t="s">
        <v>1714</v>
      </c>
      <c r="G41" s="2118" t="s">
        <v>1715</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1716</v>
      </c>
      <c r="B42" s="993">
        <v>365</v>
      </c>
      <c r="C42" s="1236"/>
      <c r="D42" s="2119" t="s">
        <v>1717</v>
      </c>
      <c r="E42" s="29"/>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1718</v>
      </c>
      <c r="B43" s="29"/>
      <c r="C43" s="1236"/>
      <c r="D43" s="2119" t="s">
        <v>1719</v>
      </c>
      <c r="E43" s="29">
        <v>24</v>
      </c>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1720</v>
      </c>
      <c r="B44" s="1000">
        <v>1.4999999999999999E-2</v>
      </c>
      <c r="C44" s="1236" t="s">
        <v>969</v>
      </c>
      <c r="D44" s="2119" t="s">
        <v>1721</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1722</v>
      </c>
      <c r="B45" s="1001">
        <v>1.5E-3</v>
      </c>
      <c r="C45" s="1236" t="s">
        <v>970</v>
      </c>
      <c r="D45" s="2119" t="s">
        <v>1723</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6" t="s">
        <v>1724</v>
      </c>
      <c r="B46" s="1002">
        <v>0.01</v>
      </c>
      <c r="C46" s="1236" t="s">
        <v>971</v>
      </c>
      <c r="D46" s="2119" t="s">
        <v>1473</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19" t="s">
        <v>1725</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19" t="s">
        <v>1726</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19" t="s">
        <v>1727</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19" t="s">
        <v>1728</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0" t="s">
        <v>1729</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1"/>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2"/>
      <c r="D66" s="2073"/>
      <c r="E66" s="2073"/>
      <c r="F66" s="2073"/>
      <c r="G66" s="2073"/>
      <c r="H66" s="2073"/>
      <c r="I66" s="1853"/>
      <c r="J66" s="1853"/>
      <c r="K66" s="1853"/>
      <c r="L66" s="1853"/>
      <c r="M66" s="1853"/>
      <c r="N66" s="1853"/>
      <c r="O66" s="84"/>
      <c r="P66" s="84"/>
    </row>
    <row r="67" spans="1:16" s="1236" customFormat="1" ht="14.25">
      <c r="A67" s="2122"/>
      <c r="D67" s="2073"/>
      <c r="E67" s="2073"/>
      <c r="F67" s="2073"/>
      <c r="G67" s="2073"/>
      <c r="H67" s="2073"/>
      <c r="I67" s="1853"/>
      <c r="J67" s="1853"/>
      <c r="K67" s="1853"/>
      <c r="L67" s="1853"/>
      <c r="M67" s="1853"/>
      <c r="N67" s="1853"/>
      <c r="O67" s="84"/>
      <c r="P67" s="84"/>
    </row>
    <row r="68" spans="1:16" s="1236" customFormat="1" ht="14.25">
      <c r="A68" s="2122"/>
      <c r="D68" s="2073"/>
      <c r="E68" s="2073"/>
      <c r="F68" s="2073"/>
      <c r="G68" s="1851"/>
      <c r="H68" s="1851"/>
      <c r="O68" s="84"/>
      <c r="P68" s="84"/>
    </row>
    <row r="69" spans="1:16" s="1236" customFormat="1">
      <c r="A69" s="2122"/>
      <c r="D69" s="1851"/>
      <c r="E69" s="1851"/>
      <c r="F69" s="1851"/>
      <c r="G69" s="1851"/>
      <c r="H69" s="1851"/>
      <c r="O69" s="84"/>
      <c r="P69" s="84"/>
    </row>
    <row r="70" spans="1:16" s="1236" customFormat="1">
      <c r="A70" s="2122"/>
      <c r="D70" s="1851"/>
      <c r="E70" s="1851"/>
      <c r="F70" s="1851"/>
      <c r="G70" s="1851"/>
      <c r="H70" s="1851"/>
      <c r="O70" s="84"/>
      <c r="P70" s="84"/>
    </row>
    <row r="71" spans="1:16" s="1236" customFormat="1">
      <c r="A71" s="2122"/>
      <c r="D71" s="1851"/>
      <c r="E71" s="1851"/>
      <c r="F71" s="1851"/>
      <c r="G71" s="1851"/>
      <c r="H71" s="1851"/>
      <c r="O71" s="84"/>
      <c r="P71" s="84"/>
    </row>
    <row r="72" spans="1:16" s="1236" customFormat="1">
      <c r="A72" s="2122"/>
      <c r="D72" s="1851"/>
      <c r="E72" s="1851"/>
      <c r="F72" s="1851"/>
      <c r="G72" s="1851"/>
      <c r="H72" s="1851"/>
      <c r="O72" s="84"/>
      <c r="P72" s="84"/>
    </row>
    <row r="73" spans="1:16" s="1236" customFormat="1">
      <c r="A73" s="2122"/>
      <c r="D73" s="1851"/>
      <c r="E73" s="1851"/>
      <c r="F73" s="1851"/>
      <c r="G73" s="1851"/>
      <c r="H73" s="1851"/>
      <c r="O73" s="84"/>
      <c r="P73" s="84"/>
    </row>
    <row r="74" spans="1:16" s="1236" customFormat="1">
      <c r="A74" s="2122"/>
      <c r="D74" s="1851"/>
      <c r="E74" s="1851"/>
      <c r="F74" s="1851"/>
      <c r="G74" s="1851"/>
      <c r="H74" s="1851"/>
      <c r="O74" s="84"/>
      <c r="P74" s="84"/>
    </row>
    <row r="75" spans="1:16" s="1236" customFormat="1">
      <c r="A75" s="2122"/>
      <c r="D75" s="1851"/>
      <c r="E75" s="1851"/>
      <c r="F75" s="1851"/>
      <c r="G75" s="1851"/>
      <c r="H75" s="1851"/>
      <c r="O75" s="84"/>
      <c r="P75" s="84"/>
    </row>
    <row r="76" spans="1:16" s="1236" customFormat="1">
      <c r="A76" s="2122"/>
      <c r="D76" s="1851"/>
      <c r="E76" s="1851"/>
      <c r="F76" s="1851"/>
      <c r="G76" s="1851"/>
      <c r="H76" s="1851"/>
      <c r="O76" s="84"/>
      <c r="P76" s="84"/>
    </row>
    <row r="77" spans="1:16" s="1236" customFormat="1">
      <c r="A77" s="2122"/>
      <c r="D77" s="1851"/>
      <c r="E77" s="1851"/>
      <c r="F77" s="1851"/>
      <c r="G77" s="1851"/>
      <c r="H77" s="1851"/>
      <c r="O77" s="84"/>
      <c r="P77" s="84"/>
    </row>
    <row r="78" spans="1:16" s="1236" customFormat="1">
      <c r="A78" s="2122"/>
      <c r="D78" s="1851"/>
      <c r="E78" s="1851"/>
      <c r="F78" s="1851"/>
      <c r="G78" s="1851"/>
      <c r="H78" s="1851"/>
      <c r="O78" s="84"/>
      <c r="P78" s="84"/>
    </row>
    <row r="79" spans="1:16" s="1236" customFormat="1">
      <c r="A79" s="2122"/>
      <c r="D79" s="1851"/>
      <c r="E79" s="1851"/>
      <c r="F79" s="1851"/>
      <c r="G79" s="1851"/>
      <c r="H79" s="1851"/>
      <c r="O79" s="84"/>
      <c r="P79" s="84"/>
    </row>
    <row r="80" spans="1:16" s="1236" customFormat="1">
      <c r="A80" s="2122"/>
      <c r="D80" s="1851"/>
      <c r="E80" s="1851"/>
      <c r="F80" s="1851"/>
      <c r="G80" s="1851"/>
      <c r="H80" s="1851"/>
      <c r="O80" s="84"/>
      <c r="P80" s="84"/>
    </row>
    <row r="81" spans="1:16" s="1236" customFormat="1">
      <c r="A81" s="2122"/>
      <c r="D81" s="1851"/>
      <c r="E81" s="1851"/>
      <c r="F81" s="1851"/>
      <c r="G81" s="1851"/>
      <c r="H81" s="1851"/>
      <c r="O81" s="84"/>
      <c r="P81" s="84"/>
    </row>
    <row r="82" spans="1:16" s="1236" customFormat="1">
      <c r="A82" s="2122"/>
      <c r="D82" s="1851"/>
      <c r="E82" s="1851"/>
      <c r="F82" s="1851"/>
      <c r="G82" s="1851"/>
      <c r="H82" s="1851"/>
      <c r="O82" s="84"/>
      <c r="P82" s="84"/>
    </row>
    <row r="83" spans="1:16" s="1236" customFormat="1">
      <c r="A83" s="2122"/>
      <c r="D83" s="1851"/>
      <c r="E83" s="1851"/>
      <c r="F83" s="1851"/>
      <c r="G83" s="1851"/>
      <c r="H83" s="1851"/>
      <c r="O83" s="84"/>
      <c r="P83" s="84"/>
    </row>
    <row r="84" spans="1:16" s="1236" customFormat="1">
      <c r="A84" s="2122"/>
      <c r="D84" s="1851"/>
      <c r="E84" s="1851"/>
      <c r="F84" s="1851"/>
      <c r="G84" s="1851"/>
      <c r="H84" s="1851"/>
      <c r="O84" s="84"/>
      <c r="P84" s="84"/>
    </row>
    <row r="85" spans="1:16" s="1236" customFormat="1">
      <c r="A85" s="2122"/>
      <c r="D85" s="1851"/>
      <c r="E85" s="1851"/>
      <c r="F85" s="1851"/>
      <c r="G85" s="1851"/>
      <c r="H85" s="1851"/>
      <c r="O85" s="84"/>
      <c r="P85" s="84"/>
    </row>
    <row r="86" spans="1:16" s="1236" customFormat="1">
      <c r="A86" s="2122"/>
      <c r="D86" s="1851"/>
      <c r="E86" s="1851"/>
      <c r="F86" s="1851"/>
      <c r="G86" s="1851"/>
      <c r="H86" s="1851"/>
      <c r="O86" s="84"/>
      <c r="P86" s="84"/>
    </row>
    <row r="87" spans="1:16" s="1236" customFormat="1">
      <c r="A87" s="2122"/>
      <c r="D87" s="1851"/>
      <c r="E87" s="1851"/>
      <c r="F87" s="1851"/>
      <c r="G87" s="1851"/>
      <c r="H87" s="1851"/>
      <c r="O87" s="84"/>
      <c r="P87" s="84"/>
    </row>
    <row r="88" spans="1:16" s="1236" customFormat="1">
      <c r="A88" s="2122"/>
      <c r="D88" s="1851"/>
      <c r="E88" s="1851"/>
      <c r="F88" s="1851"/>
      <c r="G88" s="1851"/>
      <c r="H88" s="1851"/>
      <c r="O88" s="84"/>
      <c r="P88" s="84"/>
    </row>
    <row r="89" spans="1:16" s="1236" customFormat="1">
      <c r="A89" s="2122"/>
      <c r="D89" s="1851"/>
      <c r="E89" s="1851"/>
      <c r="F89" s="1851"/>
      <c r="G89" s="1851"/>
      <c r="H89" s="1851"/>
      <c r="O89" s="84"/>
      <c r="P89" s="84"/>
    </row>
    <row r="90" spans="1:16" s="1236" customFormat="1">
      <c r="A90" s="2122"/>
      <c r="D90" s="1851"/>
      <c r="E90" s="1851"/>
      <c r="F90" s="1851"/>
      <c r="G90" s="1851"/>
      <c r="H90" s="1851"/>
      <c r="O90" s="84"/>
      <c r="P90" s="84"/>
    </row>
    <row r="91" spans="1:16" s="1236" customFormat="1">
      <c r="A91" s="2122"/>
      <c r="D91" s="1851"/>
      <c r="E91" s="1851"/>
      <c r="F91" s="1851"/>
      <c r="G91" s="1851"/>
      <c r="H91" s="1851"/>
      <c r="O91" s="84"/>
      <c r="P91" s="84"/>
    </row>
    <row r="92" spans="1:16" s="1236" customFormat="1">
      <c r="A92" s="2122"/>
      <c r="D92" s="1851"/>
      <c r="E92" s="1851"/>
      <c r="F92" s="1851"/>
      <c r="G92" s="1851"/>
      <c r="H92" s="1851"/>
      <c r="O92" s="84"/>
      <c r="P92" s="84"/>
    </row>
    <row r="93" spans="1:16" s="1236" customFormat="1">
      <c r="A93" s="2122"/>
      <c r="D93" s="1851"/>
      <c r="E93" s="1851"/>
      <c r="F93" s="1851"/>
      <c r="G93" s="1851"/>
      <c r="H93" s="1851"/>
      <c r="O93" s="84"/>
      <c r="P93" s="84"/>
    </row>
    <row r="94" spans="1:16" s="1236" customFormat="1">
      <c r="A94" s="2122"/>
      <c r="D94" s="1851"/>
      <c r="E94" s="1851"/>
      <c r="F94" s="1851"/>
      <c r="G94" s="1851"/>
      <c r="H94" s="1851"/>
      <c r="O94" s="84"/>
      <c r="P94" s="84"/>
    </row>
    <row r="95" spans="1:16" s="1236" customFormat="1">
      <c r="A95" s="2122"/>
      <c r="D95" s="1851"/>
      <c r="E95" s="1851"/>
      <c r="F95" s="1851"/>
      <c r="G95" s="1851"/>
      <c r="H95" s="1851"/>
      <c r="O95" s="84"/>
      <c r="P95" s="84"/>
    </row>
    <row r="96" spans="1:16" s="1236" customFormat="1">
      <c r="A96" s="2122"/>
      <c r="D96" s="1851"/>
      <c r="E96" s="1851"/>
      <c r="F96" s="1851"/>
      <c r="G96" s="1851"/>
      <c r="H96" s="1851"/>
      <c r="O96" s="84"/>
      <c r="P96" s="84"/>
    </row>
    <row r="97" spans="1:16" s="1236" customFormat="1">
      <c r="A97" s="2122"/>
      <c r="D97" s="1851"/>
      <c r="E97" s="1851"/>
      <c r="F97" s="1851"/>
      <c r="G97" s="1851"/>
      <c r="H97" s="1851"/>
      <c r="O97" s="84"/>
      <c r="P97" s="84"/>
    </row>
    <row r="98" spans="1:16" s="1236" customFormat="1">
      <c r="A98" s="2122"/>
      <c r="D98" s="1851"/>
      <c r="E98" s="1851"/>
      <c r="F98" s="1851"/>
      <c r="G98" s="1851"/>
      <c r="H98" s="1851"/>
      <c r="O98" s="84"/>
      <c r="P98" s="84"/>
    </row>
    <row r="99" spans="1:16" s="1236" customFormat="1">
      <c r="A99" s="2122"/>
      <c r="D99" s="1851"/>
      <c r="E99" s="1851"/>
      <c r="F99" s="1851"/>
      <c r="G99" s="1851"/>
      <c r="H99" s="1851"/>
      <c r="O99" s="84"/>
      <c r="P99" s="84"/>
    </row>
    <row r="100" spans="1:16" s="1236" customFormat="1">
      <c r="A100" s="2122"/>
      <c r="D100" s="1851"/>
      <c r="E100" s="1851"/>
      <c r="F100" s="1851"/>
      <c r="G100" s="1851"/>
      <c r="H100" s="1851"/>
      <c r="O100" s="84"/>
      <c r="P100" s="84"/>
    </row>
    <row r="101" spans="1:16" s="1236" customFormat="1">
      <c r="A101" s="2122"/>
      <c r="D101" s="1851"/>
      <c r="E101" s="1851"/>
      <c r="F101" s="1851"/>
      <c r="G101" s="1851"/>
      <c r="H101" s="1851"/>
      <c r="O101" s="84"/>
      <c r="P101" s="84"/>
    </row>
    <row r="102" spans="1:16" s="1236" customFormat="1">
      <c r="A102" s="2122"/>
      <c r="D102" s="1851"/>
      <c r="E102" s="1851"/>
      <c r="F102" s="1851"/>
      <c r="G102" s="1851"/>
      <c r="H102" s="1851"/>
      <c r="O102" s="84"/>
      <c r="P102" s="84"/>
    </row>
    <row r="103" spans="1:16" s="1236" customFormat="1">
      <c r="A103" s="2122"/>
      <c r="D103" s="1851"/>
      <c r="E103" s="1851"/>
      <c r="F103" s="1851"/>
      <c r="G103" s="1851"/>
      <c r="H103" s="1851"/>
      <c r="O103" s="84"/>
      <c r="P103" s="84"/>
    </row>
    <row r="104" spans="1:16" s="1236" customFormat="1">
      <c r="A104" s="2122"/>
      <c r="D104" s="1851"/>
      <c r="E104" s="1851"/>
      <c r="F104" s="1851"/>
      <c r="G104" s="1851"/>
      <c r="H104" s="1851"/>
      <c r="O104" s="84"/>
      <c r="P104" s="84"/>
    </row>
    <row r="105" spans="1:16" s="1236" customFormat="1">
      <c r="A105" s="2122"/>
      <c r="D105" s="1851"/>
      <c r="E105" s="1851"/>
      <c r="F105" s="1851"/>
      <c r="G105" s="1851"/>
      <c r="H105" s="1851"/>
      <c r="O105" s="84"/>
      <c r="P105" s="84"/>
    </row>
    <row r="106" spans="1:16" s="1236" customFormat="1">
      <c r="A106" s="2122"/>
      <c r="D106" s="1851"/>
      <c r="E106" s="1851"/>
      <c r="F106" s="1851"/>
      <c r="G106" s="1851"/>
      <c r="H106" s="1851"/>
      <c r="O106" s="84"/>
      <c r="P106" s="84"/>
    </row>
    <row r="107" spans="1:16" s="1236" customFormat="1">
      <c r="A107" s="2122"/>
      <c r="D107" s="1851"/>
      <c r="E107" s="1851"/>
      <c r="F107" s="1851"/>
      <c r="G107" s="1851"/>
      <c r="H107" s="1851"/>
      <c r="O107" s="84"/>
      <c r="P107" s="84"/>
    </row>
    <row r="108" spans="1:16" s="1236" customFormat="1">
      <c r="A108" s="2122"/>
      <c r="D108" s="1851"/>
      <c r="E108" s="1851"/>
      <c r="F108" s="1851"/>
      <c r="G108" s="1851"/>
      <c r="H108" s="1851"/>
      <c r="O108" s="84"/>
      <c r="P108" s="84"/>
    </row>
    <row r="109" spans="1:16" s="1236" customFormat="1">
      <c r="A109" s="2122"/>
      <c r="D109" s="1851"/>
      <c r="E109" s="1851"/>
      <c r="F109" s="1851"/>
      <c r="G109" s="1851"/>
      <c r="H109" s="1851"/>
      <c r="O109" s="84"/>
      <c r="P109" s="84"/>
    </row>
    <row r="110" spans="1:16" s="1236" customFormat="1">
      <c r="A110" s="2122"/>
      <c r="D110" s="1851"/>
      <c r="E110" s="1851"/>
      <c r="F110" s="1851"/>
      <c r="G110" s="1851"/>
      <c r="H110" s="1851"/>
      <c r="O110" s="84"/>
      <c r="P110" s="84"/>
    </row>
    <row r="111" spans="1:16" s="1236" customFormat="1">
      <c r="A111" s="2122"/>
      <c r="D111" s="1851"/>
      <c r="E111" s="1851"/>
      <c r="F111" s="1851"/>
      <c r="G111" s="1851"/>
      <c r="H111" s="1851"/>
      <c r="O111" s="84"/>
      <c r="P111" s="84"/>
    </row>
    <row r="112" spans="1:16" s="1236" customFormat="1">
      <c r="A112" s="2122"/>
      <c r="D112" s="1851"/>
      <c r="E112" s="1851"/>
      <c r="F112" s="1851"/>
      <c r="G112" s="1851"/>
      <c r="H112" s="1851"/>
      <c r="O112" s="84"/>
      <c r="P112" s="84"/>
    </row>
    <row r="113" spans="1:16" s="1236" customFormat="1">
      <c r="A113" s="2122"/>
      <c r="D113" s="1851"/>
      <c r="E113" s="1851"/>
      <c r="F113" s="1851"/>
      <c r="G113" s="1851"/>
      <c r="H113" s="1851"/>
      <c r="O113" s="84"/>
      <c r="P113" s="84"/>
    </row>
    <row r="114" spans="1:16" s="1236" customFormat="1">
      <c r="A114" s="2122"/>
      <c r="D114" s="1851"/>
      <c r="E114" s="1851"/>
      <c r="F114" s="1851"/>
      <c r="G114" s="1851"/>
      <c r="H114" s="1851"/>
      <c r="O114" s="84"/>
      <c r="P114" s="84"/>
    </row>
    <row r="115" spans="1:16" s="1236" customFormat="1">
      <c r="A115" s="2122"/>
      <c r="D115" s="1851"/>
      <c r="E115" s="1851"/>
      <c r="F115" s="1851"/>
      <c r="G115" s="1851"/>
      <c r="H115" s="1851"/>
      <c r="O115" s="84"/>
      <c r="P115" s="84"/>
    </row>
    <row r="116" spans="1:16" s="1236" customFormat="1">
      <c r="A116" s="2122"/>
      <c r="D116" s="1851"/>
      <c r="E116" s="1851"/>
      <c r="F116" s="1851"/>
      <c r="G116" s="1851"/>
      <c r="H116" s="1851"/>
      <c r="O116" s="84"/>
      <c r="P116" s="84"/>
    </row>
    <row r="117" spans="1:16" s="1236" customFormat="1">
      <c r="A117" s="2122"/>
      <c r="D117" s="1851"/>
      <c r="E117" s="1851"/>
      <c r="F117" s="1851"/>
      <c r="G117" s="1851"/>
      <c r="H117" s="1851"/>
      <c r="O117" s="84"/>
      <c r="P117" s="84"/>
    </row>
    <row r="118" spans="1:16" s="1236" customFormat="1">
      <c r="A118" s="2122"/>
      <c r="D118" s="1851"/>
      <c r="E118" s="1851"/>
      <c r="F118" s="1851"/>
      <c r="G118" s="1851"/>
      <c r="H118" s="1851"/>
      <c r="O118" s="84"/>
      <c r="P118" s="84"/>
    </row>
    <row r="119" spans="1:16" s="1236" customFormat="1">
      <c r="A119" s="2122"/>
      <c r="D119" s="1851"/>
      <c r="E119" s="1851"/>
      <c r="F119" s="1851"/>
      <c r="G119" s="1851"/>
      <c r="H119" s="1851"/>
      <c r="O119" s="84"/>
      <c r="P119" s="84"/>
    </row>
    <row r="120" spans="1:16" s="1236" customFormat="1">
      <c r="A120" s="2122"/>
      <c r="D120" s="1851"/>
      <c r="E120" s="1851"/>
      <c r="F120" s="1851"/>
      <c r="G120" s="1851"/>
      <c r="H120" s="1851"/>
      <c r="O120" s="84"/>
      <c r="P120" s="84"/>
    </row>
    <row r="121" spans="1:16" s="1236" customFormat="1">
      <c r="A121" s="2122"/>
      <c r="D121" s="1851"/>
      <c r="E121" s="1851"/>
      <c r="F121" s="1851"/>
      <c r="G121" s="1851"/>
      <c r="H121" s="1851"/>
      <c r="O121" s="84"/>
      <c r="P121" s="84"/>
    </row>
    <row r="122" spans="1:16" s="1236" customFormat="1">
      <c r="A122" s="2122"/>
      <c r="D122" s="1851"/>
      <c r="E122" s="1851"/>
      <c r="F122" s="1851"/>
      <c r="G122" s="1851"/>
      <c r="H122" s="1851"/>
      <c r="O122" s="84"/>
      <c r="P122" s="84"/>
    </row>
    <row r="123" spans="1:16" s="1236" customFormat="1">
      <c r="A123" s="2122"/>
      <c r="D123" s="1851"/>
      <c r="E123" s="1851"/>
      <c r="F123" s="1851"/>
      <c r="G123" s="1851"/>
      <c r="H123" s="1851"/>
      <c r="O123" s="84"/>
      <c r="P123" s="84"/>
    </row>
    <row r="124" spans="1:16" s="1236" customFormat="1">
      <c r="A124" s="2122"/>
      <c r="D124" s="1851"/>
      <c r="E124" s="1851"/>
      <c r="F124" s="1851"/>
      <c r="G124" s="1851"/>
      <c r="H124" s="1851"/>
      <c r="O124" s="84"/>
      <c r="P124" s="84"/>
    </row>
    <row r="125" spans="1:16" s="1236" customFormat="1">
      <c r="A125" s="2122"/>
      <c r="D125" s="1851"/>
      <c r="E125" s="1851"/>
      <c r="F125" s="1851"/>
      <c r="G125" s="1851"/>
      <c r="H125" s="1851"/>
      <c r="O125" s="84"/>
      <c r="P125" s="84"/>
    </row>
    <row r="126" spans="1:16" s="1236" customFormat="1">
      <c r="A126" s="2122"/>
      <c r="D126" s="1851"/>
      <c r="E126" s="1851"/>
      <c r="F126" s="1851"/>
      <c r="G126" s="1851"/>
      <c r="H126" s="1851"/>
      <c r="O126" s="84"/>
      <c r="P126" s="84"/>
    </row>
    <row r="127" spans="1:16" s="1236" customFormat="1">
      <c r="A127" s="2122"/>
      <c r="D127" s="1851"/>
      <c r="E127" s="1851"/>
      <c r="F127" s="1851"/>
      <c r="G127" s="1851"/>
      <c r="H127" s="1851"/>
      <c r="O127" s="84"/>
      <c r="P127" s="84"/>
    </row>
    <row r="128" spans="1:16" s="1236" customFormat="1">
      <c r="A128" s="2122"/>
      <c r="D128" s="1851"/>
      <c r="E128" s="1851"/>
      <c r="F128" s="1851"/>
      <c r="G128" s="1851"/>
      <c r="H128" s="1851"/>
      <c r="O128" s="84"/>
      <c r="P128" s="84"/>
    </row>
    <row r="129" spans="1:16" s="1236" customFormat="1">
      <c r="A129" s="2122"/>
      <c r="D129" s="1851"/>
      <c r="E129" s="1851"/>
      <c r="F129" s="1851"/>
      <c r="G129" s="1851"/>
      <c r="H129" s="1851"/>
      <c r="O129" s="84"/>
      <c r="P129" s="84"/>
    </row>
    <row r="130" spans="1:16" s="1236" customFormat="1">
      <c r="A130" s="2122"/>
      <c r="D130" s="1851"/>
      <c r="E130" s="1851"/>
      <c r="F130" s="1851"/>
      <c r="G130" s="1851"/>
      <c r="H130" s="1851"/>
      <c r="O130" s="84"/>
      <c r="P130" s="84"/>
    </row>
    <row r="131" spans="1:16" s="1236" customFormat="1">
      <c r="A131" s="2122"/>
      <c r="D131" s="1851"/>
      <c r="E131" s="1851"/>
      <c r="F131" s="1851"/>
      <c r="G131" s="1851"/>
      <c r="H131" s="1851"/>
      <c r="O131" s="84"/>
      <c r="P131" s="84"/>
    </row>
    <row r="132" spans="1:16" s="1236" customFormat="1">
      <c r="A132" s="2122"/>
      <c r="D132" s="1851"/>
      <c r="E132" s="1851"/>
      <c r="F132" s="1851"/>
      <c r="G132" s="1851"/>
      <c r="H132" s="1851"/>
      <c r="O132" s="84"/>
      <c r="P132" s="84"/>
    </row>
    <row r="133" spans="1:16" s="1236" customFormat="1">
      <c r="A133" s="2122"/>
      <c r="D133" s="1851"/>
      <c r="E133" s="1851"/>
      <c r="F133" s="1851"/>
      <c r="G133" s="1851"/>
      <c r="H133" s="1851"/>
      <c r="O133" s="84"/>
      <c r="P133" s="84"/>
    </row>
    <row r="134" spans="1:16" s="1236" customFormat="1">
      <c r="A134" s="2122"/>
      <c r="D134" s="1851"/>
      <c r="E134" s="1851"/>
      <c r="F134" s="1851"/>
      <c r="G134" s="1851"/>
      <c r="H134" s="1851"/>
      <c r="O134" s="84"/>
      <c r="P134" s="84"/>
    </row>
    <row r="135" spans="1:16" s="1236" customFormat="1">
      <c r="A135" s="2122"/>
      <c r="D135" s="1851"/>
      <c r="E135" s="1851"/>
      <c r="F135" s="1851"/>
      <c r="G135" s="1851"/>
      <c r="H135" s="1851"/>
      <c r="O135" s="84"/>
      <c r="P135" s="84"/>
    </row>
    <row r="136" spans="1:16" s="1236" customFormat="1">
      <c r="A136" s="2122"/>
      <c r="D136" s="1851"/>
      <c r="E136" s="1851"/>
      <c r="F136" s="1851"/>
      <c r="G136" s="1851"/>
      <c r="H136" s="1851"/>
      <c r="O136" s="84"/>
      <c r="P136" s="84"/>
    </row>
    <row r="137" spans="1:16" s="1236" customFormat="1">
      <c r="A137" s="2122"/>
      <c r="D137" s="1851"/>
      <c r="E137" s="1851"/>
      <c r="F137" s="1851"/>
      <c r="G137" s="1851"/>
      <c r="H137" s="1851"/>
      <c r="O137" s="84"/>
      <c r="P137" s="84"/>
    </row>
    <row r="138" spans="1:16" s="1236" customFormat="1">
      <c r="A138" s="2122"/>
      <c r="D138" s="1851"/>
      <c r="E138" s="1851"/>
      <c r="F138" s="1851"/>
      <c r="G138" s="1851"/>
      <c r="H138" s="1851"/>
      <c r="O138" s="84"/>
      <c r="P138" s="84"/>
    </row>
    <row r="139" spans="1:16" s="1236" customFormat="1">
      <c r="A139" s="2122"/>
      <c r="D139" s="1851"/>
      <c r="E139" s="1851"/>
      <c r="F139" s="1851"/>
      <c r="G139" s="1851"/>
      <c r="H139" s="1851"/>
      <c r="O139" s="84"/>
      <c r="P139" s="84"/>
    </row>
    <row r="140" spans="1:16" s="1236" customFormat="1">
      <c r="A140" s="2122"/>
      <c r="D140" s="1851"/>
      <c r="E140" s="1851"/>
      <c r="F140" s="1851"/>
      <c r="G140" s="1851"/>
      <c r="H140" s="1851"/>
      <c r="O140" s="84"/>
      <c r="P140" s="84"/>
    </row>
    <row r="141" spans="1:16" s="1236" customFormat="1">
      <c r="A141" s="2122"/>
      <c r="D141" s="1851"/>
      <c r="E141" s="1851"/>
      <c r="F141" s="1851"/>
      <c r="G141" s="1851"/>
      <c r="H141" s="1851"/>
      <c r="O141" s="84"/>
      <c r="P141" s="84"/>
    </row>
    <row r="142" spans="1:16" s="1236" customFormat="1">
      <c r="A142" s="2122"/>
      <c r="D142" s="1851"/>
      <c r="E142" s="1851"/>
      <c r="F142" s="1851"/>
      <c r="G142" s="1851"/>
      <c r="H142" s="1851"/>
      <c r="O142" s="84"/>
      <c r="P142" s="84"/>
    </row>
    <row r="143" spans="1:16" s="1236" customFormat="1">
      <c r="A143" s="2122"/>
      <c r="D143" s="1851"/>
      <c r="E143" s="1851"/>
      <c r="F143" s="1851"/>
      <c r="G143" s="1851"/>
      <c r="H143" s="1851"/>
      <c r="O143" s="84"/>
      <c r="P143" s="84"/>
    </row>
    <row r="144" spans="1:16" s="1236" customFormat="1">
      <c r="A144" s="2122"/>
      <c r="D144" s="1851"/>
      <c r="E144" s="1851"/>
      <c r="F144" s="1851"/>
      <c r="G144" s="1851"/>
      <c r="H144" s="1851"/>
      <c r="O144" s="84"/>
      <c r="P144" s="84"/>
    </row>
    <row r="145" spans="1:16" s="1236" customFormat="1">
      <c r="A145" s="2122"/>
      <c r="D145" s="1851"/>
      <c r="E145" s="1851"/>
      <c r="F145" s="1851"/>
      <c r="G145" s="1851"/>
      <c r="H145" s="1851"/>
      <c r="O145" s="84"/>
      <c r="P145" s="84"/>
    </row>
    <row r="146" spans="1:16" s="1236" customFormat="1">
      <c r="A146" s="2122"/>
      <c r="D146" s="1851"/>
      <c r="E146" s="1851"/>
      <c r="F146" s="1851"/>
      <c r="G146" s="1851"/>
      <c r="H146" s="1851"/>
      <c r="O146" s="84"/>
      <c r="P146" s="84"/>
    </row>
    <row r="147" spans="1:16" s="1236" customFormat="1">
      <c r="A147" s="2122"/>
      <c r="D147" s="1851"/>
      <c r="E147" s="1851"/>
      <c r="F147" s="1851"/>
      <c r="G147" s="1851"/>
      <c r="H147" s="1851"/>
      <c r="O147" s="84"/>
      <c r="P147" s="84"/>
    </row>
    <row r="148" spans="1:16" s="1236" customFormat="1">
      <c r="A148" s="2122"/>
      <c r="D148" s="1851"/>
      <c r="E148" s="1851"/>
      <c r="F148" s="1851"/>
      <c r="G148" s="1851"/>
      <c r="H148" s="1851"/>
      <c r="O148" s="84"/>
      <c r="P148" s="84"/>
    </row>
    <row r="149" spans="1:16" s="1236" customFormat="1">
      <c r="A149" s="2122"/>
      <c r="D149" s="1851"/>
      <c r="E149" s="1851"/>
      <c r="F149" s="1851"/>
      <c r="G149" s="1851"/>
      <c r="H149" s="1851"/>
      <c r="O149" s="84"/>
      <c r="P149" s="84"/>
    </row>
    <row r="150" spans="1:16" s="1236" customFormat="1">
      <c r="A150" s="2122"/>
      <c r="D150" s="1851"/>
      <c r="E150" s="1851"/>
      <c r="F150" s="1851"/>
      <c r="G150" s="1851"/>
      <c r="H150" s="1851"/>
      <c r="O150" s="84"/>
      <c r="P150" s="84"/>
    </row>
    <row r="151" spans="1:16" s="1236" customFormat="1">
      <c r="A151" s="2122"/>
      <c r="D151" s="1851"/>
      <c r="E151" s="1851"/>
      <c r="F151" s="1851"/>
      <c r="G151" s="1851"/>
      <c r="H151" s="1851"/>
      <c r="O151" s="84"/>
      <c r="P151" s="84"/>
    </row>
    <row r="152" spans="1:16" s="1236" customFormat="1">
      <c r="A152" s="2122"/>
      <c r="D152" s="1851"/>
      <c r="E152" s="1851"/>
      <c r="F152" s="1851"/>
      <c r="G152" s="1851"/>
      <c r="H152" s="1851"/>
      <c r="O152" s="84"/>
      <c r="P152" s="84"/>
    </row>
    <row r="153" spans="1:16" s="1236" customFormat="1">
      <c r="A153" s="2123"/>
      <c r="B153" s="2070"/>
      <c r="D153" s="1851"/>
      <c r="E153" s="1851"/>
      <c r="F153" s="1851"/>
      <c r="G153" s="1851"/>
      <c r="H153" s="1851"/>
      <c r="O153" s="84"/>
      <c r="P153" s="84"/>
    </row>
    <row r="154" spans="1:16" s="1236"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8" t="s">
        <v>1730</v>
      </c>
      <c r="B1" s="2839"/>
      <c r="C1" s="2839"/>
      <c r="D1" s="2839"/>
      <c r="E1" s="2839"/>
      <c r="F1" s="2839"/>
      <c r="G1" s="2839"/>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1731</v>
      </c>
      <c r="D2" s="2134"/>
      <c r="E2" s="2135"/>
      <c r="F2" s="2136"/>
      <c r="G2" s="2133" t="s">
        <v>1732</v>
      </c>
      <c r="H2" s="2137"/>
      <c r="I2" s="2137"/>
      <c r="J2" s="2137"/>
      <c r="K2" s="2137"/>
      <c r="L2" s="2137"/>
      <c r="M2" s="2137"/>
      <c r="N2" s="2137"/>
      <c r="O2" s="2137"/>
      <c r="P2" s="2137"/>
      <c r="Q2" s="2137"/>
      <c r="R2" s="2137"/>
    </row>
    <row r="3" spans="1:29" ht="42.75">
      <c r="A3" s="395" t="s">
        <v>1733</v>
      </c>
      <c r="B3" s="2139" t="s">
        <v>1734</v>
      </c>
      <c r="C3" s="2140"/>
      <c r="D3" s="2141"/>
      <c r="E3" s="411" t="s">
        <v>1733</v>
      </c>
      <c r="F3" s="2142" t="s">
        <v>1735</v>
      </c>
      <c r="G3" s="2143" t="s">
        <v>1736</v>
      </c>
      <c r="H3" s="2137"/>
      <c r="I3" s="2137"/>
      <c r="J3" s="2137"/>
      <c r="K3" s="2137"/>
      <c r="L3" s="2137"/>
      <c r="M3" s="2137"/>
      <c r="N3" s="2137"/>
      <c r="O3" s="2137"/>
      <c r="P3" s="2137"/>
      <c r="Q3" s="2137"/>
      <c r="R3" s="2137"/>
    </row>
    <row r="4" spans="1:29" ht="40.5">
      <c r="A4" s="411"/>
      <c r="B4" s="1885" t="s">
        <v>1737</v>
      </c>
      <c r="C4" s="2144"/>
      <c r="D4" s="2141"/>
      <c r="E4" s="2145"/>
      <c r="F4" s="2146" t="s">
        <v>1738</v>
      </c>
      <c r="G4" s="2147" t="s">
        <v>1739</v>
      </c>
      <c r="H4" s="2137"/>
      <c r="I4" s="2137"/>
      <c r="J4" s="2137"/>
      <c r="K4" s="2137"/>
      <c r="L4" s="2137"/>
      <c r="M4" s="2137"/>
      <c r="N4" s="2137"/>
      <c r="O4" s="2137"/>
      <c r="P4" s="2137"/>
      <c r="Q4" s="2137"/>
      <c r="R4" s="2137"/>
    </row>
    <row r="5" spans="1:29" ht="27">
      <c r="A5" s="411"/>
      <c r="B5" s="1885" t="s">
        <v>1740</v>
      </c>
      <c r="C5" s="2736" t="s">
        <v>2858</v>
      </c>
      <c r="D5" s="2141"/>
      <c r="E5" s="2145"/>
      <c r="F5" s="1885" t="s">
        <v>1741</v>
      </c>
      <c r="G5" s="2147" t="s">
        <v>1742</v>
      </c>
      <c r="H5" s="2137"/>
      <c r="I5" s="2137"/>
      <c r="J5" s="2137"/>
      <c r="K5" s="2137"/>
      <c r="L5" s="2137"/>
      <c r="M5" s="2137"/>
      <c r="N5" s="2137"/>
      <c r="O5" s="2137"/>
      <c r="P5" s="2137"/>
      <c r="Q5" s="2137"/>
      <c r="R5" s="2137"/>
    </row>
    <row r="6" spans="1:29" ht="15">
      <c r="A6" s="411"/>
      <c r="B6" s="1885" t="s">
        <v>1743</v>
      </c>
      <c r="C6" s="2743" t="s">
        <v>2859</v>
      </c>
      <c r="D6" s="2141"/>
      <c r="E6" s="2145"/>
      <c r="F6" s="1885" t="s">
        <v>1744</v>
      </c>
      <c r="G6" s="2147" t="s">
        <v>1745</v>
      </c>
      <c r="H6" s="2137"/>
      <c r="I6" s="2137"/>
      <c r="J6" s="2137"/>
      <c r="K6" s="2137"/>
      <c r="L6" s="2137"/>
      <c r="M6" s="2137"/>
      <c r="N6" s="2137"/>
      <c r="O6" s="2137"/>
      <c r="P6" s="2137"/>
      <c r="Q6" s="2137"/>
      <c r="R6" s="2137"/>
    </row>
    <row r="7" spans="1:29" ht="41.25" thickBot="1">
      <c r="A7" s="411"/>
      <c r="B7" s="1885" t="s">
        <v>1741</v>
      </c>
      <c r="C7" s="2743" t="s">
        <v>2859</v>
      </c>
      <c r="D7" s="2148"/>
      <c r="E7" s="2149"/>
      <c r="F7" s="2150" t="s">
        <v>1746</v>
      </c>
      <c r="G7" s="2151" t="s">
        <v>1747</v>
      </c>
      <c r="H7" s="2137"/>
      <c r="I7" s="2137"/>
      <c r="J7" s="2137"/>
      <c r="K7" s="2137"/>
      <c r="L7" s="2137"/>
      <c r="M7" s="2137"/>
      <c r="N7" s="2137"/>
      <c r="O7" s="2137"/>
      <c r="P7" s="2137"/>
      <c r="Q7" s="2137"/>
      <c r="R7" s="2137"/>
    </row>
    <row r="8" spans="1:29" ht="15">
      <c r="A8" s="411"/>
      <c r="B8" s="1885" t="s">
        <v>1744</v>
      </c>
      <c r="C8" s="2743" t="s">
        <v>2860</v>
      </c>
      <c r="D8" s="2148"/>
      <c r="E8" s="2148"/>
      <c r="F8" s="1245"/>
      <c r="G8" s="1245"/>
      <c r="H8" s="2137"/>
      <c r="I8" s="2137"/>
      <c r="J8" s="2137"/>
      <c r="K8" s="2137"/>
      <c r="L8" s="2137"/>
      <c r="M8" s="2137"/>
      <c r="N8" s="2137"/>
      <c r="O8" s="2137"/>
      <c r="P8" s="2137"/>
      <c r="Q8" s="2137"/>
      <c r="R8" s="2137"/>
    </row>
    <row r="9" spans="1:29" ht="15">
      <c r="A9" s="411"/>
      <c r="B9" s="1885" t="s">
        <v>1748</v>
      </c>
      <c r="C9" s="2736" t="s">
        <v>2859</v>
      </c>
      <c r="D9" s="2141"/>
      <c r="E9" s="2148"/>
      <c r="F9" s="1245"/>
      <c r="G9" s="1245"/>
      <c r="H9" s="2137"/>
      <c r="I9" s="2137"/>
      <c r="J9" s="2137"/>
      <c r="K9" s="2137"/>
      <c r="L9" s="2137"/>
      <c r="M9" s="2137"/>
      <c r="N9" s="2137"/>
      <c r="O9" s="2137"/>
      <c r="P9" s="2137"/>
      <c r="Q9" s="2137"/>
      <c r="R9" s="2137"/>
    </row>
    <row r="10" spans="1:29" s="35" customFormat="1" ht="15.75" thickBot="1">
      <c r="A10" s="2152"/>
      <c r="B10" s="2153" t="s">
        <v>1749</v>
      </c>
      <c r="C10" s="2154"/>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1750</v>
      </c>
      <c r="B13" s="2159"/>
      <c r="C13" s="2159"/>
      <c r="D13" s="2134"/>
      <c r="E13" s="2159"/>
      <c r="F13" s="2159"/>
      <c r="G13" s="2159"/>
    </row>
    <row r="14" spans="1:29" ht="15.75" thickBot="1">
      <c r="A14" s="2169"/>
      <c r="B14" s="2170"/>
      <c r="C14" s="2171" t="s">
        <v>1751</v>
      </c>
      <c r="D14" s="2141"/>
      <c r="E14" s="2172"/>
      <c r="F14" s="2172"/>
      <c r="G14" s="2133" t="s">
        <v>1752</v>
      </c>
    </row>
    <row r="15" spans="1:29" ht="42.75">
      <c r="A15" s="25" t="s">
        <v>1753</v>
      </c>
      <c r="B15" s="2173" t="s">
        <v>1734</v>
      </c>
      <c r="C15" s="2174">
        <f>C3</f>
        <v>0</v>
      </c>
      <c r="D15" s="2141"/>
      <c r="E15" s="2175" t="s">
        <v>1754</v>
      </c>
      <c r="F15" s="2173" t="s">
        <v>1755</v>
      </c>
      <c r="G15" s="51" t="str">
        <f>G3</f>
        <v>估价对象位于XX开发区，园区建设成熟度XX，产业集聚程度XX</v>
      </c>
    </row>
    <row r="16" spans="1:29" ht="42.75">
      <c r="A16" s="629"/>
      <c r="B16" s="1491" t="s">
        <v>1737</v>
      </c>
      <c r="C16" s="2176">
        <f>C4</f>
        <v>0</v>
      </c>
      <c r="D16" s="2141"/>
      <c r="E16" s="2177"/>
      <c r="F16" s="2178" t="s">
        <v>1738</v>
      </c>
      <c r="G16" s="52" t="str">
        <f>G4</f>
        <v>估价对象周边道路状况、公共交通通达情况、停车便捷程度，综合评价交通便捷度较好</v>
      </c>
    </row>
    <row r="17" spans="1:18" ht="15">
      <c r="A17" s="629"/>
      <c r="B17" s="1491" t="s">
        <v>1740</v>
      </c>
      <c r="C17" s="2176" t="str">
        <f>C5</f>
        <v>较好</v>
      </c>
      <c r="D17" s="2148"/>
      <c r="E17" s="2177"/>
      <c r="F17" s="2178" t="s">
        <v>1756</v>
      </c>
      <c r="G17" s="2179"/>
    </row>
    <row r="18" spans="1:18" ht="42.75">
      <c r="A18" s="629"/>
      <c r="B18" s="2178" t="s">
        <v>1743</v>
      </c>
      <c r="C18" s="52" t="str">
        <f>C6</f>
        <v>较好</v>
      </c>
      <c r="D18" s="2148"/>
      <c r="E18" s="2177"/>
      <c r="F18" s="2178" t="s">
        <v>1746</v>
      </c>
      <c r="G18" s="52" t="str">
        <f>G7</f>
        <v>该园区内是否有污染型企业，绿化情况，卫生条件，整体环境状况判断</v>
      </c>
    </row>
    <row r="19" spans="1:18" ht="28.5">
      <c r="A19" s="629"/>
      <c r="B19" s="2178" t="s">
        <v>1757</v>
      </c>
      <c r="C19" s="2179"/>
      <c r="D19" s="2141"/>
      <c r="E19" s="2177"/>
      <c r="F19" s="1885" t="s">
        <v>1741</v>
      </c>
      <c r="G19" s="52" t="str">
        <f>G5</f>
        <v>估价对象所在区域公共配套设施齐备情况</v>
      </c>
    </row>
    <row r="20" spans="1:18" ht="15">
      <c r="A20" s="629"/>
      <c r="B20" s="2178" t="s">
        <v>1758</v>
      </c>
      <c r="C20" s="2176" t="str">
        <f>C9</f>
        <v>较好</v>
      </c>
      <c r="D20" s="2148"/>
      <c r="E20" s="2177"/>
      <c r="F20" s="1885" t="s">
        <v>1759</v>
      </c>
      <c r="G20" s="52" t="str">
        <f>G6</f>
        <v>估价对象所在区域基础设施水平</v>
      </c>
    </row>
    <row r="21" spans="1:18" ht="15">
      <c r="A21" s="629"/>
      <c r="B21" s="1885" t="s">
        <v>1741</v>
      </c>
      <c r="C21" s="52" t="str">
        <f>C7</f>
        <v>较好</v>
      </c>
      <c r="D21" s="2141"/>
      <c r="E21" s="2177"/>
      <c r="F21" s="2178" t="s">
        <v>1760</v>
      </c>
      <c r="G21" s="2180"/>
    </row>
    <row r="22" spans="1:18" ht="15">
      <c r="A22" s="629"/>
      <c r="B22" s="1885" t="s">
        <v>1744</v>
      </c>
      <c r="C22" s="52" t="str">
        <f>C8</f>
        <v>七通</v>
      </c>
      <c r="D22" s="2141"/>
      <c r="E22" s="2177"/>
      <c r="F22" s="2178" t="s">
        <v>1749</v>
      </c>
      <c r="G22" s="2181"/>
    </row>
    <row r="23" spans="1:18" s="2137" customFormat="1" ht="15.75" thickBot="1">
      <c r="A23" s="629"/>
      <c r="B23" s="2178" t="s">
        <v>1760</v>
      </c>
      <c r="C23" s="2180"/>
      <c r="D23" s="2166"/>
      <c r="E23" s="2182"/>
      <c r="F23" s="2183" t="s">
        <v>1761</v>
      </c>
      <c r="G23" s="2184"/>
      <c r="H23" s="2166"/>
      <c r="I23" s="2167"/>
      <c r="J23" s="2166"/>
      <c r="K23" s="2166"/>
      <c r="L23" s="2167"/>
      <c r="M23" s="2166"/>
      <c r="N23" s="2166"/>
      <c r="O23" s="2167"/>
      <c r="P23" s="2166"/>
      <c r="Q23" s="2166"/>
      <c r="R23" s="2168"/>
    </row>
    <row r="24" spans="1:18" s="2137" customFormat="1" ht="15.75" thickBot="1">
      <c r="A24" s="2185"/>
      <c r="B24" s="2183" t="s">
        <v>1762</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27" sqref="G27"/>
    </sheetView>
  </sheetViews>
  <sheetFormatPr defaultColWidth="14.625" defaultRowHeight="13.5"/>
  <cols>
    <col min="1" max="1" width="24.375" customWidth="1"/>
  </cols>
  <sheetData>
    <row r="1" spans="1:9" ht="16.5">
      <c r="A1" s="1828" t="s">
        <v>1225</v>
      </c>
      <c r="B1" s="1828">
        <f>SUM(B14:B23)</f>
        <v>218.48</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43257</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547.63900000000001</v>
      </c>
      <c r="C5" s="1828">
        <f ca="1">ROUND(B5*10000/$B$1,0)</f>
        <v>25066</v>
      </c>
      <c r="D5" s="1828" t="e">
        <f ca="1">ROUND(B5*10000/$B$2,0)</f>
        <v>#DIV/0!</v>
      </c>
      <c r="E5" s="1829"/>
      <c r="F5" s="1833"/>
      <c r="G5" s="1833"/>
    </row>
    <row r="6" spans="1:9" ht="16.5">
      <c r="A6" s="1828" t="s">
        <v>1233</v>
      </c>
      <c r="B6" s="1828">
        <f ca="1">SUM(G14:G23)</f>
        <v>547.63900000000001</v>
      </c>
      <c r="C6" s="1828">
        <f t="shared" ref="C6:C8" ca="1" si="0">ROUND(B6*10000/$B$1,0)</f>
        <v>25066</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2909</v>
      </c>
      <c r="B14" s="1832">
        <f>项目基本情况!C12</f>
        <v>218.48</v>
      </c>
      <c r="C14" s="1832">
        <f>项目基本情况!C13</f>
        <v>0</v>
      </c>
      <c r="D14" s="1832">
        <f ca="1">IF('数据-取费表'!B3="万元",IF(A14="估价对象1（结果表）",结果表!H121,'结果表 (1修多)'!H124),IF(A14="估价对象1（结果表）",结果表!H121,'结果表 (1修多)'!H124)/10000)</f>
        <v>547.63900000000001</v>
      </c>
      <c r="E14" s="1832">
        <f ca="1">ROUND(D14*10000/B14,0)</f>
        <v>25066</v>
      </c>
      <c r="F14" s="1832" t="e">
        <f ca="1">ROUND(D14*10000/C14,0)</f>
        <v>#DIV/0!</v>
      </c>
      <c r="G14" s="1832">
        <f ca="1">IF('数据-取费表'!B3="万元",IF(A14="估价对象1（结果表）",结果表!D125,'结果表 (1修多)'!D128),IF(A14="估价对象1（结果表）",结果表!D125,'结果表 (1修多)'!D128)/10000)</f>
        <v>547.63900000000001</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31" zoomScaleNormal="100" zoomScaleSheetLayoutView="100" zoomScalePageLayoutView="80" workbookViewId="0">
      <selection activeCell="K40" sqref="K4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1763</v>
      </c>
      <c r="B1" s="2192"/>
      <c r="C1" s="2192"/>
      <c r="D1" s="2192"/>
      <c r="E1" s="2192"/>
      <c r="F1" s="2192"/>
      <c r="G1" s="2192"/>
      <c r="H1" s="2192"/>
      <c r="I1" s="2192"/>
    </row>
    <row r="2" spans="1:12" ht="21.75" customHeight="1">
      <c r="A2" s="2904" t="str">
        <f>项目基本情况!B1</f>
        <v>北京市房地产市场价值预评估</v>
      </c>
      <c r="B2" s="2904"/>
      <c r="C2" s="2904"/>
      <c r="D2" s="2904"/>
      <c r="E2" s="2904"/>
      <c r="F2" s="2904"/>
      <c r="G2" s="2904"/>
      <c r="H2" s="2904"/>
      <c r="I2" s="2904"/>
    </row>
    <row r="3" spans="1:12" ht="12.75">
      <c r="A3" s="2907" t="s">
        <v>1764</v>
      </c>
      <c r="B3" s="2908"/>
      <c r="C3" s="2908"/>
      <c r="D3" s="2908"/>
      <c r="E3" s="2908"/>
      <c r="F3" s="2908"/>
      <c r="G3" s="2908"/>
      <c r="H3" s="2908"/>
      <c r="I3" s="2908"/>
    </row>
    <row r="4" spans="1:12" ht="14.25">
      <c r="A4" s="2194" t="s">
        <v>1765</v>
      </c>
      <c r="B4" s="2195" t="s">
        <v>1766</v>
      </c>
      <c r="C4" s="2196" t="s">
        <v>2898</v>
      </c>
      <c r="D4" s="2196" t="s">
        <v>2899</v>
      </c>
      <c r="E4" s="2888" t="s">
        <v>1767</v>
      </c>
      <c r="F4" s="2889"/>
      <c r="G4" s="2889"/>
      <c r="H4" s="2889"/>
      <c r="I4" s="2899"/>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881" t="s">
        <v>1768</v>
      </c>
      <c r="B5" s="2843">
        <v>25</v>
      </c>
      <c r="C5" s="2892"/>
      <c r="D5" s="2906"/>
      <c r="E5" s="56" t="s">
        <v>1769</v>
      </c>
      <c r="F5" s="2197"/>
      <c r="G5" s="2197"/>
      <c r="H5" s="2197"/>
      <c r="I5" s="2198"/>
    </row>
    <row r="6" spans="1:12" ht="12.75">
      <c r="A6" s="2881"/>
      <c r="B6" s="2843"/>
      <c r="C6" s="2909"/>
      <c r="D6" s="2906"/>
      <c r="E6" s="56" t="s">
        <v>1770</v>
      </c>
      <c r="F6" s="2197"/>
      <c r="G6" s="2197"/>
      <c r="H6" s="2197"/>
      <c r="I6" s="2198"/>
    </row>
    <row r="7" spans="1:12" ht="12.75">
      <c r="A7" s="2881"/>
      <c r="B7" s="2843"/>
      <c r="C7" s="2893"/>
      <c r="D7" s="2906"/>
      <c r="E7" s="56" t="s">
        <v>1771</v>
      </c>
      <c r="F7" s="2197"/>
      <c r="G7" s="2197"/>
      <c r="H7" s="2197"/>
      <c r="I7" s="2198"/>
    </row>
    <row r="8" spans="1:12" ht="12.75">
      <c r="A8" s="2881" t="s">
        <v>1772</v>
      </c>
      <c r="B8" s="2843">
        <v>15</v>
      </c>
      <c r="C8" s="2892"/>
      <c r="D8" s="2906"/>
      <c r="E8" s="56" t="s">
        <v>1773</v>
      </c>
      <c r="F8" s="2197"/>
      <c r="G8" s="2197"/>
      <c r="H8" s="2197"/>
      <c r="I8" s="2198"/>
    </row>
    <row r="9" spans="1:12" ht="12.75">
      <c r="A9" s="2881"/>
      <c r="B9" s="2843"/>
      <c r="C9" s="2893"/>
      <c r="D9" s="2906"/>
      <c r="E9" s="56" t="s">
        <v>1774</v>
      </c>
      <c r="F9" s="2197"/>
      <c r="G9" s="2197"/>
      <c r="H9" s="2197"/>
      <c r="I9" s="2198"/>
    </row>
    <row r="10" spans="1:12" ht="12.75">
      <c r="A10" s="2881" t="s">
        <v>1775</v>
      </c>
      <c r="B10" s="2843">
        <v>15</v>
      </c>
      <c r="C10" s="2892"/>
      <c r="D10" s="2906"/>
      <c r="E10" s="56" t="s">
        <v>1776</v>
      </c>
      <c r="F10" s="2197"/>
      <c r="G10" s="2197"/>
      <c r="H10" s="2197"/>
      <c r="I10" s="2198"/>
    </row>
    <row r="11" spans="1:12" ht="12.75">
      <c r="A11" s="2881"/>
      <c r="B11" s="2843"/>
      <c r="C11" s="2893"/>
      <c r="D11" s="2906"/>
      <c r="E11" s="56" t="s">
        <v>1777</v>
      </c>
      <c r="F11" s="2197"/>
      <c r="G11" s="2197"/>
      <c r="H11" s="2197"/>
      <c r="I11" s="2198"/>
    </row>
    <row r="12" spans="1:12" ht="12.75">
      <c r="A12" s="2881" t="s">
        <v>1778</v>
      </c>
      <c r="B12" s="2843">
        <v>15</v>
      </c>
      <c r="C12" s="2892"/>
      <c r="D12" s="2906"/>
      <c r="E12" s="56" t="s">
        <v>1779</v>
      </c>
      <c r="F12" s="2197"/>
      <c r="G12" s="2197"/>
      <c r="H12" s="2197"/>
      <c r="I12" s="2198"/>
    </row>
    <row r="13" spans="1:12" ht="12.75">
      <c r="A13" s="2881"/>
      <c r="B13" s="2843"/>
      <c r="C13" s="2893"/>
      <c r="D13" s="2906"/>
      <c r="E13" s="56" t="s">
        <v>1780</v>
      </c>
      <c r="F13" s="2197"/>
      <c r="G13" s="2197"/>
      <c r="H13" s="2197"/>
      <c r="I13" s="2198"/>
    </row>
    <row r="14" spans="1:12" ht="12.75">
      <c r="A14" s="2881" t="s">
        <v>1781</v>
      </c>
      <c r="B14" s="2843">
        <v>30</v>
      </c>
      <c r="C14" s="2892">
        <v>5</v>
      </c>
      <c r="D14" s="2906">
        <v>5</v>
      </c>
      <c r="E14" s="56" t="s">
        <v>1782</v>
      </c>
      <c r="F14" s="2197"/>
      <c r="G14" s="2197"/>
      <c r="H14" s="2197"/>
      <c r="I14" s="2198"/>
    </row>
    <row r="15" spans="1:12" ht="12.75">
      <c r="A15" s="2881"/>
      <c r="B15" s="2843"/>
      <c r="C15" s="2909"/>
      <c r="D15" s="2906"/>
      <c r="E15" s="56" t="s">
        <v>1783</v>
      </c>
      <c r="F15" s="2197"/>
      <c r="G15" s="2197"/>
      <c r="H15" s="2197"/>
      <c r="I15" s="2198"/>
    </row>
    <row r="16" spans="1:12" ht="12.75">
      <c r="A16" s="2881"/>
      <c r="B16" s="2843"/>
      <c r="C16" s="2893"/>
      <c r="D16" s="2906"/>
      <c r="E16" s="56" t="s">
        <v>1784</v>
      </c>
      <c r="F16" s="2197"/>
      <c r="G16" s="2197"/>
      <c r="H16" s="2197"/>
      <c r="I16" s="2198"/>
    </row>
    <row r="17" spans="1:35" ht="15">
      <c r="A17" s="2199" t="s">
        <v>1785</v>
      </c>
      <c r="B17" s="2200"/>
      <c r="C17" s="57">
        <f>SUM(C5:C16)</f>
        <v>5</v>
      </c>
      <c r="D17" s="57">
        <f>SUM(D5:D16)</f>
        <v>5</v>
      </c>
      <c r="E17" s="2192"/>
      <c r="F17" s="2192"/>
      <c r="G17" s="2192"/>
      <c r="H17" s="2192"/>
      <c r="I17" s="2192"/>
    </row>
    <row r="18" spans="1:35" ht="15.75" thickBot="1">
      <c r="A18" s="2201" t="s">
        <v>1786</v>
      </c>
      <c r="B18" s="2202"/>
      <c r="C18" s="58">
        <f>ROUND(C17/SUM(C17:D17),2)</f>
        <v>0.5</v>
      </c>
      <c r="D18" s="58">
        <f>1-C18</f>
        <v>0.5</v>
      </c>
      <c r="E18" s="2192"/>
      <c r="F18" s="2192"/>
      <c r="G18" s="2192"/>
      <c r="H18" s="2192"/>
      <c r="I18" s="2192"/>
    </row>
    <row r="19" spans="1:35" ht="15">
      <c r="A19" s="2203" t="s">
        <v>1787</v>
      </c>
      <c r="B19" s="2204" t="s">
        <v>1788</v>
      </c>
      <c r="C19" s="59">
        <f ca="1">SUMIF(INDIRECT("'"&amp;C4&amp;"'"&amp;"!A:A"),结果表!B19,INDIRECT("'"&amp;C4&amp;"'"&amp;"!B:B"))</f>
        <v>7716495</v>
      </c>
      <c r="D19" s="60">
        <f ca="1">SUMIF(INDIRECT("'"&amp;D4&amp;"'"&amp;"!A:A"),结果表!B19,INDIRECT("'"&amp;D4&amp;"'"&amp;"!B:B"))</f>
        <v>6753028</v>
      </c>
      <c r="E19" s="2203" t="s">
        <v>1789</v>
      </c>
      <c r="F19" s="2204" t="s">
        <v>1788</v>
      </c>
      <c r="G19" s="61">
        <f ca="1">ROUND(C19*$C$18+D19*$D$18,0)</f>
        <v>7234762</v>
      </c>
      <c r="H19" s="2205" t="str">
        <f>'数据-取费表'!B3</f>
        <v>元</v>
      </c>
      <c r="I19" s="2192"/>
    </row>
    <row r="20" spans="1:35" ht="15">
      <c r="A20" s="2206"/>
      <c r="B20" s="2207" t="s">
        <v>1790</v>
      </c>
      <c r="C20" s="62">
        <f ca="1">SUMIF(INDIRECT("'"&amp;C4&amp;"'"&amp;"!A:A"),结果表!B20,INDIRECT("'"&amp;C4&amp;"'"&amp;"!B:B"))</f>
        <v>35319</v>
      </c>
      <c r="D20" s="63">
        <f ca="1">SUMIF(INDIRECT("'"&amp;D4&amp;"'"&amp;"!A:A"),结果表!B20,INDIRECT("'"&amp;D4&amp;"'"&amp;"!B:B"))</f>
        <v>30909</v>
      </c>
      <c r="E20" s="2206"/>
      <c r="F20" s="2207" t="s">
        <v>1790</v>
      </c>
      <c r="G20" s="64">
        <f ca="1">ROUND(C20*$C$18+D20*$D$18,0)</f>
        <v>33114</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f ca="1">IF(C19&lt;D19,D19/C19-1,C19/D19-1)</f>
        <v>0.14267185031662843</v>
      </c>
      <c r="E22" s="2192"/>
      <c r="F22" s="2192"/>
      <c r="G22" s="2192"/>
      <c r="H22" s="2192"/>
      <c r="I22" s="2192"/>
    </row>
    <row r="23" spans="1:35" ht="13.5" thickBot="1">
      <c r="A23" s="2192"/>
      <c r="B23" s="2192"/>
      <c r="C23" s="2192"/>
      <c r="D23" s="2192"/>
      <c r="E23" s="2192"/>
      <c r="F23" s="2192"/>
      <c r="G23" s="2192"/>
      <c r="H23" s="2192"/>
      <c r="I23" s="2192"/>
    </row>
    <row r="24" spans="1:35" ht="21.75" customHeight="1">
      <c r="A24" s="2912" t="s">
        <v>1793</v>
      </c>
      <c r="B24" s="2204" t="s">
        <v>1788</v>
      </c>
      <c r="C24" s="61">
        <f ca="1">D30</f>
        <v>1758372</v>
      </c>
      <c r="D24" s="994"/>
      <c r="E24" s="2192"/>
      <c r="F24" s="2192"/>
      <c r="G24" s="2192"/>
      <c r="H24" s="2192"/>
      <c r="I24" s="2192"/>
    </row>
    <row r="25" spans="1:35" ht="21.75" customHeight="1">
      <c r="A25" s="2913"/>
      <c r="B25" s="2207" t="s">
        <v>1790</v>
      </c>
      <c r="C25" s="66">
        <f ca="1">IF(B30=0,0,C30)</f>
        <v>8048</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c r="B27" s="67">
        <f>'数据-取费表'!B5</f>
        <v>218.48</v>
      </c>
      <c r="C27" s="67">
        <f ca="1">基准地价修正!C30</f>
        <v>7810</v>
      </c>
      <c r="D27" s="68">
        <f ca="1">ROUND(C27*B27,0)</f>
        <v>1706329</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1798</v>
      </c>
      <c r="B30" s="67">
        <f>B27</f>
        <v>218.48</v>
      </c>
      <c r="C30" s="67">
        <f ca="1">ROUND(D30/B30,0)</f>
        <v>8048</v>
      </c>
      <c r="D30" s="67">
        <f ca="1">ROUND(D27*1.0305,0)</f>
        <v>1758372</v>
      </c>
      <c r="E30" s="2713"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hidden="1" thickBot="1">
      <c r="A32" s="2220" t="s">
        <v>1799</v>
      </c>
      <c r="B32" s="2221" t="str">
        <f>'数据-取费表'!B4</f>
        <v>总价</v>
      </c>
      <c r="C32" s="1144">
        <f ca="1">IF(B32="总价",G19-C24,G20-C25)</f>
        <v>5476390</v>
      </c>
      <c r="D32" s="2192" t="str">
        <f>IF(B32="楼面单价","元/平方米",H19)</f>
        <v>元</v>
      </c>
      <c r="E32" s="2192"/>
      <c r="F32" s="2192"/>
      <c r="G32" s="2192"/>
      <c r="H32" s="2192"/>
      <c r="I32" s="2192"/>
    </row>
    <row r="33" spans="1:16" ht="15" hidden="1">
      <c r="A33" s="2222" t="s">
        <v>1800</v>
      </c>
      <c r="B33" s="2223"/>
      <c r="C33" s="2224"/>
      <c r="D33" s="2225"/>
      <c r="E33" s="2226" t="s">
        <v>1801</v>
      </c>
      <c r="F33" s="2227" t="str">
        <f>IF(B32="楼面单价","取值（单价）","取值（总价）")</f>
        <v>取值（总价）</v>
      </c>
      <c r="G33" s="2192"/>
      <c r="H33" s="2192"/>
      <c r="I33" s="2192"/>
    </row>
    <row r="34" spans="1:16" ht="15" hidden="1">
      <c r="A34" s="2228"/>
      <c r="B34" s="2229" t="s">
        <v>1802</v>
      </c>
      <c r="C34" s="72">
        <f ca="1">IF(D33="自定义",F34,C32-C35)</f>
        <v>4726125</v>
      </c>
      <c r="D34" s="1090">
        <f ca="1">IF(D33="自定义",ROUND(C34/C32,3),1-D35)</f>
        <v>0.86299999999999999</v>
      </c>
      <c r="E34" s="2230" t="s">
        <v>1803</v>
      </c>
      <c r="F34" s="1826"/>
      <c r="G34" s="2192"/>
      <c r="H34" s="2192"/>
      <c r="I34" s="2192"/>
    </row>
    <row r="35" spans="1:16" ht="15.75" hidden="1" thickBot="1">
      <c r="A35" s="2231"/>
      <c r="B35" s="2232" t="s">
        <v>1804</v>
      </c>
      <c r="C35" s="73">
        <f ca="1">IF(D33="自定义",F35,ROUND(C32*D35,0))</f>
        <v>750265</v>
      </c>
      <c r="D35" s="1089">
        <f ca="1">IF(D33="自定义",ROUND(C35/C32,3),IF(D33="成本法成本比率",成本法!C56,IF(D33="收益法收益比率",收益法!J38,收益法!J41)))</f>
        <v>0.13700000000000001</v>
      </c>
      <c r="E35" s="2233" t="s">
        <v>1805</v>
      </c>
      <c r="F35" s="79"/>
      <c r="G35" s="2192"/>
      <c r="H35" s="2192"/>
      <c r="I35" s="2192"/>
    </row>
    <row r="36" spans="1:16" ht="15.75" thickBot="1">
      <c r="A36" s="2894" t="s">
        <v>1806</v>
      </c>
      <c r="B36" s="2234" t="s">
        <v>1807</v>
      </c>
      <c r="C36" s="69">
        <v>0</v>
      </c>
      <c r="D36" s="2235" t="s">
        <v>2900</v>
      </c>
      <c r="E36" s="2236"/>
      <c r="F36" s="2236"/>
      <c r="G36" s="2192"/>
      <c r="H36" s="2192"/>
      <c r="I36" s="2192"/>
    </row>
    <row r="37" spans="1:16" ht="15.75" thickBot="1">
      <c r="A37" s="2895"/>
      <c r="B37" s="2237" t="s">
        <v>1808</v>
      </c>
      <c r="C37" s="71">
        <v>0</v>
      </c>
      <c r="D37" s="2202"/>
      <c r="E37" s="2202"/>
      <c r="F37" s="2236"/>
      <c r="G37" s="2202"/>
      <c r="H37" s="2202"/>
      <c r="I37" s="2202"/>
    </row>
    <row r="38" spans="1:16" ht="15.75" thickBot="1">
      <c r="A38" s="2896"/>
      <c r="B38" s="2238" t="s">
        <v>1809</v>
      </c>
      <c r="C38" s="712">
        <f>E40</f>
        <v>0</v>
      </c>
      <c r="D38" s="2239" t="s">
        <v>1810</v>
      </c>
      <c r="E38" s="2202"/>
      <c r="F38" s="2236"/>
      <c r="G38" s="2202"/>
      <c r="H38" s="2202"/>
      <c r="I38" s="2202"/>
    </row>
    <row r="39" spans="1:16" ht="15">
      <c r="A39" s="2206" t="s">
        <v>1811</v>
      </c>
      <c r="B39" s="2240" t="s">
        <v>1795</v>
      </c>
      <c r="C39" s="2241" t="s">
        <v>1796</v>
      </c>
      <c r="D39" s="2241" t="s">
        <v>1812</v>
      </c>
      <c r="E39" s="2242" t="s">
        <v>1797</v>
      </c>
      <c r="F39" s="2236"/>
      <c r="G39" s="2202"/>
      <c r="H39" s="2202"/>
      <c r="I39" s="2202"/>
    </row>
    <row r="40" spans="1:16" ht="14.25">
      <c r="A40" s="2243" t="s">
        <v>1813</v>
      </c>
      <c r="B40" s="74"/>
      <c r="C40" s="75"/>
      <c r="D40" s="75"/>
      <c r="E40" s="76"/>
      <c r="F40" s="2236"/>
      <c r="G40" s="2202"/>
      <c r="H40" s="2202"/>
      <c r="I40" s="2202"/>
    </row>
    <row r="41" spans="1:16" ht="14.25">
      <c r="A41" s="2243" t="s">
        <v>1814</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1815</v>
      </c>
      <c r="B44" s="2249"/>
      <c r="C44" s="2249"/>
      <c r="D44" s="2250"/>
      <c r="E44" s="2250"/>
      <c r="F44" s="2251"/>
      <c r="G44" s="2251"/>
      <c r="H44" s="2251"/>
      <c r="I44" s="2251"/>
      <c r="J44" s="2252" t="s">
        <v>1816</v>
      </c>
      <c r="K44" s="2253"/>
      <c r="L44" s="2253"/>
      <c r="M44" s="2253"/>
      <c r="N44" s="2253"/>
      <c r="O44" s="2253"/>
      <c r="P44" s="1843"/>
    </row>
    <row r="45" spans="1:16" ht="14.25" hidden="1" customHeight="1" thickBot="1">
      <c r="A45" s="2900" t="s">
        <v>1817</v>
      </c>
      <c r="B45" s="2901"/>
      <c r="C45" s="2902"/>
      <c r="D45" s="80">
        <f ca="1">ROUND(I102*F45,0)</f>
        <v>5476390</v>
      </c>
      <c r="E45" s="81" t="s">
        <v>1818</v>
      </c>
      <c r="F45" s="82">
        <v>1</v>
      </c>
      <c r="G45" s="83" t="s">
        <v>1819</v>
      </c>
      <c r="H45" s="2192"/>
      <c r="I45" s="2192"/>
      <c r="J45" s="2962" t="s">
        <v>1820</v>
      </c>
      <c r="K45" s="2962"/>
      <c r="L45" s="2962"/>
      <c r="M45" s="2962"/>
      <c r="N45" s="2962"/>
      <c r="O45" s="2962"/>
      <c r="P45" s="1843"/>
    </row>
    <row r="46" spans="1:16" ht="14.25" hidden="1" customHeight="1">
      <c r="A46" s="2885" t="s">
        <v>1821</v>
      </c>
      <c r="B46" s="2886"/>
      <c r="C46" s="2886"/>
      <c r="D46" s="2886"/>
      <c r="E46" s="2886"/>
      <c r="F46" s="2886"/>
      <c r="G46" s="2887"/>
      <c r="H46" s="2254"/>
      <c r="I46" s="1143"/>
      <c r="J46" s="1881">
        <v>1</v>
      </c>
      <c r="K46" s="2962" t="s">
        <v>1822</v>
      </c>
      <c r="L46" s="2962"/>
      <c r="M46" s="2963" t="str">
        <f>项目基本情况!B1</f>
        <v>北京市房地产市场价值预评估</v>
      </c>
      <c r="N46" s="2963"/>
      <c r="O46" s="2963"/>
      <c r="P46" s="1843"/>
    </row>
    <row r="47" spans="1:16" ht="12" hidden="1" customHeight="1">
      <c r="A47" s="85" t="s">
        <v>1823</v>
      </c>
      <c r="B47" s="86"/>
      <c r="C47" s="87"/>
      <c r="D47" s="88" t="s">
        <v>1824</v>
      </c>
      <c r="E47" s="14" t="s">
        <v>1825</v>
      </c>
      <c r="F47" s="89" t="s">
        <v>1826</v>
      </c>
      <c r="G47" s="90" t="s">
        <v>1827</v>
      </c>
      <c r="H47" s="2254"/>
      <c r="I47" s="1143"/>
      <c r="J47" s="1881">
        <v>2</v>
      </c>
      <c r="K47" s="2962" t="s">
        <v>1828</v>
      </c>
      <c r="L47" s="2962"/>
      <c r="M47" s="2964">
        <f>'数据-取费表'!B2</f>
        <v>43257</v>
      </c>
      <c r="N47" s="2964"/>
      <c r="O47" s="2964"/>
      <c r="P47" s="1843"/>
    </row>
    <row r="48" spans="1:16" ht="25.5" hidden="1">
      <c r="A48" s="2897" t="s">
        <v>1829</v>
      </c>
      <c r="B48" s="2898"/>
      <c r="C48" s="2898"/>
      <c r="D48" s="56">
        <f ca="1">IF(H48="情况1",0,IF(H48="情况2",D52,IF(H48="情况3",D53,IF(H48="情况4",D54))))</f>
        <v>292074</v>
      </c>
      <c r="E48" s="1891" t="str">
        <f>IF(H48="情况4","(销售额-原购置价)×税（费）率","销售额×税（费）率")</f>
        <v>销售额×税（费）率</v>
      </c>
      <c r="F48" s="91">
        <f>IF(H48="情况1","免征",'数据-取费表'!E29)</f>
        <v>5.6000000000000001E-2</v>
      </c>
      <c r="G48" s="2255" t="s">
        <v>1830</v>
      </c>
      <c r="H48" s="2256" t="s">
        <v>1831</v>
      </c>
      <c r="I48" s="2254"/>
      <c r="J48" s="1881">
        <v>3</v>
      </c>
      <c r="K48" s="2962" t="s">
        <v>1832</v>
      </c>
      <c r="L48" s="2962"/>
      <c r="M48" s="2963">
        <f ca="1">I102</f>
        <v>5476390</v>
      </c>
      <c r="N48" s="2963"/>
      <c r="O48" s="2963"/>
      <c r="P48" s="1843"/>
    </row>
    <row r="49" spans="1:16" ht="25.5" hidden="1" customHeight="1">
      <c r="A49" s="92" t="s">
        <v>1833</v>
      </c>
      <c r="B49" s="2890" t="s">
        <v>1834</v>
      </c>
      <c r="C49" s="2890"/>
      <c r="D49" s="93">
        <v>0</v>
      </c>
      <c r="E49" s="13" t="s">
        <v>1835</v>
      </c>
      <c r="F49" s="18" t="s">
        <v>48</v>
      </c>
      <c r="G49" s="2955"/>
      <c r="H49" s="2192"/>
      <c r="I49" s="2257"/>
      <c r="J49" s="1881">
        <v>4</v>
      </c>
      <c r="K49" s="2962" t="str">
        <f>IF(项目基本情况!F5="房地产抵押价值","房地产抵押价值","抵押担保权已注销时的房地产抵押价值")</f>
        <v>抵押担保权已注销时的房地产抵押价值</v>
      </c>
      <c r="L49" s="2962"/>
      <c r="M49" s="2963" t="str">
        <f>IF(项目基本情况!F5="房地产抵押价值",I110,I112)</f>
        <v>——</v>
      </c>
      <c r="N49" s="2963"/>
      <c r="O49" s="2963"/>
      <c r="P49" s="1843"/>
    </row>
    <row r="50" spans="1:16" ht="25.5" hidden="1" customHeight="1">
      <c r="A50" s="94"/>
      <c r="B50" s="2890" t="s">
        <v>1836</v>
      </c>
      <c r="C50" s="2890"/>
      <c r="D50" s="95"/>
      <c r="E50" s="21"/>
      <c r="F50" s="96"/>
      <c r="G50" s="2956"/>
      <c r="H50" s="2192"/>
      <c r="I50" s="2257"/>
      <c r="J50" s="2962" t="s">
        <v>1837</v>
      </c>
      <c r="K50" s="2962"/>
      <c r="L50" s="2962"/>
      <c r="M50" s="2962"/>
      <c r="N50" s="2962"/>
      <c r="O50" s="2962"/>
      <c r="P50" s="1843"/>
    </row>
    <row r="51" spans="1:16" ht="12" hidden="1" customHeight="1">
      <c r="A51" s="97"/>
      <c r="B51" s="2890" t="s">
        <v>1838</v>
      </c>
      <c r="C51" s="2890"/>
      <c r="D51" s="98"/>
      <c r="E51" s="20"/>
      <c r="F51" s="96"/>
      <c r="G51" s="2957"/>
      <c r="H51" s="2192"/>
      <c r="I51" s="2257"/>
      <c r="J51" s="2258" t="s">
        <v>1839</v>
      </c>
      <c r="K51" s="2962" t="s">
        <v>1840</v>
      </c>
      <c r="L51" s="2962"/>
      <c r="M51" s="2258" t="s">
        <v>1841</v>
      </c>
      <c r="N51" s="2258" t="s">
        <v>1842</v>
      </c>
      <c r="O51" s="2258" t="s">
        <v>1843</v>
      </c>
      <c r="P51" s="1843"/>
    </row>
    <row r="52" spans="1:16" ht="24" hidden="1" customHeight="1">
      <c r="A52" s="99" t="s">
        <v>1844</v>
      </c>
      <c r="B52" s="2890" t="s">
        <v>1845</v>
      </c>
      <c r="C52" s="2890"/>
      <c r="D52" s="98">
        <f ca="1">ROUND(D45*'数据-取费表'!E29/(1+'数据-取费表'!F30),0)</f>
        <v>292074</v>
      </c>
      <c r="E52" s="10" t="s">
        <v>1846</v>
      </c>
      <c r="F52" s="100">
        <f>'数据-取费表'!E29</f>
        <v>5.6000000000000001E-2</v>
      </c>
      <c r="G52" s="2259"/>
      <c r="H52" s="2192"/>
      <c r="I52" s="2257"/>
      <c r="J52" s="1881">
        <v>1</v>
      </c>
      <c r="K52" s="2922" t="s">
        <v>1847</v>
      </c>
      <c r="L52" s="2922"/>
      <c r="M52" s="778">
        <f ca="1">D48</f>
        <v>292074</v>
      </c>
      <c r="N52" s="1881" t="str">
        <f>E48</f>
        <v>销售额×税（费）率</v>
      </c>
      <c r="O52" s="779">
        <f>F48</f>
        <v>5.6000000000000001E-2</v>
      </c>
      <c r="P52" s="1843"/>
    </row>
    <row r="53" spans="1:16" ht="12" hidden="1" customHeight="1">
      <c r="A53" s="99" t="s">
        <v>1848</v>
      </c>
      <c r="B53" s="2891" t="s">
        <v>1849</v>
      </c>
      <c r="C53" s="2821"/>
      <c r="D53" s="98">
        <f ca="1">ROUND(D45*'数据-取费表'!E29/(1+'数据-取费表'!F30),0)</f>
        <v>292074</v>
      </c>
      <c r="E53" s="10" t="s">
        <v>1846</v>
      </c>
      <c r="F53" s="100">
        <f>'数据-取费表'!E29</f>
        <v>5.6000000000000001E-2</v>
      </c>
      <c r="G53" s="2259"/>
      <c r="H53" s="2192"/>
      <c r="I53" s="2257"/>
      <c r="J53" s="1881">
        <v>2</v>
      </c>
      <c r="K53" s="2922" t="s">
        <v>1850</v>
      </c>
      <c r="L53" s="2922"/>
      <c r="M53" s="778">
        <f t="shared" ref="M53:O54" ca="1" si="1">D55</f>
        <v>2738</v>
      </c>
      <c r="N53" s="1881" t="str">
        <f t="shared" si="1"/>
        <v>销售额×税（费）率</v>
      </c>
      <c r="O53" s="779">
        <f t="shared" si="1"/>
        <v>5.0000000000000001E-4</v>
      </c>
      <c r="P53" s="1843"/>
    </row>
    <row r="54" spans="1:16" ht="12" hidden="1" customHeight="1">
      <c r="A54" s="99" t="s">
        <v>1851</v>
      </c>
      <c r="B54" s="2891" t="s">
        <v>1852</v>
      </c>
      <c r="C54" s="2821"/>
      <c r="D54" s="98">
        <f ca="1">C68</f>
        <v>292074</v>
      </c>
      <c r="E54" s="20" t="s">
        <v>1853</v>
      </c>
      <c r="F54" s="100">
        <f>'数据-取费表'!E29</f>
        <v>5.6000000000000001E-2</v>
      </c>
      <c r="G54" s="2259"/>
      <c r="H54" s="2260"/>
      <c r="I54" s="2257"/>
      <c r="J54" s="1881">
        <v>3</v>
      </c>
      <c r="K54" s="2922" t="s">
        <v>1854</v>
      </c>
      <c r="L54" s="2922"/>
      <c r="M54" s="778">
        <f t="shared" ca="1" si="1"/>
        <v>3099637</v>
      </c>
      <c r="N54" s="1881" t="str">
        <f t="shared" si="1"/>
        <v>增值额×税（费）率</v>
      </c>
      <c r="O54" s="780" t="str">
        <f t="shared" si="1"/>
        <v>——</v>
      </c>
      <c r="P54" s="1843"/>
    </row>
    <row r="55" spans="1:16" ht="24" hidden="1" customHeight="1">
      <c r="A55" s="2813" t="s">
        <v>1855</v>
      </c>
      <c r="B55" s="2898"/>
      <c r="C55" s="2898"/>
      <c r="D55" s="101">
        <f ca="1">IF(H55="个人住宅",0,ROUND(D45*I55,0))</f>
        <v>2738</v>
      </c>
      <c r="E55" s="10" t="s">
        <v>1856</v>
      </c>
      <c r="F55" s="100">
        <f>IF(H55="正常",I55,"免征")</f>
        <v>5.0000000000000001E-4</v>
      </c>
      <c r="G55" s="2259"/>
      <c r="H55" s="2256" t="s">
        <v>1857</v>
      </c>
      <c r="I55" s="102">
        <f>'数据-取费表'!E37</f>
        <v>5.0000000000000001E-4</v>
      </c>
      <c r="J55" s="1881">
        <f>IF(H59="非个人房产","",4)</f>
        <v>4</v>
      </c>
      <c r="K55" s="2922" t="str">
        <f>IF(H59="非个人房产","——","个人所得税")</f>
        <v>个人所得税</v>
      </c>
      <c r="L55" s="2922"/>
      <c r="M55" s="781">
        <f ca="1">D59</f>
        <v>54764</v>
      </c>
      <c r="N55" s="1884" t="str">
        <f>E59</f>
        <v>销售额×税（费）率</v>
      </c>
      <c r="O55" s="782">
        <f>F59</f>
        <v>0.01</v>
      </c>
      <c r="P55" s="1843"/>
    </row>
    <row r="56" spans="1:16" ht="24.75" hidden="1">
      <c r="A56" s="2813" t="s">
        <v>1858</v>
      </c>
      <c r="B56" s="2898"/>
      <c r="C56" s="2898"/>
      <c r="D56" s="101">
        <f ca="1">IF(H56="个人住宅",D57,D58)</f>
        <v>3099637</v>
      </c>
      <c r="E56" s="10" t="s">
        <v>1859</v>
      </c>
      <c r="F56" s="100" t="str">
        <f>IF(H56="正常",F58,"免征")</f>
        <v>——</v>
      </c>
      <c r="G56" s="2261" t="s">
        <v>1860</v>
      </c>
      <c r="H56" s="2262" t="s">
        <v>1857</v>
      </c>
      <c r="I56" s="1021"/>
      <c r="J56" s="1881" t="str">
        <f>IF(项目基本情况!I6="上海银行",IF(J55="",4,J55+1),"")</f>
        <v/>
      </c>
      <c r="K56" s="2940" t="str">
        <f>IF(项目基本情况!I6="上海银行","其他处置费用","")</f>
        <v/>
      </c>
      <c r="L56" s="2941"/>
      <c r="M56" s="778" t="str">
        <f>IF(项目基本情况!I6="上海银行",M69,"")</f>
        <v/>
      </c>
      <c r="N56" s="2953" t="str">
        <f>IF(项目基本情况!I6="上海银行","包含处置中涉及的律师、诉讼、拍卖、评估等费用","")</f>
        <v/>
      </c>
      <c r="O56" s="2954"/>
      <c r="P56" s="1843"/>
    </row>
    <row r="57" spans="1:16" ht="12.75" hidden="1">
      <c r="A57" s="99" t="s">
        <v>1833</v>
      </c>
      <c r="B57" s="2888" t="s">
        <v>1861</v>
      </c>
      <c r="C57" s="2899"/>
      <c r="D57" s="103">
        <v>0</v>
      </c>
      <c r="E57" s="13" t="s">
        <v>1835</v>
      </c>
      <c r="F57" s="70"/>
      <c r="G57" s="2259"/>
      <c r="H57" s="1021"/>
      <c r="I57" s="1021"/>
      <c r="J57" s="2922">
        <f>IF(AND(J55="",J56=""),4,IF(项目基本情况!I6="上海银行",J56+1,J55+1))</f>
        <v>5</v>
      </c>
      <c r="K57" s="2922" t="s">
        <v>1862</v>
      </c>
      <c r="L57" s="2263" t="s">
        <v>1863</v>
      </c>
      <c r="M57" s="783"/>
      <c r="N57" s="784">
        <f ca="1">SUMIF(M52:M56,"&lt;9e307")</f>
        <v>3449213</v>
      </c>
      <c r="O57" s="2264"/>
      <c r="P57" s="1839" t="e">
        <f ca="1">N57/M49</f>
        <v>#VALUE!</v>
      </c>
    </row>
    <row r="58" spans="1:16" ht="24.75" hidden="1">
      <c r="A58" s="99" t="s">
        <v>1844</v>
      </c>
      <c r="B58" s="2888" t="s">
        <v>1864</v>
      </c>
      <c r="C58" s="2889"/>
      <c r="D58" s="101">
        <f ca="1">IF(H58="转让取得",C81,C97)</f>
        <v>3099637</v>
      </c>
      <c r="E58" s="10" t="s">
        <v>1859</v>
      </c>
      <c r="F58" s="14" t="s">
        <v>48</v>
      </c>
      <c r="G58" s="2259"/>
      <c r="H58" s="2262" t="s">
        <v>1865</v>
      </c>
      <c r="I58" s="1021"/>
      <c r="J58" s="2922"/>
      <c r="K58" s="2922"/>
      <c r="L58" s="2263" t="s">
        <v>1866</v>
      </c>
      <c r="M58" s="785"/>
      <c r="N58" s="2265" t="str">
        <f ca="1">IF(H19="元",NUMBERSTRING(INT(N57),2)&amp;"元整",NUMBERSTRING(INT(N57*10000),2)&amp;"元整")</f>
        <v>叁佰肆拾肆万玖仟贰佰壹拾叁元整</v>
      </c>
      <c r="O58" s="2266"/>
      <c r="P58" s="1843"/>
    </row>
    <row r="59" spans="1:16" ht="26.25" hidden="1" thickBot="1">
      <c r="A59" s="2814" t="s">
        <v>1867</v>
      </c>
      <c r="B59" s="2817"/>
      <c r="C59" s="2817"/>
      <c r="D59" s="104">
        <f ca="1">IF(H59="非个人房产","——",IF(H59="个人住宅",0,ROUND(D45*I59,0)))</f>
        <v>54764</v>
      </c>
      <c r="E59" s="105" t="str">
        <f>IF(H59="非个人房产","——","销售额×税（费）率")</f>
        <v>销售额×税（费）率</v>
      </c>
      <c r="F59" s="106">
        <f>IF(H59="非个人房产","——",IF(H59="个人住宅","免征",I59))</f>
        <v>0.01</v>
      </c>
      <c r="G59" s="2267" t="s">
        <v>1860</v>
      </c>
      <c r="H59" s="2262" t="s">
        <v>1868</v>
      </c>
      <c r="I59" s="107">
        <v>0.01</v>
      </c>
      <c r="J59" s="2920">
        <f>J57+1</f>
        <v>6</v>
      </c>
      <c r="K59" s="2922" t="s">
        <v>1869</v>
      </c>
      <c r="L59" s="1881" t="s">
        <v>1863</v>
      </c>
      <c r="M59" s="786"/>
      <c r="N59" s="787" t="e">
        <f ca="1">M49-N57</f>
        <v>#VALUE!</v>
      </c>
      <c r="O59" s="2268"/>
      <c r="P59" s="1843"/>
    </row>
    <row r="60" spans="1:16" ht="12" hidden="1" customHeight="1">
      <c r="A60" s="2064"/>
      <c r="B60" s="2192"/>
      <c r="C60" s="2192"/>
      <c r="D60" s="2192"/>
      <c r="E60" s="1021"/>
      <c r="F60" s="1021"/>
      <c r="G60" s="1021"/>
      <c r="H60" s="2245"/>
      <c r="I60" s="2192"/>
      <c r="J60" s="2921"/>
      <c r="K60" s="2922"/>
      <c r="L60" s="2263" t="s">
        <v>1866</v>
      </c>
      <c r="M60" s="785"/>
      <c r="N60" s="2265" t="e">
        <f ca="1">IF(H19="元",NUMBERSTRING(INT(N59),2)&amp;"元整",NUMBERSTRING(INT(N59*10000),2)&amp;"元整")</f>
        <v>#VALUE!</v>
      </c>
      <c r="O60" s="2266"/>
      <c r="P60" s="1843"/>
    </row>
    <row r="61" spans="1:16" ht="13.5" hidden="1" thickBot="1">
      <c r="A61" s="2903" t="s">
        <v>1870</v>
      </c>
      <c r="B61" s="2903"/>
      <c r="C61" s="2903"/>
      <c r="D61" s="2903"/>
      <c r="E61" s="2903"/>
      <c r="F61" s="1021"/>
      <c r="G61" s="1021"/>
      <c r="H61" s="2245"/>
      <c r="I61" s="2192"/>
      <c r="J61" s="1881">
        <f>J59+1</f>
        <v>7</v>
      </c>
      <c r="K61" s="2922" t="s">
        <v>1871</v>
      </c>
      <c r="L61" s="2922"/>
      <c r="M61" s="788"/>
      <c r="N61" s="789" t="e">
        <f ca="1">IF(H19="元",ROUND(N59/项目基本情况!C12,0),ROUND(N59*10000/项目基本情况!C12,0))</f>
        <v>#VALUE!</v>
      </c>
      <c r="O61" s="2269"/>
      <c r="P61" s="1843"/>
    </row>
    <row r="62" spans="1:16" ht="12.75" hidden="1">
      <c r="A62" s="2910" t="s">
        <v>1872</v>
      </c>
      <c r="B62" s="2911"/>
      <c r="C62" s="1883"/>
      <c r="D62" s="1883" t="s">
        <v>1873</v>
      </c>
      <c r="E62" s="108" t="s">
        <v>1874</v>
      </c>
      <c r="F62" s="1021"/>
      <c r="G62" s="1021"/>
      <c r="H62" s="2245"/>
      <c r="I62" s="2192"/>
      <c r="J62" s="1843"/>
      <c r="K62" s="1843"/>
      <c r="L62" s="1843"/>
      <c r="M62" s="1843"/>
      <c r="N62" s="1843"/>
      <c r="O62" s="1843"/>
      <c r="P62" s="1843"/>
    </row>
    <row r="63" spans="1:16" ht="12.75" hidden="1">
      <c r="A63" s="109">
        <v>1</v>
      </c>
      <c r="B63" s="110" t="s">
        <v>1875</v>
      </c>
      <c r="C63" s="111">
        <f ca="1">ROUND((C64+C65)/(1+'数据-取费表'!F30),0)</f>
        <v>5215610</v>
      </c>
      <c r="D63" s="112"/>
      <c r="E63" s="113"/>
      <c r="F63" s="1021"/>
      <c r="G63" s="1021"/>
      <c r="H63" s="2245"/>
      <c r="I63" s="2192"/>
      <c r="J63" s="2942" t="s">
        <v>1876</v>
      </c>
      <c r="K63" s="2270" t="s">
        <v>1877</v>
      </c>
      <c r="L63" s="1842" t="e">
        <f>IF(M49&gt;10000,M49*0.5%,IF(AND(M49&gt;1000,M49&lt;=10000),M49*1%,IF(AND(M49&gt;100,M49&lt;=1000),M49*3%,IF(AND(M49&gt;10,M49&lt;=100),M49*5%,M49*8%))))</f>
        <v>#VALUE!</v>
      </c>
      <c r="M63" s="14" t="e">
        <f>ROUND(L63,1)</f>
        <v>#VALUE!</v>
      </c>
      <c r="N63" s="1843"/>
      <c r="O63" s="1843"/>
      <c r="P63" s="1843"/>
    </row>
    <row r="64" spans="1:16" ht="12.75" hidden="1">
      <c r="A64" s="114" t="s">
        <v>71</v>
      </c>
      <c r="B64" s="115" t="s">
        <v>1878</v>
      </c>
      <c r="C64" s="116">
        <f ca="1">D45</f>
        <v>5476390</v>
      </c>
      <c r="D64" s="117" t="s">
        <v>41</v>
      </c>
      <c r="E64" s="118"/>
      <c r="F64" s="1021"/>
      <c r="G64" s="1021"/>
      <c r="H64" s="2245"/>
      <c r="I64" s="2192"/>
      <c r="J64" s="2942"/>
      <c r="K64" s="2270" t="s">
        <v>1879</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1880</v>
      </c>
      <c r="O64" s="1843"/>
      <c r="P64" s="1843"/>
    </row>
    <row r="65" spans="1:35" ht="12.75" hidden="1">
      <c r="A65" s="114" t="s">
        <v>72</v>
      </c>
      <c r="B65" s="115" t="s">
        <v>1881</v>
      </c>
      <c r="C65" s="119"/>
      <c r="D65" s="117"/>
      <c r="E65" s="118"/>
      <c r="F65" s="1021"/>
      <c r="G65" s="1021"/>
      <c r="H65" s="2245"/>
      <c r="I65" s="2192"/>
      <c r="J65" s="2942"/>
      <c r="K65" s="2270" t="s">
        <v>1882</v>
      </c>
      <c r="L65" s="1842" t="e">
        <f>IF(M49&gt;1000,M49*0.1%,IF(AND(M49&gt;500,M49&lt;=1000),M49*0.5%,IF(AND(M49&gt;50,M49&lt;=500),M49*1%,IF(AND(M49&gt;1,M49&lt;=50),M49*1.5%))))</f>
        <v>#VALUE!</v>
      </c>
      <c r="M65" s="14" t="e">
        <f t="shared" si="2"/>
        <v>#VALUE!</v>
      </c>
      <c r="N65" s="1843" t="s">
        <v>1880</v>
      </c>
      <c r="O65" s="1843"/>
      <c r="P65" s="1843"/>
    </row>
    <row r="66" spans="1:35" ht="12.75" hidden="1">
      <c r="A66" s="120" t="s">
        <v>47</v>
      </c>
      <c r="B66" s="121" t="s">
        <v>1883</v>
      </c>
      <c r="C66" s="122"/>
      <c r="D66" s="123" t="s">
        <v>41</v>
      </c>
      <c r="E66" s="1859" t="s">
        <v>1884</v>
      </c>
      <c r="F66" s="1021"/>
      <c r="G66" s="1021"/>
      <c r="H66" s="2245"/>
      <c r="I66" s="2192"/>
      <c r="J66" s="2942"/>
      <c r="K66" s="2270" t="s">
        <v>1885</v>
      </c>
      <c r="L66" s="1842" t="e">
        <f>M49*0.5%</f>
        <v>#VALUE!</v>
      </c>
      <c r="M66" s="14" t="e">
        <f>IF(L66&gt;0.5,0.5,ROUND(L66,0))</f>
        <v>#VALUE!</v>
      </c>
      <c r="N66" s="1843" t="s">
        <v>1886</v>
      </c>
      <c r="O66" s="1843"/>
      <c r="P66" s="1843"/>
    </row>
    <row r="67" spans="1:35" ht="12.75" hidden="1">
      <c r="A67" s="120" t="s">
        <v>42</v>
      </c>
      <c r="B67" s="121" t="s">
        <v>1887</v>
      </c>
      <c r="C67" s="124">
        <f ca="1">C63-C66</f>
        <v>5215610</v>
      </c>
      <c r="D67" s="117" t="s">
        <v>41</v>
      </c>
      <c r="E67" s="118"/>
      <c r="F67" s="1021"/>
      <c r="G67" s="1021"/>
      <c r="H67" s="2245"/>
      <c r="I67" s="2192"/>
      <c r="J67" s="2942"/>
      <c r="K67" s="2270" t="s">
        <v>1888</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hidden="1" thickBot="1">
      <c r="A68" s="125" t="s">
        <v>46</v>
      </c>
      <c r="B68" s="126" t="s">
        <v>1889</v>
      </c>
      <c r="C68" s="127">
        <f ca="1">IF(C67&lt;=0,0,ROUND(C67*D68,0))</f>
        <v>292074</v>
      </c>
      <c r="D68" s="128">
        <f>'数据-取费表'!E29</f>
        <v>5.6000000000000001E-2</v>
      </c>
      <c r="E68" s="129"/>
      <c r="F68" s="1021"/>
      <c r="G68" s="1021"/>
      <c r="H68" s="2245"/>
      <c r="I68" s="2192"/>
      <c r="J68" s="2942"/>
      <c r="K68" s="2270" t="s">
        <v>1890</v>
      </c>
      <c r="L68" s="1842" t="e">
        <f>IF(M49&gt;10000,M49*0.5%,IF(AND(M49&gt;5000,M49&lt;=10000),M49*1%,IF(AND(M49&gt;1000,M49&lt;=5000),M49*2%,IF(AND(M49&gt;200,M49&lt;=1000),M49*3%,M49*5%))))</f>
        <v>#VALUE!</v>
      </c>
      <c r="M68" s="14" t="e">
        <f>ROUND(L68,1)</f>
        <v>#VALUE!</v>
      </c>
      <c r="N68" s="1843"/>
      <c r="O68" s="1843"/>
      <c r="P68" s="1843"/>
    </row>
    <row r="69" spans="1:35" s="2219" customFormat="1" ht="7.5" hidden="1" customHeight="1">
      <c r="A69" s="2271"/>
      <c r="B69" s="2272"/>
      <c r="C69" s="2273"/>
      <c r="D69" s="2274"/>
      <c r="E69" s="2275"/>
      <c r="F69" s="1021"/>
      <c r="G69" s="1021"/>
      <c r="H69" s="2245"/>
      <c r="I69" s="2192"/>
      <c r="J69" s="2942"/>
      <c r="K69" s="2270" t="s">
        <v>1891</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hidden="1" thickBot="1">
      <c r="A70" s="2914" t="s">
        <v>1892</v>
      </c>
      <c r="B70" s="2915"/>
      <c r="C70" s="2915"/>
      <c r="D70" s="2915"/>
      <c r="E70" s="2915"/>
      <c r="F70" s="2915"/>
      <c r="G70" s="2915"/>
      <c r="H70" s="2915"/>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hidden="1">
      <c r="A71" s="2910" t="s">
        <v>1872</v>
      </c>
      <c r="B71" s="2911"/>
      <c r="C71" s="1883"/>
      <c r="D71" s="1883" t="s">
        <v>1873</v>
      </c>
      <c r="E71" s="130" t="s">
        <v>1874</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hidden="1">
      <c r="A72" s="133">
        <v>1</v>
      </c>
      <c r="B72" s="121" t="s">
        <v>1893</v>
      </c>
      <c r="C72" s="124">
        <f ca="1">ROUND(D45/(1+'数据-取费表'!F30),0)</f>
        <v>5215610</v>
      </c>
      <c r="D72" s="117" t="s">
        <v>41</v>
      </c>
      <c r="E72" s="12" t="s">
        <v>1894</v>
      </c>
      <c r="F72" s="1887"/>
      <c r="G72" s="1887"/>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hidden="1">
      <c r="A73" s="135">
        <v>2</v>
      </c>
      <c r="B73" s="89" t="s">
        <v>1895</v>
      </c>
      <c r="C73" s="124">
        <f ca="1">C74+C78</f>
        <v>31294</v>
      </c>
      <c r="D73" s="117" t="s">
        <v>41</v>
      </c>
      <c r="E73" s="1886"/>
      <c r="F73" s="1887"/>
      <c r="G73" s="1887"/>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hidden="1">
      <c r="A74" s="136" t="s">
        <v>73</v>
      </c>
      <c r="B74" s="115" t="s">
        <v>1896</v>
      </c>
      <c r="C74" s="117">
        <f>ROUND(IF(G77="2016年5月1日后购买",C75/(1+'数据-取费表'!F30)+C76+C77,C75+C76+C77),0)</f>
        <v>0</v>
      </c>
      <c r="D74" s="117" t="s">
        <v>41</v>
      </c>
      <c r="E74" s="1886"/>
      <c r="F74" s="1887"/>
      <c r="G74" s="1887"/>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hidden="1">
      <c r="A75" s="136" t="s">
        <v>74</v>
      </c>
      <c r="B75" s="115" t="s">
        <v>1897</v>
      </c>
      <c r="C75" s="137"/>
      <c r="D75" s="117" t="s">
        <v>41</v>
      </c>
      <c r="E75" s="138" t="s">
        <v>1898</v>
      </c>
      <c r="F75" s="2281" t="s">
        <v>1899</v>
      </c>
      <c r="G75" s="138" t="s">
        <v>1900</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hidden="1" customHeight="1">
      <c r="A76" s="136" t="s">
        <v>75</v>
      </c>
      <c r="B76" s="140" t="s">
        <v>1901</v>
      </c>
      <c r="C76" s="117">
        <f>IF(F75="购房发票",ROUND(C75*H75*D76,0),0)</f>
        <v>0</v>
      </c>
      <c r="D76" s="141">
        <v>0.05</v>
      </c>
      <c r="E76" s="2891" t="s">
        <v>1902</v>
      </c>
      <c r="F76" s="2890"/>
      <c r="G76" s="2890"/>
      <c r="H76" s="2905"/>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2" t="s">
        <v>1905</v>
      </c>
      <c r="H77" s="1888"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hidden="1" customHeight="1">
      <c r="A78" s="136" t="s">
        <v>77</v>
      </c>
      <c r="B78" s="115" t="s">
        <v>1906</v>
      </c>
      <c r="C78" s="144">
        <f ca="1">ROUND(D45*D78/(1+'数据-取费表'!F30),0)</f>
        <v>31294</v>
      </c>
      <c r="D78" s="145">
        <f>'数据-取费表'!E31</f>
        <v>6.000000000000001E-3</v>
      </c>
      <c r="E78" s="2882" t="s">
        <v>1907</v>
      </c>
      <c r="F78" s="2883"/>
      <c r="G78" s="2883"/>
      <c r="H78" s="2884"/>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hidden="1">
      <c r="A79" s="146" t="s">
        <v>42</v>
      </c>
      <c r="B79" s="121" t="s">
        <v>1908</v>
      </c>
      <c r="C79" s="124">
        <f ca="1">C72-C73</f>
        <v>5184316</v>
      </c>
      <c r="D79" s="117" t="s">
        <v>41</v>
      </c>
      <c r="E79" s="1886"/>
      <c r="F79" s="1887"/>
      <c r="G79" s="1887"/>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hidden="1">
      <c r="A80" s="146" t="s">
        <v>43</v>
      </c>
      <c r="B80" s="121" t="s">
        <v>1909</v>
      </c>
      <c r="C80" s="147">
        <f ca="1">IF(C79&lt;=0,0,C79/C73)</f>
        <v>165.66485588291684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hidden="1" thickBot="1">
      <c r="A81" s="148" t="s">
        <v>44</v>
      </c>
      <c r="B81" s="126" t="s">
        <v>1910</v>
      </c>
      <c r="C81" s="149">
        <f ca="1">ROUND(IF(C79&lt;=0,0,IF(C80&gt;=200%,C79*60%-C73*35%,IF(C80&gt;=100%,C79*50%-C73*15%,IF(C80&gt;=50%,C79*40%-C73*5%,IF(C80&lt;50%,C79*30%,0))))),0)</f>
        <v>3099637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hidden="1" thickBot="1">
      <c r="A83" s="2914" t="s">
        <v>1911</v>
      </c>
      <c r="B83" s="2915"/>
      <c r="C83" s="2915"/>
      <c r="D83" s="2915"/>
      <c r="E83" s="2915"/>
      <c r="F83" s="2915"/>
      <c r="G83" s="2915"/>
      <c r="H83" s="2915"/>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hidden="1">
      <c r="A84" s="2910" t="s">
        <v>1872</v>
      </c>
      <c r="B84" s="2911"/>
      <c r="C84" s="1883"/>
      <c r="D84" s="1883" t="s">
        <v>1873</v>
      </c>
      <c r="E84" s="130" t="s">
        <v>1874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hidden="1">
      <c r="A85" s="133">
        <v>1</v>
      </c>
      <c r="B85" s="121" t="s">
        <v>1893</v>
      </c>
      <c r="C85" s="124">
        <f ca="1">ROUND(D45/(1+'数据-取费表'!F30),0)</f>
        <v>5215610</v>
      </c>
      <c r="D85" s="117" t="s">
        <v>41</v>
      </c>
      <c r="E85" s="1886" t="s">
        <v>1894</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hidden="1">
      <c r="A86" s="135">
        <v>2</v>
      </c>
      <c r="B86" s="89" t="s">
        <v>1895</v>
      </c>
      <c r="C86" s="124">
        <f ca="1">IF(H88="仅含出让金",C87+C90+C91+C92+C93+C94,C87+C91+C92+C93+C94)</f>
        <v>31294</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hidden="1">
      <c r="A87" s="136" t="s">
        <v>73</v>
      </c>
      <c r="B87" s="115" t="s">
        <v>1912</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hidden="1">
      <c r="A88" s="136" t="s">
        <v>74</v>
      </c>
      <c r="B88" s="115" t="s">
        <v>1913</v>
      </c>
      <c r="C88" s="157"/>
      <c r="D88" s="145"/>
      <c r="E88" s="158" t="s">
        <v>1914</v>
      </c>
      <c r="F88" s="1880"/>
      <c r="G88" s="159" t="s">
        <v>1915</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hidden="1">
      <c r="A89" s="136" t="s">
        <v>75</v>
      </c>
      <c r="B89" s="115" t="s">
        <v>1903</v>
      </c>
      <c r="C89" s="144">
        <f>ROUND(C88*D89,0)</f>
        <v>0</v>
      </c>
      <c r="D89" s="145">
        <f>'数据-取费表'!E36+'数据-取费表'!E37</f>
        <v>3.0499999999999999E-2</v>
      </c>
      <c r="E89" s="158" t="s">
        <v>1916</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hidden="1">
      <c r="A90" s="136" t="s">
        <v>77</v>
      </c>
      <c r="B90" s="115" t="s">
        <v>1917</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hidden="1" customHeight="1">
      <c r="A91" s="136" t="s">
        <v>78</v>
      </c>
      <c r="B91" s="115" t="s">
        <v>1918</v>
      </c>
      <c r="C91" s="144">
        <f>IF(H91="——",成本法!C33,I91)</f>
        <v>0</v>
      </c>
      <c r="D91" s="145"/>
      <c r="E91" s="2882" t="s">
        <v>1919</v>
      </c>
      <c r="F91" s="2883"/>
      <c r="G91" s="2883"/>
      <c r="H91" s="2285" t="s">
        <v>1920</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hidden="1" customHeight="1">
      <c r="A92" s="136" t="s">
        <v>79</v>
      </c>
      <c r="B92" s="115" t="s">
        <v>1921</v>
      </c>
      <c r="C92" s="144">
        <f>ROUND((C87+C90+C91)*D92,0)</f>
        <v>0</v>
      </c>
      <c r="D92" s="145">
        <v>0.1</v>
      </c>
      <c r="E92" s="2882" t="s">
        <v>1922</v>
      </c>
      <c r="F92" s="2883"/>
      <c r="G92" s="2883"/>
      <c r="H92" s="2884"/>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hidden="1" customHeight="1">
      <c r="A93" s="136" t="s">
        <v>80</v>
      </c>
      <c r="B93" s="115" t="s">
        <v>1906</v>
      </c>
      <c r="C93" s="144">
        <f ca="1">ROUND(D45*D93/(1+'数据-取费表'!F30),0)</f>
        <v>31294</v>
      </c>
      <c r="D93" s="145">
        <f>'数据-取费表'!E31</f>
        <v>6.000000000000001E-3</v>
      </c>
      <c r="E93" s="2882" t="s">
        <v>1907</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hidden="1" customHeight="1">
      <c r="A94" s="136" t="s">
        <v>81</v>
      </c>
      <c r="B94" s="115" t="s">
        <v>1923</v>
      </c>
      <c r="C94" s="144">
        <f>ROUND((C87+C90+C91)*D94,0)</f>
        <v>0</v>
      </c>
      <c r="D94" s="145">
        <v>0.2</v>
      </c>
      <c r="E94" s="2882" t="s">
        <v>1924</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hidden="1">
      <c r="A95" s="146" t="s">
        <v>42</v>
      </c>
      <c r="B95" s="121" t="s">
        <v>1908</v>
      </c>
      <c r="C95" s="124">
        <f ca="1">ROUND(C85-C86,0)</f>
        <v>5184316</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hidden="1">
      <c r="A96" s="146" t="s">
        <v>43</v>
      </c>
      <c r="B96" s="121" t="s">
        <v>1909</v>
      </c>
      <c r="C96" s="147">
        <f ca="1">IF(C95&lt;=0,0,C95/C86)</f>
        <v>165.66485588291684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hidden="1" thickBot="1">
      <c r="A97" s="148" t="s">
        <v>44</v>
      </c>
      <c r="B97" s="126" t="s">
        <v>1910</v>
      </c>
      <c r="C97" s="149">
        <f ca="1">ROUND(IF(C95&lt;=0,0,IF(C96&gt;=200%,C95*60%-C86*35%,IF(C96&gt;=100%,C95*50%-C86*15%,IF(C96&gt;=50%,C95*40%-C86*5%,IF(C96&lt;50%,C95*30%,0))))),0)</f>
        <v>3099637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1925</v>
      </c>
      <c r="B98" s="2192"/>
      <c r="C98" s="2192"/>
      <c r="D98" s="2192"/>
      <c r="E98" s="1021"/>
      <c r="F98" s="1021"/>
      <c r="G98" s="1021"/>
      <c r="H98" s="2245"/>
      <c r="I98" s="2192"/>
    </row>
    <row r="99" spans="1:35" ht="15.75">
      <c r="A99" s="2937" t="s">
        <v>1926</v>
      </c>
      <c r="B99" s="2938"/>
      <c r="C99" s="2938"/>
      <c r="D99" s="2939"/>
      <c r="E99" s="2192"/>
      <c r="F99" s="2948" t="s">
        <v>1927</v>
      </c>
      <c r="G99" s="2949"/>
      <c r="H99" s="2949"/>
      <c r="I99" s="2950"/>
    </row>
    <row r="100" spans="1:35" ht="15.75">
      <c r="A100" s="2951" t="s">
        <v>1928</v>
      </c>
      <c r="B100" s="2952"/>
      <c r="C100" s="720" t="str">
        <f>C4</f>
        <v>比较法-办公</v>
      </c>
      <c r="D100" s="721" t="str">
        <f>D4</f>
        <v>收益法</v>
      </c>
      <c r="E100" s="2192"/>
      <c r="F100" s="2847" t="s">
        <v>1929</v>
      </c>
      <c r="G100" s="2848"/>
      <c r="H100" s="2847" t="s">
        <v>1930</v>
      </c>
      <c r="I100" s="2846"/>
    </row>
    <row r="101" spans="1:35" ht="15.75">
      <c r="A101" s="2929" t="s">
        <v>1931</v>
      </c>
      <c r="B101" s="2287" t="str">
        <f>IF(H19="元","总价（元）","总价（万元）")</f>
        <v>总价（元）</v>
      </c>
      <c r="C101" s="720">
        <f ca="1">C19</f>
        <v>7716495</v>
      </c>
      <c r="D101" s="721">
        <f ca="1">D19</f>
        <v>6753028</v>
      </c>
      <c r="E101" s="2192"/>
      <c r="F101" s="2847" t="str">
        <f>项目基本情况!I1</f>
        <v>北京市房地产</v>
      </c>
      <c r="G101" s="2848"/>
      <c r="H101" s="2845">
        <f>项目基本情况!C12</f>
        <v>218.48</v>
      </c>
      <c r="I101" s="2846"/>
    </row>
    <row r="102" spans="1:35" ht="15.75">
      <c r="A102" s="2929"/>
      <c r="B102" s="2287" t="s">
        <v>1932</v>
      </c>
      <c r="C102" s="722">
        <f ca="1">C20</f>
        <v>35319</v>
      </c>
      <c r="D102" s="723">
        <f ca="1">D20</f>
        <v>30909</v>
      </c>
      <c r="E102" s="2192"/>
      <c r="F102" s="2874" t="s">
        <v>1933</v>
      </c>
      <c r="G102" s="2875"/>
      <c r="H102" s="2288" t="str">
        <f>C106</f>
        <v>总价（元）</v>
      </c>
      <c r="I102" s="1860">
        <f ca="1">H121</f>
        <v>5476390</v>
      </c>
    </row>
    <row r="103" spans="1:35" ht="15">
      <c r="A103" s="2929" t="s">
        <v>1934</v>
      </c>
      <c r="B103" s="2289" t="str">
        <f>B101</f>
        <v>总价（元）</v>
      </c>
      <c r="C103" s="724">
        <f ca="1">H121</f>
        <v>5476390</v>
      </c>
      <c r="D103" s="725"/>
      <c r="E103" s="2192"/>
      <c r="F103" s="2874"/>
      <c r="G103" s="2875"/>
      <c r="H103" s="2288" t="s">
        <v>1932</v>
      </c>
      <c r="I103" s="1049">
        <f ca="1">I121</f>
        <v>25066</v>
      </c>
    </row>
    <row r="104" spans="1:35" ht="16.5" thickBot="1">
      <c r="A104" s="2930"/>
      <c r="B104" s="2290" t="s">
        <v>1932</v>
      </c>
      <c r="C104" s="726">
        <f ca="1">I121</f>
        <v>25066</v>
      </c>
      <c r="D104" s="727"/>
      <c r="E104" s="2192"/>
      <c r="F104" s="2946"/>
      <c r="G104" s="2947"/>
      <c r="H104" s="2931"/>
      <c r="I104" s="2932"/>
    </row>
    <row r="105" spans="1:35" ht="15.75">
      <c r="A105" s="2937" t="s">
        <v>1935</v>
      </c>
      <c r="B105" s="2938"/>
      <c r="C105" s="2938"/>
      <c r="D105" s="2939"/>
      <c r="E105" s="2192"/>
      <c r="F105" s="2935" t="s">
        <v>1936</v>
      </c>
      <c r="G105" s="2936"/>
      <c r="H105" s="2291" t="str">
        <f>C108</f>
        <v>总额（元）</v>
      </c>
      <c r="I105" s="1860">
        <f>SUMIF(I106:I108,"&lt;9E307")</f>
        <v>0</v>
      </c>
    </row>
    <row r="106" spans="1:35" ht="15">
      <c r="A106" s="2861" t="s">
        <v>1937</v>
      </c>
      <c r="B106" s="2862"/>
      <c r="C106" s="2288" t="str">
        <f>B101</f>
        <v>总价（元）</v>
      </c>
      <c r="D106" s="1050">
        <f ca="1">H121</f>
        <v>5476390</v>
      </c>
      <c r="E106" s="2192"/>
      <c r="F106" s="2863" t="s">
        <v>1938</v>
      </c>
      <c r="G106" s="2864"/>
      <c r="H106" s="2291" t="str">
        <f>C109</f>
        <v>总额（元）</v>
      </c>
      <c r="I106" s="1049">
        <f>IF(D36="同一抵押权人同一抵押物续贷",C36&amp;"（未扣减，详见特别提示）",C36)</f>
        <v>0</v>
      </c>
      <c r="K106" s="2202" t="str">
        <f>IF(D123=0,"本次评估不存在"&amp;A123&amp;"。","本次评估"&amp;A123&amp;"为"&amp;D123&amp;"元人民币。")</f>
        <v>本次评估不存在——。</v>
      </c>
    </row>
    <row r="107" spans="1:35" ht="15">
      <c r="A107" s="2861"/>
      <c r="B107" s="2862"/>
      <c r="C107" s="2288" t="s">
        <v>1932</v>
      </c>
      <c r="D107" s="1051">
        <f ca="1">I121</f>
        <v>25066</v>
      </c>
      <c r="E107" s="2192"/>
      <c r="F107" s="2863" t="s">
        <v>1939</v>
      </c>
      <c r="G107" s="2864"/>
      <c r="H107" s="2291" t="str">
        <f>C110</f>
        <v>总额（元）</v>
      </c>
      <c r="I107" s="1049">
        <f>C37</f>
        <v>0</v>
      </c>
      <c r="K107" s="2292"/>
    </row>
    <row r="108" spans="1:35" ht="15">
      <c r="A108" s="2868" t="s">
        <v>1940</v>
      </c>
      <c r="B108" s="2869"/>
      <c r="C108" s="2291" t="str">
        <f>IF(H19="元","总额（元）","总额（万元）")</f>
        <v>总额（元）</v>
      </c>
      <c r="D108" s="1050">
        <f>IF(D36="正常操作",I106+I107+I108,I107+I108)</f>
        <v>0</v>
      </c>
      <c r="E108" s="2192"/>
      <c r="F108" s="2863" t="s">
        <v>1941</v>
      </c>
      <c r="G108" s="2864"/>
      <c r="H108" s="2291" t="str">
        <f>C111</f>
        <v>总额（元）</v>
      </c>
      <c r="I108" s="1049">
        <f>C38</f>
        <v>0</v>
      </c>
    </row>
    <row r="109" spans="1:35" ht="15.75">
      <c r="A109" s="2863" t="s">
        <v>1938</v>
      </c>
      <c r="B109" s="2864"/>
      <c r="C109" s="2291" t="str">
        <f>C108</f>
        <v>总额（元）</v>
      </c>
      <c r="D109" s="637">
        <f>IF(D36="同一抵押权人同一抵押物续贷",C36&amp;"（未扣减，详见特别提示）",C36)</f>
        <v>0</v>
      </c>
      <c r="E109" s="2192"/>
      <c r="F109" s="2946"/>
      <c r="G109" s="2947"/>
      <c r="H109" s="2933"/>
      <c r="I109" s="2934"/>
    </row>
    <row r="110" spans="1:35" ht="28.5" customHeight="1">
      <c r="A110" s="2863" t="s">
        <v>1939</v>
      </c>
      <c r="B110" s="2864"/>
      <c r="C110" s="2291" t="str">
        <f>C108</f>
        <v>总额（元）</v>
      </c>
      <c r="D110" s="637">
        <f>C37</f>
        <v>0</v>
      </c>
      <c r="E110" s="2192"/>
      <c r="F110" s="2849" t="str">
        <f>IF(项目基本情况!F5="已注销","——","3.房地产抵押价值")</f>
        <v>3.房地产抵押价值</v>
      </c>
      <c r="G110" s="2850"/>
      <c r="H110" s="2293" t="str">
        <f>C112</f>
        <v>总价（元）</v>
      </c>
      <c r="I110" s="1861">
        <f ca="1">IF(F110="——","——",I102-I105)</f>
        <v>5476390</v>
      </c>
    </row>
    <row r="111" spans="1:35" ht="15">
      <c r="A111" s="2863" t="s">
        <v>1941</v>
      </c>
      <c r="B111" s="2864"/>
      <c r="C111" s="2291" t="str">
        <f>C108</f>
        <v>总额（元）</v>
      </c>
      <c r="D111" s="637">
        <f>C38</f>
        <v>0</v>
      </c>
      <c r="E111" s="2192"/>
      <c r="F111" s="2965"/>
      <c r="G111" s="2966"/>
      <c r="H111" s="2288" t="s">
        <v>1932</v>
      </c>
      <c r="I111" s="2294">
        <f ca="1">D113</f>
        <v>25066</v>
      </c>
    </row>
    <row r="112" spans="1:35" ht="26.25" customHeight="1">
      <c r="A112" s="2861" t="str">
        <f>IF(项目基本情况!F5="已注销","——","3.房地产抵押价值")</f>
        <v>3.房地产抵押价值</v>
      </c>
      <c r="B112" s="2862"/>
      <c r="C112" s="2288" t="str">
        <f>B101</f>
        <v>总价（元）</v>
      </c>
      <c r="D112" s="1050">
        <f ca="1">IF(A112="——","——",D106-D108)</f>
        <v>5476390</v>
      </c>
      <c r="E112" s="2192"/>
      <c r="F112" s="2849" t="str">
        <f>IF(项目基本情况!F5="已注销及未注销","4.抵押担保权已注销时的房地产抵押价值",IF(项目基本情况!F5="已注销","3.抵押担保权已注销时的房地产抵押价值","——"))</f>
        <v>——</v>
      </c>
      <c r="G112" s="2850"/>
      <c r="H112" s="2293" t="str">
        <f>C114</f>
        <v>总价（元）</v>
      </c>
      <c r="I112" s="1861" t="str">
        <f>IF(F112="——","——",I102-I107-I108)</f>
        <v>——</v>
      </c>
    </row>
    <row r="113" spans="1:15" ht="15">
      <c r="A113" s="2861"/>
      <c r="B113" s="2862"/>
      <c r="C113" s="2288" t="s">
        <v>1932</v>
      </c>
      <c r="D113" s="1051">
        <f ca="1">ROUND(IF(D112=D106,D107,IF(H19="元",D112/项目基本情况!C12,D112*10000/项目基本情况!C12)),0)</f>
        <v>25066</v>
      </c>
      <c r="E113" s="2192"/>
      <c r="F113" s="2965"/>
      <c r="G113" s="2966"/>
      <c r="H113" s="2288" t="s">
        <v>1932</v>
      </c>
      <c r="I113" s="2295" t="str">
        <f>D115</f>
        <v>——</v>
      </c>
    </row>
    <row r="114" spans="1:15" ht="15.75" hidden="1">
      <c r="A114" s="2861" t="str">
        <f>IF(项目基本情况!F5="已注销及未注销","4.抵押担保权已注销时的房地产抵押价值",IF(项目基本情况!F5="已注销","3.抵押担保权已注销时的房地产抵押价值","——"))</f>
        <v>——</v>
      </c>
      <c r="B114" s="2862"/>
      <c r="C114" s="2288" t="str">
        <f>B101</f>
        <v>总价（元）</v>
      </c>
      <c r="D114" s="1050" t="str">
        <f>IF(A114="——","——",D106-D110-D111)</f>
        <v>——</v>
      </c>
      <c r="E114" s="2192"/>
      <c r="F114" s="2849" t="str">
        <f>IF(项目基本情况!G5="抵押净值",IF(OR(项目基本情况!F5="已注销",项目基本情况!F5="房地产抵押价值"),"4.抵押净值","5.抵押净值"),"——")</f>
        <v>——</v>
      </c>
      <c r="G114" s="2850"/>
      <c r="H114" s="2288" t="str">
        <f>C116</f>
        <v>总价（元）</v>
      </c>
      <c r="I114" s="1860" t="str">
        <f>IF(F114="——","——",N59)</f>
        <v>——</v>
      </c>
    </row>
    <row r="115" spans="1:15" ht="15.75" hidden="1" thickBot="1">
      <c r="A115" s="2861"/>
      <c r="B115" s="2862"/>
      <c r="C115" s="2288" t="s">
        <v>1932</v>
      </c>
      <c r="D115" s="1051" t="str">
        <f>IF(A114="——","——",ROUND(IF(D114=D106,D107,IF(H19="元",D114/项目基本情况!C12,D114*10000/项目基本情况!C12)),0))</f>
        <v>——</v>
      </c>
      <c r="E115" s="2192"/>
      <c r="F115" s="2851"/>
      <c r="G115" s="2852"/>
      <c r="H115" s="2296" t="s">
        <v>1932</v>
      </c>
      <c r="I115" s="1862" t="str">
        <f ca="1">D117</f>
        <v>——</v>
      </c>
    </row>
    <row r="116" spans="1:15" ht="15.75" hidden="1">
      <c r="A116" s="2861" t="str">
        <f>IF(项目基本情况!G5="抵押净值",IF(OR(项目基本情况!F5="已注销",项目基本情况!F5="房地产抵押价值"),"4.抵押净值","5.抵押净值"),"——")</f>
        <v>——</v>
      </c>
      <c r="B116" s="2862"/>
      <c r="C116" s="2288" t="str">
        <f>B101</f>
        <v>总价（元）</v>
      </c>
      <c r="D116" s="1050" t="str">
        <f>IF(A116="——","——",N59)</f>
        <v>——</v>
      </c>
      <c r="E116" s="2192"/>
      <c r="F116" s="2961"/>
      <c r="G116" s="2961"/>
      <c r="H116" s="2917"/>
      <c r="I116" s="2917"/>
      <c r="N116" s="55"/>
      <c r="O116" s="55"/>
    </row>
    <row r="117" spans="1:15" ht="15.75" hidden="1" thickBot="1">
      <c r="A117" s="2866"/>
      <c r="B117" s="2867"/>
      <c r="C117" s="2296" t="s">
        <v>1932</v>
      </c>
      <c r="D117" s="1052" t="str">
        <f ca="1">IF(D116=D112,D113,IF(A116="——","——",N61))</f>
        <v>——</v>
      </c>
      <c r="E117" s="2192"/>
      <c r="F117" s="2841" t="str">
        <f>IF(B32="总价","（以上估价结果中单价为总价除以建筑面积得出）","（以上估价结果中总价为楼面单价乘以建筑面积得出）")</f>
        <v>（以上估价结果中单价为总价除以建筑面积得出）</v>
      </c>
      <c r="G117" s="2841"/>
      <c r="H117" s="2841"/>
      <c r="I117" s="2841"/>
      <c r="N117" s="55"/>
      <c r="O117" s="55"/>
    </row>
    <row r="118" spans="1:15" ht="15" hidden="1">
      <c r="A118" s="2918" t="s">
        <v>1942</v>
      </c>
      <c r="B118" s="2919"/>
      <c r="C118" s="2919"/>
      <c r="D118" s="2919"/>
      <c r="E118" s="2919"/>
      <c r="F118" s="2919"/>
      <c r="G118" s="2919"/>
      <c r="H118" s="2919"/>
      <c r="I118" s="2919"/>
    </row>
    <row r="119" spans="1:15" ht="14.25" hidden="1">
      <c r="A119" s="2842" t="s">
        <v>1943</v>
      </c>
      <c r="B119" s="2872" t="s">
        <v>1944</v>
      </c>
      <c r="C119" s="2872" t="s">
        <v>1945</v>
      </c>
      <c r="D119" s="2944" t="s">
        <v>1946</v>
      </c>
      <c r="E119" s="2945"/>
      <c r="F119" s="2843" t="s">
        <v>1804</v>
      </c>
      <c r="G119" s="2843"/>
      <c r="H119" s="2843" t="s">
        <v>1947</v>
      </c>
      <c r="I119" s="2943"/>
    </row>
    <row r="120" spans="1:15" ht="14.25" hidden="1">
      <c r="A120" s="2842"/>
      <c r="B120" s="2873"/>
      <c r="C120" s="2873"/>
      <c r="D120" s="1885" t="s">
        <v>1948</v>
      </c>
      <c r="E120" s="1885" t="s">
        <v>1949</v>
      </c>
      <c r="F120" s="1885" t="s">
        <v>1948</v>
      </c>
      <c r="G120" s="1885" t="s">
        <v>1950</v>
      </c>
      <c r="H120" s="1885" t="s">
        <v>1948</v>
      </c>
      <c r="I120" s="637" t="s">
        <v>1950</v>
      </c>
    </row>
    <row r="121" spans="1:15" ht="14.25" hidden="1">
      <c r="A121" s="2178" t="str">
        <f>项目基本情况!I1</f>
        <v>北京市房地产</v>
      </c>
      <c r="B121" s="1885">
        <f>项目基本情况!C12</f>
        <v>218.48</v>
      </c>
      <c r="C121" s="1885">
        <f>项目基本情况!C13</f>
        <v>0</v>
      </c>
      <c r="D121" s="1885">
        <f ca="1">ROUND(IF(B32="总价",C34,IF('数据-取费表'!B3="万元",E121*B121/10000,E121*B121)),0)</f>
        <v>4726125</v>
      </c>
      <c r="E121" s="1885">
        <f ca="1">ROUND(IF(B32="楼面单价",C34,IF(H19="元",D121/B121,D121*10000/B121)),0)</f>
        <v>21632</v>
      </c>
      <c r="F121" s="1885">
        <f ca="1">ROUND(IF(B32="总价",C35,IF('数据-取费表'!B3="万元",G121*B121/10000,G121*B121)),0)</f>
        <v>750265</v>
      </c>
      <c r="G121" s="1885">
        <f ca="1">ROUND(IF(B32="楼面单价",C35,IF(H19="元",F121/B121,F121*10000/B121)),0)</f>
        <v>3434</v>
      </c>
      <c r="H121" s="1885">
        <f ca="1">ROUND(IF(B32="总价",C32,IF('数据-取费表'!B3="万元",I121*B121/10000,I121*B121)),0)</f>
        <v>5476390</v>
      </c>
      <c r="I121" s="637">
        <f ca="1">ROUND(IF(B32="楼面单价",C32,IF(H19="元",H121/B121,H121*10000/B121)),0)</f>
        <v>25066</v>
      </c>
    </row>
    <row r="122" spans="1:15" ht="14.25" hidden="1">
      <c r="A122" s="2842" t="s">
        <v>1951</v>
      </c>
      <c r="B122" s="2843"/>
      <c r="C122" s="2843"/>
      <c r="D122" s="2876" t="str">
        <f ca="1">IF(H19="元",NUMBERSTRING(INT(D121),2)&amp;"元整",NUMBERSTRING(INT(D121*10000),2)&amp;"元整")</f>
        <v>肆佰柒拾贰万陆仟壹佰贰拾伍元整</v>
      </c>
      <c r="E122" s="2923"/>
      <c r="F122" s="2876" t="str">
        <f ca="1">IF(H19="元",NUMBERSTRING(INT(F121),2)&amp;"元整",NUMBERSTRING(INT(F121*10000),2)&amp;"元整")</f>
        <v>柒拾伍万零贰佰陆拾伍元整</v>
      </c>
      <c r="G122" s="2923"/>
      <c r="H122" s="2876" t="str">
        <f ca="1">IF(H19="元",NUMBERSTRING(INT(H121),2)&amp;"元整",NUMBERSTRING(INT(H121*10000),2)&amp;"元整")</f>
        <v>伍佰肆拾柒万陆仟叁佰玖拾元整</v>
      </c>
      <c r="I122" s="2877"/>
    </row>
    <row r="123" spans="1:15" ht="15" hidden="1">
      <c r="A123" s="2924" t="str">
        <f>IF(项目基本情况!D5="房地产市场价值","——",MID(A108,3,LEN(A108)-2))</f>
        <v>——</v>
      </c>
      <c r="B123" s="2854"/>
      <c r="C123" s="2925"/>
      <c r="D123" s="2853">
        <f>I105</f>
        <v>0</v>
      </c>
      <c r="E123" s="2854"/>
      <c r="F123" s="2854"/>
      <c r="G123" s="2854"/>
      <c r="H123" s="2854"/>
      <c r="I123" s="2855"/>
    </row>
    <row r="124" spans="1:15" ht="14.25" hidden="1">
      <c r="A124" s="2926" t="s">
        <v>1951</v>
      </c>
      <c r="B124" s="2927"/>
      <c r="C124" s="2928"/>
      <c r="D124" s="2856">
        <f>H109</f>
        <v>0</v>
      </c>
      <c r="E124" s="2857"/>
      <c r="F124" s="2857"/>
      <c r="G124" s="2857"/>
      <c r="H124" s="2857"/>
      <c r="I124" s="2858"/>
    </row>
    <row r="125" spans="1:15" ht="15" hidden="1">
      <c r="A125" s="2859" t="str">
        <f>IF(项目基本情况!D5="房地产市场价值","——",MID(A112,3,LEN(A112)-2))</f>
        <v>——</v>
      </c>
      <c r="B125" s="2860"/>
      <c r="C125" s="2860"/>
      <c r="D125" s="2853">
        <f ca="1">I110</f>
        <v>5476390</v>
      </c>
      <c r="E125" s="2854"/>
      <c r="F125" s="2854"/>
      <c r="G125" s="2854"/>
      <c r="H125" s="2854"/>
      <c r="I125" s="2855"/>
    </row>
    <row r="126" spans="1:15" ht="14.25" hidden="1">
      <c r="A126" s="2842" t="s">
        <v>1951</v>
      </c>
      <c r="B126" s="2843"/>
      <c r="C126" s="2843"/>
      <c r="D126" s="2856">
        <f ca="1">I111</f>
        <v>25066</v>
      </c>
      <c r="E126" s="2857"/>
      <c r="F126" s="2857"/>
      <c r="G126" s="2857"/>
      <c r="H126" s="2857"/>
      <c r="I126" s="2858"/>
    </row>
    <row r="127" spans="1:15" ht="15.75" hidden="1" thickBot="1">
      <c r="A127" s="2859" t="str">
        <f>IF(项目基本情况!D5="房地产市场价值","——",MID(A114,3,LEN(A114)-2))</f>
        <v>——</v>
      </c>
      <c r="B127" s="2860"/>
      <c r="C127" s="2860"/>
      <c r="D127" s="2958" t="str">
        <f>I112</f>
        <v>——</v>
      </c>
      <c r="E127" s="2959"/>
      <c r="F127" s="2959"/>
      <c r="G127" s="2959"/>
      <c r="H127" s="2959"/>
      <c r="I127" s="2960"/>
    </row>
    <row r="128" spans="1:15" ht="15.75" hidden="1" thickTop="1" thickBot="1">
      <c r="A128" s="2842" t="s">
        <v>1951</v>
      </c>
      <c r="B128" s="2843"/>
      <c r="C128" s="2844"/>
      <c r="D128" s="2916" t="str">
        <f>I113</f>
        <v>——</v>
      </c>
      <c r="E128" s="2916"/>
      <c r="F128" s="2916"/>
      <c r="G128" s="2916"/>
      <c r="H128" s="2916"/>
      <c r="I128" s="2916"/>
    </row>
    <row r="129" spans="1:9" ht="16.5" hidden="1" thickTop="1" thickBot="1">
      <c r="A129" s="2859" t="str">
        <f>IF(项目基本情况!D5="房地产市场价值","——",MID(F114,3,LEN(F114)-2))</f>
        <v>——</v>
      </c>
      <c r="B129" s="2860"/>
      <c r="C129" s="2853"/>
      <c r="D129" s="2865" t="str">
        <f>I114</f>
        <v>——</v>
      </c>
      <c r="E129" s="2865"/>
      <c r="F129" s="2865"/>
      <c r="G129" s="2865"/>
      <c r="H129" s="2865"/>
      <c r="I129" s="2865"/>
    </row>
    <row r="130" spans="1:9" ht="15.75" hidden="1" thickTop="1" thickBot="1">
      <c r="A130" s="2870" t="s">
        <v>1951</v>
      </c>
      <c r="B130" s="2871"/>
      <c r="C130" s="2871"/>
      <c r="D130" s="2878">
        <f>H116</f>
        <v>0</v>
      </c>
      <c r="E130" s="2879"/>
      <c r="F130" s="2879"/>
      <c r="G130" s="2879"/>
      <c r="H130" s="2879"/>
      <c r="I130" s="2880"/>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840" t="str">
        <f>IF(B32="总价","（以上估价结果中楼面单价为总价除以建筑面积得出）","（以上估价结果中总价为楼面单价乘以建筑面积得出）")</f>
        <v>（以上估价结果中楼面单价为总价除以建筑面积得出）</v>
      </c>
      <c r="B132" s="2840"/>
      <c r="C132" s="2840"/>
      <c r="D132" s="2840"/>
      <c r="E132" s="2840"/>
      <c r="F132" s="2840"/>
      <c r="G132" s="2840"/>
      <c r="H132" s="2840"/>
      <c r="I132" s="2840"/>
    </row>
    <row r="133" spans="1:9" ht="21.75" customHeight="1">
      <c r="A133" s="2297" t="s">
        <v>1952</v>
      </c>
      <c r="B133" s="2298"/>
      <c r="C133" s="2299" t="s">
        <v>1953</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1954</v>
      </c>
      <c r="G139" s="2311"/>
      <c r="H139" s="2311"/>
      <c r="I139" s="2312" t="s">
        <v>1955</v>
      </c>
    </row>
    <row r="140" spans="1:9" ht="21.75" customHeight="1">
      <c r="A140" s="798"/>
      <c r="B140" s="2313"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1957</v>
      </c>
    </row>
    <row r="143" spans="1:9" ht="21.75" customHeight="1">
      <c r="A143" s="798"/>
      <c r="B143" s="2313" t="s">
        <v>1958</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1957</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1959</v>
      </c>
      <c r="B1" s="2192"/>
      <c r="C1" s="2192"/>
      <c r="D1" s="2192"/>
      <c r="E1" s="2192"/>
      <c r="F1" s="2192"/>
      <c r="G1" s="2192"/>
      <c r="H1" s="2192"/>
      <c r="I1" s="2192"/>
    </row>
    <row r="2" spans="1:12" ht="21.75" customHeight="1">
      <c r="A2" s="2977" t="s">
        <v>1960</v>
      </c>
      <c r="B2" s="2977"/>
      <c r="C2" s="2977"/>
      <c r="D2" s="2977"/>
      <c r="E2" s="2977"/>
      <c r="F2" s="2977"/>
      <c r="G2" s="2977"/>
      <c r="H2" s="2977"/>
      <c r="I2" s="2977"/>
    </row>
    <row r="3" spans="1:12" ht="12.75">
      <c r="A3" s="2907" t="s">
        <v>1764</v>
      </c>
      <c r="B3" s="2908"/>
      <c r="C3" s="2908"/>
      <c r="D3" s="2908"/>
      <c r="E3" s="2908"/>
      <c r="F3" s="2908"/>
      <c r="G3" s="2908"/>
      <c r="H3" s="2908"/>
      <c r="I3" s="2908"/>
    </row>
    <row r="4" spans="1:12" ht="14.25">
      <c r="A4" s="2194" t="s">
        <v>1765</v>
      </c>
      <c r="B4" s="2195" t="s">
        <v>1766</v>
      </c>
      <c r="C4" s="2196"/>
      <c r="D4" s="2196"/>
      <c r="E4" s="2888" t="s">
        <v>1961</v>
      </c>
      <c r="F4" s="2889"/>
      <c r="G4" s="2889"/>
      <c r="H4" s="2889"/>
      <c r="I4" s="2899"/>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1" t="s">
        <v>1768</v>
      </c>
      <c r="B5" s="2843">
        <v>25</v>
      </c>
      <c r="C5" s="2892"/>
      <c r="D5" s="2906"/>
      <c r="E5" s="56" t="s">
        <v>1769</v>
      </c>
      <c r="F5" s="2197"/>
      <c r="G5" s="2197"/>
      <c r="H5" s="2197"/>
      <c r="I5" s="2198"/>
    </row>
    <row r="6" spans="1:12" ht="12.75">
      <c r="A6" s="2881"/>
      <c r="B6" s="2843"/>
      <c r="C6" s="2909"/>
      <c r="D6" s="2906"/>
      <c r="E6" s="56" t="s">
        <v>1770</v>
      </c>
      <c r="F6" s="2197"/>
      <c r="G6" s="2197"/>
      <c r="H6" s="2197"/>
      <c r="I6" s="2198"/>
    </row>
    <row r="7" spans="1:12" ht="12.75">
      <c r="A7" s="2881"/>
      <c r="B7" s="2843"/>
      <c r="C7" s="2893"/>
      <c r="D7" s="2906"/>
      <c r="E7" s="56" t="s">
        <v>1771</v>
      </c>
      <c r="F7" s="2197"/>
      <c r="G7" s="2197"/>
      <c r="H7" s="2197"/>
      <c r="I7" s="2198"/>
    </row>
    <row r="8" spans="1:12" ht="12.75">
      <c r="A8" s="2881" t="s">
        <v>1772</v>
      </c>
      <c r="B8" s="2843">
        <v>15</v>
      </c>
      <c r="C8" s="2892"/>
      <c r="D8" s="2906"/>
      <c r="E8" s="56" t="s">
        <v>1773</v>
      </c>
      <c r="F8" s="2197"/>
      <c r="G8" s="2197"/>
      <c r="H8" s="2197"/>
      <c r="I8" s="2198"/>
    </row>
    <row r="9" spans="1:12" ht="12.75">
      <c r="A9" s="2881"/>
      <c r="B9" s="2843"/>
      <c r="C9" s="2893"/>
      <c r="D9" s="2906"/>
      <c r="E9" s="56" t="s">
        <v>1774</v>
      </c>
      <c r="F9" s="2197"/>
      <c r="G9" s="2197"/>
      <c r="H9" s="2197"/>
      <c r="I9" s="2198"/>
    </row>
    <row r="10" spans="1:12" ht="12.75">
      <c r="A10" s="2881" t="s">
        <v>1775</v>
      </c>
      <c r="B10" s="2843">
        <v>15</v>
      </c>
      <c r="C10" s="2892"/>
      <c r="D10" s="2906"/>
      <c r="E10" s="56" t="s">
        <v>1776</v>
      </c>
      <c r="F10" s="2197"/>
      <c r="G10" s="2197"/>
      <c r="H10" s="2197"/>
      <c r="I10" s="2198"/>
    </row>
    <row r="11" spans="1:12" ht="12.75">
      <c r="A11" s="2881"/>
      <c r="B11" s="2843"/>
      <c r="C11" s="2893"/>
      <c r="D11" s="2906"/>
      <c r="E11" s="56" t="s">
        <v>1777</v>
      </c>
      <c r="F11" s="2197"/>
      <c r="G11" s="2197"/>
      <c r="H11" s="2197"/>
      <c r="I11" s="2198"/>
    </row>
    <row r="12" spans="1:12" ht="12.75">
      <c r="A12" s="2881" t="s">
        <v>1778</v>
      </c>
      <c r="B12" s="2843">
        <v>15</v>
      </c>
      <c r="C12" s="2892"/>
      <c r="D12" s="2906"/>
      <c r="E12" s="56" t="s">
        <v>1779</v>
      </c>
      <c r="F12" s="2197"/>
      <c r="G12" s="2197"/>
      <c r="H12" s="2197"/>
      <c r="I12" s="2198"/>
    </row>
    <row r="13" spans="1:12" ht="12.75">
      <c r="A13" s="2881"/>
      <c r="B13" s="2843"/>
      <c r="C13" s="2893"/>
      <c r="D13" s="2906"/>
      <c r="E13" s="56" t="s">
        <v>1780</v>
      </c>
      <c r="F13" s="2197"/>
      <c r="G13" s="2197"/>
      <c r="H13" s="2197"/>
      <c r="I13" s="2198"/>
    </row>
    <row r="14" spans="1:12" ht="12.75">
      <c r="A14" s="2881" t="s">
        <v>1781</v>
      </c>
      <c r="B14" s="2843">
        <v>30</v>
      </c>
      <c r="C14" s="2892"/>
      <c r="D14" s="2906"/>
      <c r="E14" s="56" t="s">
        <v>1782</v>
      </c>
      <c r="F14" s="2197"/>
      <c r="G14" s="2197"/>
      <c r="H14" s="2197"/>
      <c r="I14" s="2198"/>
    </row>
    <row r="15" spans="1:12" ht="12.75">
      <c r="A15" s="2881"/>
      <c r="B15" s="2843"/>
      <c r="C15" s="2909"/>
      <c r="D15" s="2906"/>
      <c r="E15" s="56" t="s">
        <v>1783</v>
      </c>
      <c r="F15" s="2197"/>
      <c r="G15" s="2197"/>
      <c r="H15" s="2197"/>
      <c r="I15" s="2198"/>
    </row>
    <row r="16" spans="1:12" ht="12.75">
      <c r="A16" s="2881"/>
      <c r="B16" s="2843"/>
      <c r="C16" s="2893"/>
      <c r="D16" s="2906"/>
      <c r="E16" s="56" t="s">
        <v>1784</v>
      </c>
      <c r="F16" s="2197"/>
      <c r="G16" s="2197"/>
      <c r="H16" s="2197"/>
      <c r="I16" s="2198"/>
    </row>
    <row r="17" spans="1:35" ht="15">
      <c r="A17" s="2199" t="s">
        <v>1785</v>
      </c>
      <c r="B17" s="2200"/>
      <c r="C17" s="57">
        <f>SUM(C5:C16)</f>
        <v>0</v>
      </c>
      <c r="D17" s="57">
        <f>SUM(D5:D16)</f>
        <v>0</v>
      </c>
      <c r="E17" s="2192"/>
      <c r="F17" s="2192"/>
      <c r="G17" s="2192"/>
      <c r="H17" s="2192"/>
      <c r="I17" s="2192"/>
    </row>
    <row r="18" spans="1:35" ht="15.75" thickBot="1">
      <c r="A18" s="2201" t="s">
        <v>1786</v>
      </c>
      <c r="B18" s="2202"/>
      <c r="C18" s="58" t="e">
        <f>ROUND(C17/SUM(C17:D17),2)</f>
        <v>#DIV/0!</v>
      </c>
      <c r="D18" s="58" t="e">
        <f>1-C18</f>
        <v>#DIV/0!</v>
      </c>
      <c r="E18" s="2192"/>
      <c r="F18" s="2192"/>
      <c r="G18" s="2192"/>
      <c r="H18" s="2192"/>
      <c r="I18" s="2192"/>
    </row>
    <row r="19" spans="1:35" ht="15">
      <c r="A19" s="2203" t="s">
        <v>1787</v>
      </c>
      <c r="B19" s="2204" t="s">
        <v>1788</v>
      </c>
      <c r="C19" s="59" t="e">
        <f ca="1">SUMIF(INDIRECT("'"&amp;C4&amp;"'"&amp;"!A:A"),'结果表 (1修多)'!B19,INDIRECT("'"&amp;C4&amp;"'"&amp;"!B:B"))</f>
        <v>#REF!</v>
      </c>
      <c r="D19" s="60" t="e">
        <f ca="1">SUMIF(INDIRECT("'"&amp;D4&amp;"'"&amp;"!A:A"),'结果表 (1修多)'!B19,INDIRECT("'"&amp;D4&amp;"'"&amp;"!B:B"))</f>
        <v>#REF!</v>
      </c>
      <c r="E19" s="2203" t="s">
        <v>1789</v>
      </c>
      <c r="F19" s="2204" t="s">
        <v>1788</v>
      </c>
      <c r="G19" s="61" t="e">
        <f ca="1">ROUND(C19*$C$18+D19*$D$18,0)</f>
        <v>#REF!</v>
      </c>
      <c r="H19" s="2205" t="str">
        <f>'数据-取费表'!B3</f>
        <v>元</v>
      </c>
      <c r="I19" s="2192"/>
    </row>
    <row r="20" spans="1:35" ht="15">
      <c r="A20" s="2206"/>
      <c r="B20" s="2207" t="s">
        <v>1790</v>
      </c>
      <c r="C20" s="62" t="e">
        <f ca="1">SUMIF(INDIRECT("'"&amp;C4&amp;"'"&amp;"!A:A"),'结果表 (1修多)'!B20,INDIRECT("'"&amp;C4&amp;"'"&amp;"!B:B"))</f>
        <v>#REF!</v>
      </c>
      <c r="D20" s="63" t="e">
        <f ca="1">SUMIF(INDIRECT("'"&amp;D4&amp;"'"&amp;"!A:A"),'结果表 (1修多)'!B20,INDIRECT("'"&amp;D4&amp;"'"&amp;"!B:B"))</f>
        <v>#REF!</v>
      </c>
      <c r="E20" s="2206"/>
      <c r="F20" s="2207" t="s">
        <v>1790</v>
      </c>
      <c r="G20" s="64" t="e">
        <f ca="1">ROUND(C20*$C$18+D20*$D$18,0)</f>
        <v>#REF!</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2" t="s">
        <v>1793</v>
      </c>
      <c r="B24" s="2204" t="s">
        <v>1788</v>
      </c>
      <c r="C24" s="61">
        <f>D30</f>
        <v>0</v>
      </c>
      <c r="D24" s="994"/>
      <c r="E24" s="2192"/>
      <c r="F24" s="2192"/>
      <c r="G24" s="2192"/>
      <c r="H24" s="2192"/>
      <c r="I24" s="2192"/>
    </row>
    <row r="25" spans="1:35" ht="21.75" customHeight="1">
      <c r="A25" s="2913"/>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t="s">
        <v>1962</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1963</v>
      </c>
      <c r="B30" s="2715"/>
      <c r="C30" s="2715"/>
      <c r="D30" s="2715"/>
      <c r="E30" s="2713" t="s">
        <v>2801</v>
      </c>
      <c r="F30" s="2192"/>
      <c r="G30" s="2192"/>
      <c r="H30" s="2192"/>
      <c r="I30" s="2192"/>
    </row>
    <row r="31" spans="1:35" s="2219" customFormat="1" ht="15.75" thickBot="1">
      <c r="A31" s="2968" t="s">
        <v>1964</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1965</v>
      </c>
      <c r="C32" s="1307">
        <f>典型户型修正!R27</f>
        <v>0</v>
      </c>
      <c r="D32" s="2192" t="s">
        <v>1966</v>
      </c>
      <c r="E32" s="2192"/>
      <c r="F32" s="2192"/>
      <c r="G32" s="2192"/>
      <c r="H32" s="2192"/>
      <c r="I32" s="2192"/>
    </row>
    <row r="33" spans="1:16" ht="15">
      <c r="A33" s="2319" t="s">
        <v>1967</v>
      </c>
      <c r="B33" s="2320" t="s">
        <v>1968</v>
      </c>
      <c r="C33" s="1308">
        <f>典型户型修正!B2</f>
        <v>0</v>
      </c>
      <c r="D33" s="2321" t="str">
        <f>IF('数据-取费表'!B3="万元","万元","元")</f>
        <v>元</v>
      </c>
      <c r="E33" s="2192"/>
      <c r="F33" s="2192"/>
      <c r="G33" s="2192"/>
      <c r="H33" s="2192"/>
      <c r="I33" s="2192"/>
    </row>
    <row r="34" spans="1:16" ht="15.75" thickBot="1">
      <c r="A34" s="2322"/>
      <c r="B34" s="2323" t="s">
        <v>1969</v>
      </c>
      <c r="C34" s="771" t="e">
        <f>典型户型修正!B3</f>
        <v>#DIV/0!</v>
      </c>
      <c r="D34" s="2192" t="s">
        <v>1970</v>
      </c>
      <c r="E34" s="2192"/>
      <c r="F34" s="2192"/>
      <c r="G34" s="2192"/>
      <c r="H34" s="2192"/>
      <c r="I34" s="2192"/>
    </row>
    <row r="35" spans="1:16" ht="15">
      <c r="A35" s="2324"/>
      <c r="B35" s="2325" t="s">
        <v>1971</v>
      </c>
      <c r="C35" s="1315">
        <f>IF('数据-取费表'!B3="万元",典型户型修正!V25,典型户型修正!U25)</f>
        <v>0</v>
      </c>
      <c r="D35" s="2192" t="str">
        <f>D33</f>
        <v>元</v>
      </c>
      <c r="E35" s="2192"/>
      <c r="F35" s="2192"/>
      <c r="G35" s="2192"/>
      <c r="H35" s="2192"/>
      <c r="I35" s="2192"/>
    </row>
    <row r="36" spans="1:16" ht="15.75" thickBot="1">
      <c r="A36" s="2231"/>
      <c r="B36" s="2326" t="s">
        <v>1972</v>
      </c>
      <c r="C36" s="1316">
        <f>IF('数据-取费表'!B3="万元",典型户型修正!Y25,典型户型修正!X25)</f>
        <v>0</v>
      </c>
      <c r="D36" s="2192" t="str">
        <f>D33</f>
        <v>元</v>
      </c>
      <c r="E36" s="2192"/>
      <c r="F36" s="2192"/>
      <c r="G36" s="2192"/>
      <c r="H36" s="2192"/>
      <c r="I36" s="2192"/>
    </row>
    <row r="37" spans="1:16" ht="15.75" thickBot="1">
      <c r="A37" s="2894" t="s">
        <v>1973</v>
      </c>
      <c r="B37" s="2234" t="s">
        <v>1974</v>
      </c>
      <c r="C37" s="69"/>
      <c r="D37" s="2235"/>
      <c r="E37" s="2236"/>
      <c r="F37" s="2236"/>
      <c r="G37" s="2192"/>
      <c r="H37" s="2192"/>
      <c r="I37" s="2192"/>
    </row>
    <row r="38" spans="1:16" ht="15.75" thickBot="1">
      <c r="A38" s="2895"/>
      <c r="B38" s="2237" t="s">
        <v>1975</v>
      </c>
      <c r="C38" s="71"/>
      <c r="D38" s="2202"/>
      <c r="E38" s="2202"/>
      <c r="F38" s="2236"/>
      <c r="G38" s="2202"/>
      <c r="H38" s="2202"/>
      <c r="I38" s="2202"/>
    </row>
    <row r="39" spans="1:16" ht="15.75" thickBot="1">
      <c r="A39" s="2896"/>
      <c r="B39" s="2238" t="s">
        <v>1976</v>
      </c>
      <c r="C39" s="712"/>
      <c r="D39" s="2239" t="s">
        <v>1977</v>
      </c>
      <c r="E39" s="2202"/>
      <c r="F39" s="2236"/>
      <c r="G39" s="2202"/>
      <c r="H39" s="2202"/>
      <c r="I39" s="2202"/>
    </row>
    <row r="40" spans="1:16" ht="15">
      <c r="A40" s="2206" t="s">
        <v>1978</v>
      </c>
      <c r="B40" s="2240" t="s">
        <v>1979</v>
      </c>
      <c r="C40" s="2241" t="s">
        <v>1980</v>
      </c>
      <c r="D40" s="2241" t="s">
        <v>1981</v>
      </c>
      <c r="E40" s="2242" t="s">
        <v>1982</v>
      </c>
      <c r="F40" s="2236"/>
      <c r="G40" s="2202"/>
      <c r="H40" s="2202"/>
      <c r="I40" s="2202"/>
    </row>
    <row r="41" spans="1:16" ht="14.25">
      <c r="A41" s="2243" t="s">
        <v>1983</v>
      </c>
      <c r="B41" s="74"/>
      <c r="C41" s="75"/>
      <c r="D41" s="75"/>
      <c r="E41" s="76"/>
      <c r="F41" s="2236"/>
      <c r="G41" s="2202"/>
      <c r="H41" s="2202"/>
      <c r="I41" s="2202"/>
    </row>
    <row r="42" spans="1:16" ht="14.25">
      <c r="A42" s="2243" t="s">
        <v>1984</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1985</v>
      </c>
      <c r="B45" s="2249"/>
      <c r="C45" s="2249"/>
      <c r="D45" s="2250"/>
      <c r="E45" s="2250"/>
      <c r="F45" s="2251"/>
      <c r="G45" s="2251"/>
      <c r="H45" s="2251"/>
      <c r="I45" s="2251"/>
      <c r="J45" s="2252" t="s">
        <v>1816</v>
      </c>
      <c r="K45" s="2253"/>
      <c r="L45" s="2253"/>
      <c r="M45" s="2253"/>
      <c r="N45" s="2253"/>
      <c r="O45" s="2253"/>
      <c r="P45" s="1843"/>
    </row>
    <row r="46" spans="1:16" ht="14.25" customHeight="1" thickBot="1">
      <c r="A46" s="2900" t="s">
        <v>1986</v>
      </c>
      <c r="B46" s="2901"/>
      <c r="C46" s="2902"/>
      <c r="D46" s="80">
        <f>ROUND(I103*F46,0)</f>
        <v>0</v>
      </c>
      <c r="E46" s="81" t="s">
        <v>1987</v>
      </c>
      <c r="F46" s="82">
        <v>1</v>
      </c>
      <c r="G46" s="83" t="s">
        <v>1988</v>
      </c>
      <c r="H46" s="2192"/>
      <c r="I46" s="2192"/>
      <c r="J46" s="2962" t="s">
        <v>1820</v>
      </c>
      <c r="K46" s="2962"/>
      <c r="L46" s="2962"/>
      <c r="M46" s="2962"/>
      <c r="N46" s="2962"/>
      <c r="O46" s="2962"/>
      <c r="P46" s="1843"/>
    </row>
    <row r="47" spans="1:16" ht="14.25" customHeight="1">
      <c r="A47" s="2885" t="s">
        <v>1821</v>
      </c>
      <c r="B47" s="2886"/>
      <c r="C47" s="2886"/>
      <c r="D47" s="2886"/>
      <c r="E47" s="2886"/>
      <c r="F47" s="2886"/>
      <c r="G47" s="2887"/>
      <c r="H47" s="2254"/>
      <c r="I47" s="1143"/>
      <c r="J47" s="1881">
        <v>1</v>
      </c>
      <c r="K47" s="2962" t="s">
        <v>1822</v>
      </c>
      <c r="L47" s="2962"/>
      <c r="M47" s="2978"/>
      <c r="N47" s="2978"/>
      <c r="O47" s="2978"/>
      <c r="P47" s="1843"/>
    </row>
    <row r="48" spans="1:16" ht="12" customHeight="1">
      <c r="A48" s="85" t="s">
        <v>1823</v>
      </c>
      <c r="B48" s="86"/>
      <c r="C48" s="87"/>
      <c r="D48" s="88" t="s">
        <v>1824</v>
      </c>
      <c r="E48" s="14" t="s">
        <v>1825</v>
      </c>
      <c r="F48" s="89" t="s">
        <v>1826</v>
      </c>
      <c r="G48" s="90" t="s">
        <v>1827</v>
      </c>
      <c r="H48" s="2254"/>
      <c r="I48" s="1143"/>
      <c r="J48" s="1881">
        <v>2</v>
      </c>
      <c r="K48" s="2962" t="s">
        <v>1828</v>
      </c>
      <c r="L48" s="2962"/>
      <c r="M48" s="2964">
        <f>'数据-取费表'!B2</f>
        <v>43257</v>
      </c>
      <c r="N48" s="2964"/>
      <c r="O48" s="2964"/>
      <c r="P48" s="1843"/>
    </row>
    <row r="49" spans="1:16" ht="25.5">
      <c r="A49" s="2897" t="s">
        <v>1829</v>
      </c>
      <c r="B49" s="2898"/>
      <c r="C49" s="2898"/>
      <c r="D49" s="56">
        <f>IF(H49="情况1",0,IF(H49="情况2",D53,IF(H49="情况3",D54,IF(H49="情况4",D55))))</f>
        <v>0</v>
      </c>
      <c r="E49" s="1891" t="str">
        <f>IF(H49="情况4","(销售额-原购置价)×税（费）率","销售额×税（费）率")</f>
        <v>销售额×税（费）率</v>
      </c>
      <c r="F49" s="91">
        <f>IF(H49="情况1","免征",'数据-取费表'!E29)</f>
        <v>5.6000000000000001E-2</v>
      </c>
      <c r="G49" s="2255" t="s">
        <v>1830</v>
      </c>
      <c r="H49" s="2256" t="s">
        <v>1831</v>
      </c>
      <c r="I49" s="2254"/>
      <c r="J49" s="1881">
        <v>3</v>
      </c>
      <c r="K49" s="2962" t="s">
        <v>1832</v>
      </c>
      <c r="L49" s="2962"/>
      <c r="M49" s="2963">
        <f>I103</f>
        <v>0</v>
      </c>
      <c r="N49" s="2963"/>
      <c r="O49" s="2963"/>
      <c r="P49" s="1843"/>
    </row>
    <row r="50" spans="1:16" ht="25.5" customHeight="1">
      <c r="A50" s="92" t="s">
        <v>1833</v>
      </c>
      <c r="B50" s="2890" t="s">
        <v>1834</v>
      </c>
      <c r="C50" s="2890"/>
      <c r="D50" s="93">
        <v>0</v>
      </c>
      <c r="E50" s="13" t="s">
        <v>1835</v>
      </c>
      <c r="F50" s="18" t="s">
        <v>48</v>
      </c>
      <c r="G50" s="2955"/>
      <c r="H50" s="2192"/>
      <c r="I50" s="2257"/>
      <c r="J50" s="1881">
        <v>4</v>
      </c>
      <c r="K50" s="2962" t="str">
        <f>IF(项目基本情况!F5="房地产抵押价值","房地产抵押价值","抵押担保权已注销时的房地产抵押价值")</f>
        <v>抵押担保权已注销时的房地产抵押价值</v>
      </c>
      <c r="L50" s="2962"/>
      <c r="M50" s="2963" t="str">
        <f>IF(项目基本情况!F5="房地产抵押价值",I111,I113)</f>
        <v>——</v>
      </c>
      <c r="N50" s="2963"/>
      <c r="O50" s="2963"/>
      <c r="P50" s="1843"/>
    </row>
    <row r="51" spans="1:16" ht="25.5" customHeight="1">
      <c r="A51" s="94"/>
      <c r="B51" s="2890" t="s">
        <v>1836</v>
      </c>
      <c r="C51" s="2890"/>
      <c r="D51" s="95"/>
      <c r="E51" s="21"/>
      <c r="F51" s="96"/>
      <c r="G51" s="2956"/>
      <c r="H51" s="2192"/>
      <c r="I51" s="2257"/>
      <c r="J51" s="2962" t="s">
        <v>1837</v>
      </c>
      <c r="K51" s="2962"/>
      <c r="L51" s="2962"/>
      <c r="M51" s="2962"/>
      <c r="N51" s="2962"/>
      <c r="O51" s="2962"/>
      <c r="P51" s="1843"/>
    </row>
    <row r="52" spans="1:16" ht="12" customHeight="1">
      <c r="A52" s="97"/>
      <c r="B52" s="2890" t="s">
        <v>1838</v>
      </c>
      <c r="C52" s="2890"/>
      <c r="D52" s="98"/>
      <c r="E52" s="20"/>
      <c r="F52" s="96"/>
      <c r="G52" s="2957"/>
      <c r="H52" s="2192"/>
      <c r="I52" s="2257"/>
      <c r="J52" s="2258" t="s">
        <v>1839</v>
      </c>
      <c r="K52" s="2962" t="s">
        <v>1840</v>
      </c>
      <c r="L52" s="2962"/>
      <c r="M52" s="2258" t="s">
        <v>1841</v>
      </c>
      <c r="N52" s="2258" t="s">
        <v>1842</v>
      </c>
      <c r="O52" s="2258" t="s">
        <v>1843</v>
      </c>
      <c r="P52" s="1843"/>
    </row>
    <row r="53" spans="1:16" ht="24" customHeight="1">
      <c r="A53" s="99" t="s">
        <v>1844</v>
      </c>
      <c r="B53" s="2890" t="s">
        <v>1845</v>
      </c>
      <c r="C53" s="2890"/>
      <c r="D53" s="98">
        <f>ROUND(D46*'数据-取费表'!E29/(1+'数据-取费表'!F30),0)</f>
        <v>0</v>
      </c>
      <c r="E53" s="10" t="s">
        <v>1846</v>
      </c>
      <c r="F53" s="100">
        <f>'数据-取费表'!E29</f>
        <v>5.6000000000000001E-2</v>
      </c>
      <c r="G53" s="2259"/>
      <c r="H53" s="2192"/>
      <c r="I53" s="2257"/>
      <c r="J53" s="1881">
        <v>1</v>
      </c>
      <c r="K53" s="2922" t="s">
        <v>1847</v>
      </c>
      <c r="L53" s="2922"/>
      <c r="M53" s="778">
        <f>D49</f>
        <v>0</v>
      </c>
      <c r="N53" s="1881" t="str">
        <f>E49</f>
        <v>销售额×税（费）率</v>
      </c>
      <c r="O53" s="779">
        <f>F49</f>
        <v>5.6000000000000001E-2</v>
      </c>
      <c r="P53" s="1843"/>
    </row>
    <row r="54" spans="1:16" ht="12" customHeight="1">
      <c r="A54" s="99" t="s">
        <v>1848</v>
      </c>
      <c r="B54" s="2891" t="s">
        <v>1849</v>
      </c>
      <c r="C54" s="2821"/>
      <c r="D54" s="98">
        <f>ROUND(D46*'数据-取费表'!E29/(1+'数据-取费表'!F30),0)</f>
        <v>0</v>
      </c>
      <c r="E54" s="10" t="s">
        <v>1846</v>
      </c>
      <c r="F54" s="100">
        <f>'数据-取费表'!E29</f>
        <v>5.6000000000000001E-2</v>
      </c>
      <c r="G54" s="2259"/>
      <c r="H54" s="2192"/>
      <c r="I54" s="2257"/>
      <c r="J54" s="1881">
        <v>2</v>
      </c>
      <c r="K54" s="2922" t="s">
        <v>1850</v>
      </c>
      <c r="L54" s="2922"/>
      <c r="M54" s="778">
        <f t="shared" ref="M54:O55" si="1">D56</f>
        <v>0</v>
      </c>
      <c r="N54" s="1881" t="str">
        <f t="shared" si="1"/>
        <v>销售额×税（费）率</v>
      </c>
      <c r="O54" s="779">
        <f t="shared" si="1"/>
        <v>5.0000000000000001E-4</v>
      </c>
      <c r="P54" s="1843"/>
    </row>
    <row r="55" spans="1:16" ht="12" customHeight="1">
      <c r="A55" s="99" t="s">
        <v>1851</v>
      </c>
      <c r="B55" s="2891" t="s">
        <v>1852</v>
      </c>
      <c r="C55" s="2821"/>
      <c r="D55" s="98">
        <f>C69</f>
        <v>0</v>
      </c>
      <c r="E55" s="20" t="s">
        <v>1853</v>
      </c>
      <c r="F55" s="100">
        <f>'数据-取费表'!E29</f>
        <v>5.6000000000000001E-2</v>
      </c>
      <c r="G55" s="2259"/>
      <c r="H55" s="2260"/>
      <c r="I55" s="2257"/>
      <c r="J55" s="1881">
        <v>3</v>
      </c>
      <c r="K55" s="2922" t="s">
        <v>1854</v>
      </c>
      <c r="L55" s="2922"/>
      <c r="M55" s="778">
        <f t="shared" si="1"/>
        <v>0</v>
      </c>
      <c r="N55" s="1881" t="str">
        <f t="shared" si="1"/>
        <v>增值额×税（费）率</v>
      </c>
      <c r="O55" s="780" t="str">
        <f t="shared" si="1"/>
        <v>——</v>
      </c>
      <c r="P55" s="1843"/>
    </row>
    <row r="56" spans="1:16" ht="24" customHeight="1">
      <c r="A56" s="2813" t="s">
        <v>1855</v>
      </c>
      <c r="B56" s="2898"/>
      <c r="C56" s="2898"/>
      <c r="D56" s="101">
        <f>IF(H56="个人住宅",0,ROUND(D46*I56,0))</f>
        <v>0</v>
      </c>
      <c r="E56" s="10" t="s">
        <v>1856</v>
      </c>
      <c r="F56" s="100">
        <f>IF(H56="正常",I56,"免征")</f>
        <v>5.0000000000000001E-4</v>
      </c>
      <c r="G56" s="2259"/>
      <c r="H56" s="2256" t="s">
        <v>1857</v>
      </c>
      <c r="I56" s="102">
        <f>'数据-取费表'!E37</f>
        <v>5.0000000000000001E-4</v>
      </c>
      <c r="J56" s="1881" t="str">
        <f>IF(H60="非个人房产","",4)</f>
        <v/>
      </c>
      <c r="K56" s="2922" t="str">
        <f>IF(H60="非个人房产","——","个人所得税")</f>
        <v>——</v>
      </c>
      <c r="L56" s="2922"/>
      <c r="M56" s="781" t="str">
        <f>D60</f>
        <v>——</v>
      </c>
      <c r="N56" s="1884" t="str">
        <f>E60</f>
        <v>——</v>
      </c>
      <c r="O56" s="782" t="str">
        <f>F60</f>
        <v>——</v>
      </c>
      <c r="P56" s="1843"/>
    </row>
    <row r="57" spans="1:16" ht="24.75">
      <c r="A57" s="2813" t="s">
        <v>1858</v>
      </c>
      <c r="B57" s="2898"/>
      <c r="C57" s="2898"/>
      <c r="D57" s="101">
        <f>IF(H57="个人住宅",D58,D59)</f>
        <v>0</v>
      </c>
      <c r="E57" s="10" t="s">
        <v>1859</v>
      </c>
      <c r="F57" s="100" t="str">
        <f>IF(H57="正常",F59,"免征")</f>
        <v>——</v>
      </c>
      <c r="G57" s="2261" t="s">
        <v>1860</v>
      </c>
      <c r="H57" s="2262" t="s">
        <v>1857</v>
      </c>
      <c r="I57" s="1021"/>
      <c r="J57" s="1881" t="str">
        <f>IF(项目基本情况!I6="上海银行",IF(J56="",4,J56+1),"")</f>
        <v/>
      </c>
      <c r="K57" s="2940" t="str">
        <f>IF(项目基本情况!I6="上海银行","其他处置费用","")</f>
        <v/>
      </c>
      <c r="L57" s="2941"/>
      <c r="M57" s="778" t="str">
        <f>IF(项目基本情况!I6="上海银行",M70,"")</f>
        <v/>
      </c>
      <c r="N57" s="2953" t="str">
        <f>IF(项目基本情况!I6="上海银行","包含处置中涉及的律师、诉讼、拍卖、评估等费用","")</f>
        <v/>
      </c>
      <c r="O57" s="2954"/>
      <c r="P57" s="1843"/>
    </row>
    <row r="58" spans="1:16" ht="12.75">
      <c r="A58" s="99" t="s">
        <v>1833</v>
      </c>
      <c r="B58" s="2888" t="s">
        <v>1861</v>
      </c>
      <c r="C58" s="2899"/>
      <c r="D58" s="103">
        <v>0</v>
      </c>
      <c r="E58" s="13" t="s">
        <v>1835</v>
      </c>
      <c r="F58" s="70"/>
      <c r="G58" s="2259"/>
      <c r="H58" s="1021"/>
      <c r="I58" s="1021"/>
      <c r="J58" s="2922">
        <f>IF(AND(J56="",J57=""),4,IF(项目基本情况!I6="上海银行",J57+1,J56+1))</f>
        <v>4</v>
      </c>
      <c r="K58" s="2922" t="s">
        <v>1862</v>
      </c>
      <c r="L58" s="2263" t="s">
        <v>1863</v>
      </c>
      <c r="M58" s="783"/>
      <c r="N58" s="784">
        <f>SUMIF(M53:M57,"&lt;9e307")</f>
        <v>0</v>
      </c>
      <c r="O58" s="2264"/>
      <c r="P58" s="1839" t="e">
        <f>N58/M50</f>
        <v>#VALUE!</v>
      </c>
    </row>
    <row r="59" spans="1:16" ht="24.75">
      <c r="A59" s="99" t="s">
        <v>1844</v>
      </c>
      <c r="B59" s="2888" t="s">
        <v>1864</v>
      </c>
      <c r="C59" s="2889"/>
      <c r="D59" s="101">
        <f>IF(H59="转让取得",C82,C98)</f>
        <v>0</v>
      </c>
      <c r="E59" s="10" t="s">
        <v>1859</v>
      </c>
      <c r="F59" s="14" t="s">
        <v>48</v>
      </c>
      <c r="G59" s="2259"/>
      <c r="H59" s="2262" t="s">
        <v>1865</v>
      </c>
      <c r="I59" s="1021"/>
      <c r="J59" s="2922"/>
      <c r="K59" s="2922"/>
      <c r="L59" s="2263" t="s">
        <v>1866</v>
      </c>
      <c r="M59" s="785"/>
      <c r="N59" s="2265" t="str">
        <f>IF(H19="元",NUMBERSTRING(INT(N58),2)&amp;"元整",NUMBERSTRING(INT(N58*10000),2)&amp;"元整")</f>
        <v>零元整</v>
      </c>
      <c r="O59" s="2266"/>
      <c r="P59" s="1843"/>
    </row>
    <row r="60" spans="1:16" ht="24.75" thickBot="1">
      <c r="A60" s="2814" t="s">
        <v>1867</v>
      </c>
      <c r="B60" s="2817"/>
      <c r="C60" s="2817"/>
      <c r="D60" s="104" t="str">
        <f>IF(H60="非个人房产","——",IF(H60="个人住宅",0,ROUND(D46*I60,0)))</f>
        <v>——</v>
      </c>
      <c r="E60" s="105" t="str">
        <f>IF(H60="非个人房产","——","销售额×税（费）率")</f>
        <v>——</v>
      </c>
      <c r="F60" s="106" t="str">
        <f>IF(H60="非个人房产","——",IF(H60="个人住宅","免征",I60))</f>
        <v>——</v>
      </c>
      <c r="G60" s="2267" t="s">
        <v>1860</v>
      </c>
      <c r="H60" s="2262" t="s">
        <v>1989</v>
      </c>
      <c r="I60" s="107">
        <v>0.01</v>
      </c>
      <c r="J60" s="2920">
        <f>J58+1</f>
        <v>5</v>
      </c>
      <c r="K60" s="2922" t="s">
        <v>1869</v>
      </c>
      <c r="L60" s="1881" t="s">
        <v>1863</v>
      </c>
      <c r="M60" s="786"/>
      <c r="N60" s="787" t="e">
        <f>M50-N58</f>
        <v>#VALUE!</v>
      </c>
      <c r="O60" s="2268"/>
      <c r="P60" s="1843"/>
    </row>
    <row r="61" spans="1:16" ht="12" customHeight="1">
      <c r="A61" s="2064"/>
      <c r="B61" s="2192"/>
      <c r="C61" s="2192"/>
      <c r="D61" s="2192"/>
      <c r="E61" s="1021"/>
      <c r="F61" s="1021"/>
      <c r="G61" s="1021"/>
      <c r="H61" s="2245"/>
      <c r="I61" s="2192"/>
      <c r="J61" s="2921"/>
      <c r="K61" s="2922"/>
      <c r="L61" s="2263" t="s">
        <v>1866</v>
      </c>
      <c r="M61" s="785"/>
      <c r="N61" s="2265" t="e">
        <f>IF(H19="元",NUMBERSTRING(INT(N60),2)&amp;"元整",NUMBERSTRING(INT(N60*10000),2)&amp;"元整")</f>
        <v>#VALUE!</v>
      </c>
      <c r="O61" s="2266"/>
      <c r="P61" s="1843"/>
    </row>
    <row r="62" spans="1:16" ht="13.5" thickBot="1">
      <c r="A62" s="2903" t="s">
        <v>1870</v>
      </c>
      <c r="B62" s="2903"/>
      <c r="C62" s="2903"/>
      <c r="D62" s="2903"/>
      <c r="E62" s="2903"/>
      <c r="F62" s="1021"/>
      <c r="G62" s="1021"/>
      <c r="H62" s="2245"/>
      <c r="I62" s="2192"/>
      <c r="J62" s="1881">
        <f>J60+1</f>
        <v>6</v>
      </c>
      <c r="K62" s="2922" t="s">
        <v>1871</v>
      </c>
      <c r="L62" s="2922"/>
      <c r="M62" s="788"/>
      <c r="N62" s="789" t="e">
        <f>IF(H19="元",ROUND(N60/项目基本情况!C12,0),ROUND(N60*10000/项目基本情况!C12,0))</f>
        <v>#VALUE!</v>
      </c>
      <c r="O62" s="2269"/>
      <c r="P62" s="1843"/>
    </row>
    <row r="63" spans="1:16" ht="12.75">
      <c r="A63" s="2910" t="s">
        <v>1872</v>
      </c>
      <c r="B63" s="2911"/>
      <c r="C63" s="1883"/>
      <c r="D63" s="1883" t="s">
        <v>1873</v>
      </c>
      <c r="E63" s="108" t="s">
        <v>1874</v>
      </c>
      <c r="F63" s="1021"/>
      <c r="G63" s="1021"/>
      <c r="H63" s="2245"/>
      <c r="I63" s="2192"/>
      <c r="J63" s="1843"/>
      <c r="K63" s="1843"/>
      <c r="L63" s="1843"/>
      <c r="M63" s="1843"/>
      <c r="N63" s="1843"/>
      <c r="O63" s="1843"/>
      <c r="P63" s="1843"/>
    </row>
    <row r="64" spans="1:16" ht="12.75">
      <c r="A64" s="109">
        <v>1</v>
      </c>
      <c r="B64" s="110" t="s">
        <v>1875</v>
      </c>
      <c r="C64" s="111">
        <f>ROUND((C65+C66)/(1+'数据-取费表'!F30),0)</f>
        <v>0</v>
      </c>
      <c r="D64" s="112"/>
      <c r="E64" s="113"/>
      <c r="F64" s="1021"/>
      <c r="G64" s="1021"/>
      <c r="H64" s="2245"/>
      <c r="I64" s="2192"/>
      <c r="J64" s="2942" t="s">
        <v>1876</v>
      </c>
      <c r="K64" s="2270" t="s">
        <v>1877</v>
      </c>
      <c r="L64" s="1842" t="e">
        <f>IF(M50&gt;10000,M50*0.5%,IF(AND(M50&gt;1000,M50&lt;=10000),M50*1%,IF(AND(M50&gt;100,M50&lt;=1000),M50*3%,IF(AND(M50&gt;10,M50&lt;=100),M50*5%,M50*8%))))</f>
        <v>#VALUE!</v>
      </c>
      <c r="M64" s="14" t="e">
        <f>ROUND(L64,1)</f>
        <v>#VALUE!</v>
      </c>
      <c r="N64" s="1843"/>
      <c r="O64" s="1843"/>
      <c r="P64" s="1843"/>
    </row>
    <row r="65" spans="1:35" ht="12.75">
      <c r="A65" s="114" t="s">
        <v>71</v>
      </c>
      <c r="B65" s="115" t="s">
        <v>1878</v>
      </c>
      <c r="C65" s="116">
        <f>D46</f>
        <v>0</v>
      </c>
      <c r="D65" s="117" t="s">
        <v>41</v>
      </c>
      <c r="E65" s="118"/>
      <c r="F65" s="1021"/>
      <c r="G65" s="1021"/>
      <c r="H65" s="2245"/>
      <c r="I65" s="2192"/>
      <c r="J65" s="2942"/>
      <c r="K65" s="2270" t="s">
        <v>1879</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1880</v>
      </c>
      <c r="O65" s="1843"/>
      <c r="P65" s="1843"/>
    </row>
    <row r="66" spans="1:35" ht="12.75">
      <c r="A66" s="114" t="s">
        <v>72</v>
      </c>
      <c r="B66" s="115" t="s">
        <v>1881</v>
      </c>
      <c r="C66" s="119"/>
      <c r="D66" s="117"/>
      <c r="E66" s="118"/>
      <c r="F66" s="1021"/>
      <c r="G66" s="1021"/>
      <c r="H66" s="2245"/>
      <c r="I66" s="2192"/>
      <c r="J66" s="2942"/>
      <c r="K66" s="2270" t="s">
        <v>1882</v>
      </c>
      <c r="L66" s="1842" t="e">
        <f>IF(M50&gt;1000,M50*0.1%,IF(AND(M50&gt;500,M50&lt;=1000),M50*0.5%,IF(AND(M50&gt;50,M50&lt;=500),M50*1%,IF(AND(M50&gt;1,M50&lt;=50),M50*1.5%))))</f>
        <v>#VALUE!</v>
      </c>
      <c r="M66" s="14" t="e">
        <f t="shared" si="2"/>
        <v>#VALUE!</v>
      </c>
      <c r="N66" s="1843" t="s">
        <v>1880</v>
      </c>
      <c r="O66" s="1843"/>
      <c r="P66" s="1843"/>
    </row>
    <row r="67" spans="1:35" ht="12.75">
      <c r="A67" s="120" t="s">
        <v>47</v>
      </c>
      <c r="B67" s="121" t="s">
        <v>1883</v>
      </c>
      <c r="C67" s="122"/>
      <c r="D67" s="123" t="s">
        <v>41</v>
      </c>
      <c r="E67" s="1859" t="s">
        <v>1884</v>
      </c>
      <c r="F67" s="1021"/>
      <c r="G67" s="1021"/>
      <c r="H67" s="2245"/>
      <c r="I67" s="2192"/>
      <c r="J67" s="2942"/>
      <c r="K67" s="2270" t="s">
        <v>1885</v>
      </c>
      <c r="L67" s="1842" t="e">
        <f>M50*0.5%</f>
        <v>#VALUE!</v>
      </c>
      <c r="M67" s="14" t="e">
        <f>IF(L67&gt;0.5,0.5,ROUND(L67,0))</f>
        <v>#VALUE!</v>
      </c>
      <c r="N67" s="1843" t="s">
        <v>1886</v>
      </c>
      <c r="O67" s="1843"/>
      <c r="P67" s="1843"/>
    </row>
    <row r="68" spans="1:35" ht="12.75">
      <c r="A68" s="120" t="s">
        <v>42</v>
      </c>
      <c r="B68" s="121" t="s">
        <v>1887</v>
      </c>
      <c r="C68" s="124">
        <f>C64-C67</f>
        <v>0</v>
      </c>
      <c r="D68" s="117" t="s">
        <v>41</v>
      </c>
      <c r="E68" s="118"/>
      <c r="F68" s="1021"/>
      <c r="G68" s="1021"/>
      <c r="H68" s="2245"/>
      <c r="I68" s="2192"/>
      <c r="J68" s="2942"/>
      <c r="K68" s="2270" t="s">
        <v>1888</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1889</v>
      </c>
      <c r="C69" s="127">
        <f>IF(C68&lt;=0,0,ROUND(C68*D69,0))</f>
        <v>0</v>
      </c>
      <c r="D69" s="128">
        <f>'数据-取费表'!E29</f>
        <v>5.6000000000000001E-2</v>
      </c>
      <c r="E69" s="129"/>
      <c r="F69" s="1021"/>
      <c r="G69" s="1021"/>
      <c r="H69" s="2245"/>
      <c r="I69" s="2192"/>
      <c r="J69" s="2942"/>
      <c r="K69" s="2270" t="s">
        <v>1890</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1"/>
      <c r="G70" s="1021"/>
      <c r="H70" s="2245"/>
      <c r="I70" s="2192"/>
      <c r="J70" s="2942"/>
      <c r="K70" s="2270" t="s">
        <v>1891</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914" t="s">
        <v>1892</v>
      </c>
      <c r="B71" s="2915"/>
      <c r="C71" s="2915"/>
      <c r="D71" s="2915"/>
      <c r="E71" s="2915"/>
      <c r="F71" s="2915"/>
      <c r="G71" s="2915"/>
      <c r="H71" s="2915"/>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10" t="s">
        <v>1872</v>
      </c>
      <c r="B72" s="2911"/>
      <c r="C72" s="1883"/>
      <c r="D72" s="1883" t="s">
        <v>1873</v>
      </c>
      <c r="E72" s="130" t="s">
        <v>1874</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1893</v>
      </c>
      <c r="C73" s="124">
        <f>ROUND(D46/(1+'数据-取费表'!F30),0)</f>
        <v>0</v>
      </c>
      <c r="D73" s="117" t="s">
        <v>41</v>
      </c>
      <c r="E73" s="1886"/>
      <c r="F73" s="1887"/>
      <c r="G73" s="1887"/>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1895</v>
      </c>
      <c r="C74" s="124">
        <f>C75+C79</f>
        <v>0</v>
      </c>
      <c r="D74" s="117" t="s">
        <v>41</v>
      </c>
      <c r="E74" s="1886"/>
      <c r="F74" s="1887"/>
      <c r="G74" s="1887"/>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1896</v>
      </c>
      <c r="C75" s="117">
        <f>ROUND(IF(G78="2016年5月1日后购买",C76/(1+'数据-取费表'!F30)+C77+C78,C76+C77+C78),0)</f>
        <v>0</v>
      </c>
      <c r="D75" s="117" t="s">
        <v>41</v>
      </c>
      <c r="E75" s="1886"/>
      <c r="F75" s="1887"/>
      <c r="G75" s="1887"/>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1897</v>
      </c>
      <c r="C76" s="137"/>
      <c r="D76" s="117" t="s">
        <v>41</v>
      </c>
      <c r="E76" s="138" t="s">
        <v>1898</v>
      </c>
      <c r="F76" s="2281" t="s">
        <v>1899</v>
      </c>
      <c r="G76" s="138" t="s">
        <v>1900</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1901</v>
      </c>
      <c r="C77" s="117">
        <f>IF(F76="购房发票",ROUND(C76*H76*D77,0),0)</f>
        <v>0</v>
      </c>
      <c r="D77" s="141">
        <v>0.05</v>
      </c>
      <c r="E77" s="2891" t="s">
        <v>1902</v>
      </c>
      <c r="F77" s="2890"/>
      <c r="G77" s="2890"/>
      <c r="H77" s="2905"/>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2" t="s">
        <v>1905</v>
      </c>
      <c r="H78" s="1888"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1906</v>
      </c>
      <c r="C79" s="144">
        <f>ROUND(D46*D79/(1+'数据-取费表'!F30),0)</f>
        <v>0</v>
      </c>
      <c r="D79" s="145">
        <f>'数据-取费表'!E31</f>
        <v>6.000000000000001E-3</v>
      </c>
      <c r="E79" s="2882" t="s">
        <v>1907</v>
      </c>
      <c r="F79" s="2883"/>
      <c r="G79" s="2883"/>
      <c r="H79" s="2884"/>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1908</v>
      </c>
      <c r="C80" s="124">
        <f>C73-C74</f>
        <v>0</v>
      </c>
      <c r="D80" s="117" t="s">
        <v>41</v>
      </c>
      <c r="E80" s="1886"/>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14" t="s">
        <v>1911</v>
      </c>
      <c r="B84" s="2915"/>
      <c r="C84" s="2915"/>
      <c r="D84" s="2915"/>
      <c r="E84" s="2915"/>
      <c r="F84" s="2915"/>
      <c r="G84" s="2915"/>
      <c r="H84" s="2915"/>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10" t="s">
        <v>1872</v>
      </c>
      <c r="B85" s="2911"/>
      <c r="C85" s="1883"/>
      <c r="D85" s="1883" t="s">
        <v>1873</v>
      </c>
      <c r="E85" s="130" t="s">
        <v>1874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1893</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1895</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1912</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1913</v>
      </c>
      <c r="C89" s="157"/>
      <c r="D89" s="145"/>
      <c r="E89" s="158" t="s">
        <v>1914</v>
      </c>
      <c r="F89" s="1880"/>
      <c r="G89" s="159" t="s">
        <v>1915</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1903</v>
      </c>
      <c r="C90" s="144">
        <f>ROUND(C89*D90,0)</f>
        <v>0</v>
      </c>
      <c r="D90" s="145">
        <f>'数据-取费表'!E36+'数据-取费表'!E37</f>
        <v>3.0499999999999999E-2</v>
      </c>
      <c r="E90" s="158" t="s">
        <v>1916</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1917</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1918</v>
      </c>
      <c r="C92" s="144">
        <f>IF(H92="——",成本法!C33,I92)</f>
        <v>0</v>
      </c>
      <c r="D92" s="145"/>
      <c r="E92" s="2882" t="s">
        <v>1919</v>
      </c>
      <c r="F92" s="2883"/>
      <c r="G92" s="2883"/>
      <c r="H92" s="2285" t="s">
        <v>1920</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1921</v>
      </c>
      <c r="C93" s="144">
        <f>ROUND((C88+C91+C92)*D93,0)</f>
        <v>0</v>
      </c>
      <c r="D93" s="145">
        <v>0.1</v>
      </c>
      <c r="E93" s="2882" t="s">
        <v>1922</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1906</v>
      </c>
      <c r="C94" s="144">
        <f>ROUND(D46*D94/(1+'数据-取费表'!F30),0)</f>
        <v>0</v>
      </c>
      <c r="D94" s="145">
        <f>'数据-取费表'!E31</f>
        <v>6.000000000000001E-3</v>
      </c>
      <c r="E94" s="2882" t="s">
        <v>1907</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1923</v>
      </c>
      <c r="C95" s="144">
        <f>ROUND((C88+C91+C92)*D95,0)</f>
        <v>0</v>
      </c>
      <c r="D95" s="145">
        <v>0.2</v>
      </c>
      <c r="E95" s="2882" t="s">
        <v>1924</v>
      </c>
      <c r="F95" s="2883"/>
      <c r="G95" s="2883"/>
      <c r="H95" s="2884"/>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1908</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1925</v>
      </c>
      <c r="B99" s="2192"/>
      <c r="C99" s="2192"/>
      <c r="D99" s="2192"/>
      <c r="E99" s="1021"/>
      <c r="F99" s="1021"/>
      <c r="G99" s="1021"/>
      <c r="H99" s="2245"/>
      <c r="I99" s="2192"/>
    </row>
    <row r="100" spans="1:35" ht="15.75">
      <c r="A100" s="2937" t="s">
        <v>1926</v>
      </c>
      <c r="B100" s="2938"/>
      <c r="C100" s="2938"/>
      <c r="D100" s="2939"/>
      <c r="E100" s="2192"/>
      <c r="F100" s="2948" t="s">
        <v>1927</v>
      </c>
      <c r="G100" s="2949"/>
      <c r="H100" s="2949"/>
      <c r="I100" s="2950"/>
    </row>
    <row r="101" spans="1:35" ht="15.75">
      <c r="A101" s="2951" t="s">
        <v>1928</v>
      </c>
      <c r="B101" s="2952"/>
      <c r="C101" s="720">
        <f>C4</f>
        <v>0</v>
      </c>
      <c r="D101" s="721">
        <f>D4</f>
        <v>0</v>
      </c>
      <c r="E101" s="2192"/>
      <c r="F101" s="2847" t="s">
        <v>1929</v>
      </c>
      <c r="G101" s="2848"/>
      <c r="H101" s="2973" t="s">
        <v>1930</v>
      </c>
      <c r="I101" s="2846"/>
    </row>
    <row r="102" spans="1:35" ht="15.75">
      <c r="A102" s="2974" t="s">
        <v>1990</v>
      </c>
      <c r="B102" s="2287" t="str">
        <f>IF(H19="元","总价（元）","总价（万元）")</f>
        <v>总价（元）</v>
      </c>
      <c r="C102" s="720" t="e">
        <f ca="1">C19</f>
        <v>#REF!</v>
      </c>
      <c r="D102" s="721" t="e">
        <f ca="1">D19</f>
        <v>#REF!</v>
      </c>
      <c r="E102" s="2192"/>
      <c r="F102" s="2975"/>
      <c r="G102" s="2976"/>
      <c r="H102" s="2845">
        <f>典型户型修正!B25</f>
        <v>0</v>
      </c>
      <c r="I102" s="2846"/>
    </row>
    <row r="103" spans="1:35" ht="15.75">
      <c r="A103" s="2974"/>
      <c r="B103" s="2287" t="s">
        <v>1932</v>
      </c>
      <c r="C103" s="722" t="e">
        <f ca="1">C20</f>
        <v>#REF!</v>
      </c>
      <c r="D103" s="723" t="e">
        <f ca="1">D20</f>
        <v>#REF!</v>
      </c>
      <c r="E103" s="2192"/>
      <c r="F103" s="2874" t="s">
        <v>1933</v>
      </c>
      <c r="G103" s="2875"/>
      <c r="H103" s="2288" t="str">
        <f>C109</f>
        <v>总价（元）</v>
      </c>
      <c r="I103" s="1860">
        <f>H124</f>
        <v>0</v>
      </c>
    </row>
    <row r="104" spans="1:35" ht="15">
      <c r="A104" s="2974" t="s">
        <v>1991</v>
      </c>
      <c r="B104" s="2289" t="str">
        <f>B102</f>
        <v>总价（元）</v>
      </c>
      <c r="C104" s="1189" t="e">
        <f ca="1">ROUND(IF('数据-取费表'!B4="总价",G19,IF(H19="元",G20*'数据-取费表'!E5,G20*'数据-取费表'!E5/10000)),0)</f>
        <v>#REF!</v>
      </c>
      <c r="D104" s="725"/>
      <c r="E104" s="2192"/>
      <c r="F104" s="2874"/>
      <c r="G104" s="2875"/>
      <c r="H104" s="2288" t="s">
        <v>1932</v>
      </c>
      <c r="I104" s="1049" t="e">
        <f>I124</f>
        <v>#DIV/0!</v>
      </c>
    </row>
    <row r="105" spans="1:35" ht="15.75">
      <c r="A105" s="2974"/>
      <c r="B105" s="2287" t="s">
        <v>1932</v>
      </c>
      <c r="C105" s="1190" t="e">
        <f ca="1">ROUND(IF('数据-取费表'!B4="楼面单价",G20,IF(H19="元",G19/'数据-取费表'!E5,G19*10000/'数据-取费表'!E5)),0)</f>
        <v>#REF!</v>
      </c>
      <c r="D105" s="725"/>
      <c r="E105" s="2192"/>
      <c r="F105" s="2946"/>
      <c r="G105" s="2947"/>
      <c r="H105" s="2931"/>
      <c r="I105" s="2932"/>
    </row>
    <row r="106" spans="1:35" ht="15.75">
      <c r="A106" s="2967" t="s">
        <v>1992</v>
      </c>
      <c r="B106" s="2327" t="str">
        <f>B102</f>
        <v>总价（元）</v>
      </c>
      <c r="C106" s="724">
        <f>H124</f>
        <v>0</v>
      </c>
      <c r="D106" s="1188"/>
      <c r="E106" s="2192"/>
      <c r="F106" s="2935" t="s">
        <v>1936</v>
      </c>
      <c r="G106" s="2936"/>
      <c r="H106" s="2291" t="str">
        <f>C111</f>
        <v>总额（元）</v>
      </c>
      <c r="I106" s="1860">
        <f>SUMIF(I107:I109,"&lt;9E307")</f>
        <v>0</v>
      </c>
    </row>
    <row r="107" spans="1:35" ht="15.75" thickBot="1">
      <c r="A107" s="2930"/>
      <c r="B107" s="2290" t="s">
        <v>1932</v>
      </c>
      <c r="C107" s="726" t="e">
        <f>I124</f>
        <v>#DIV/0!</v>
      </c>
      <c r="D107" s="727"/>
      <c r="E107" s="2192"/>
      <c r="F107" s="2863" t="s">
        <v>1938</v>
      </c>
      <c r="G107" s="2864"/>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70" t="s">
        <v>1935</v>
      </c>
      <c r="B108" s="2971"/>
      <c r="C108" s="2971"/>
      <c r="D108" s="2972"/>
      <c r="E108" s="2192"/>
      <c r="F108" s="2863" t="s">
        <v>1939</v>
      </c>
      <c r="G108" s="2864"/>
      <c r="H108" s="2291" t="str">
        <f>C113</f>
        <v>总额（元）</v>
      </c>
      <c r="I108" s="1049">
        <f>C38</f>
        <v>0</v>
      </c>
      <c r="K108" s="2292"/>
    </row>
    <row r="109" spans="1:35" ht="15">
      <c r="A109" s="2861" t="s">
        <v>1993</v>
      </c>
      <c r="B109" s="2862"/>
      <c r="C109" s="2288" t="str">
        <f>B102</f>
        <v>总价（元）</v>
      </c>
      <c r="D109" s="1050">
        <f>H124</f>
        <v>0</v>
      </c>
      <c r="E109" s="2192"/>
      <c r="F109" s="2863" t="s">
        <v>1941</v>
      </c>
      <c r="G109" s="2864"/>
      <c r="H109" s="2291" t="str">
        <f>C114</f>
        <v>总额（元）</v>
      </c>
      <c r="I109" s="1049">
        <f>C39</f>
        <v>0</v>
      </c>
    </row>
    <row r="110" spans="1:35" ht="15.75">
      <c r="A110" s="2861"/>
      <c r="B110" s="2862"/>
      <c r="C110" s="2288" t="s">
        <v>1932</v>
      </c>
      <c r="D110" s="1051" t="e">
        <f>I124</f>
        <v>#DIV/0!</v>
      </c>
      <c r="E110" s="2192"/>
      <c r="F110" s="2946"/>
      <c r="G110" s="2947"/>
      <c r="H110" s="2933"/>
      <c r="I110" s="2934"/>
    </row>
    <row r="111" spans="1:35" ht="28.5" customHeight="1">
      <c r="A111" s="2868" t="s">
        <v>1940</v>
      </c>
      <c r="B111" s="2869"/>
      <c r="C111" s="2291" t="str">
        <f>IF(H19="元","总额（元）","总额（万元）")</f>
        <v>总额（元）</v>
      </c>
      <c r="D111" s="1050">
        <f>IF(D37="正常操作",I107+I108+I109,I108+I109)</f>
        <v>0</v>
      </c>
      <c r="E111" s="2192"/>
      <c r="F111" s="2849" t="str">
        <f>IF(项目基本情况!F5="已注销","——","3.房地产抵押价值")</f>
        <v>3.房地产抵押价值</v>
      </c>
      <c r="G111" s="2850"/>
      <c r="H111" s="2328" t="str">
        <f>C115</f>
        <v>总价（元）</v>
      </c>
      <c r="I111" s="1860">
        <f>IF(F111="——","——",I103-I106)</f>
        <v>0</v>
      </c>
    </row>
    <row r="112" spans="1:35" ht="15">
      <c r="A112" s="2863" t="s">
        <v>1938</v>
      </c>
      <c r="B112" s="2864"/>
      <c r="C112" s="2291" t="str">
        <f>C111</f>
        <v>总额（元）</v>
      </c>
      <c r="D112" s="637">
        <f>IF(D37="同一抵押权人同一抵押物续贷",C37&amp;"（未扣减，详见特别提示）",C37)</f>
        <v>0</v>
      </c>
      <c r="E112" s="2192"/>
      <c r="F112" s="2965"/>
      <c r="G112" s="2966"/>
      <c r="H112" s="2288" t="s">
        <v>1932</v>
      </c>
      <c r="I112" s="2294" t="e">
        <f>D116</f>
        <v>#DIV/0!</v>
      </c>
    </row>
    <row r="113" spans="1:26" ht="15.75">
      <c r="A113" s="2863" t="s">
        <v>1939</v>
      </c>
      <c r="B113" s="2864"/>
      <c r="C113" s="2291" t="str">
        <f>C111</f>
        <v>总额（元）</v>
      </c>
      <c r="D113" s="637">
        <f>C38</f>
        <v>0</v>
      </c>
      <c r="E113" s="2192"/>
      <c r="F113" s="2849" t="str">
        <f>IF(项目基本情况!F5="已注销及未注销","4.抵押担保权已注销时的房地产抵押价值",IF(项目基本情况!F5="已注销","3.抵押担保权已注销时的房地产抵押价值","——"))</f>
        <v>——</v>
      </c>
      <c r="G113" s="2850"/>
      <c r="H113" s="2328" t="str">
        <f>C117</f>
        <v>总价（元）</v>
      </c>
      <c r="I113" s="1860" t="str">
        <f>IF(F113="——","——",I103-I108-I109)</f>
        <v>——</v>
      </c>
    </row>
    <row r="114" spans="1:26" ht="15">
      <c r="A114" s="2863" t="s">
        <v>1941</v>
      </c>
      <c r="B114" s="2864"/>
      <c r="C114" s="2291" t="str">
        <f>C111</f>
        <v>总额（元）</v>
      </c>
      <c r="D114" s="637">
        <f>C39</f>
        <v>0</v>
      </c>
      <c r="E114" s="2192"/>
      <c r="F114" s="2965"/>
      <c r="G114" s="2966"/>
      <c r="H114" s="2288" t="s">
        <v>1932</v>
      </c>
      <c r="I114" s="1049" t="str">
        <f>D118</f>
        <v>——</v>
      </c>
    </row>
    <row r="115" spans="1:26" ht="15.75">
      <c r="A115" s="2861" t="str">
        <f>IF(项目基本情况!F5="已注销","——","3.房地产抵押价值")</f>
        <v>3.房地产抵押价值</v>
      </c>
      <c r="B115" s="2862"/>
      <c r="C115" s="2288" t="str">
        <f>B102</f>
        <v>总价（元）</v>
      </c>
      <c r="D115" s="1050">
        <f>IF(A115="——","——",D109-D111)</f>
        <v>0</v>
      </c>
      <c r="E115" s="2192"/>
      <c r="F115" s="2849" t="str">
        <f>IF(项目基本情况!G5="抵押净值",IF(OR(项目基本情况!F5="已注销",项目基本情况!F5="房地产抵押价值"),"4.抵押净值","5.抵押净值"),"——")</f>
        <v>——</v>
      </c>
      <c r="G115" s="2850"/>
      <c r="H115" s="2288" t="str">
        <f>C119</f>
        <v>总价（元）</v>
      </c>
      <c r="I115" s="1860" t="str">
        <f>IF(F115="——","——",N60)</f>
        <v>——</v>
      </c>
    </row>
    <row r="116" spans="1:26" ht="15.75" thickBot="1">
      <c r="A116" s="2861"/>
      <c r="B116" s="2862"/>
      <c r="C116" s="2288" t="s">
        <v>1994</v>
      </c>
      <c r="D116" s="1051" t="e">
        <f>ROUND(IF(D115=D109,D110,IF(H19="元",D115/B124,D115*10000/B124)),0)</f>
        <v>#DIV/0!</v>
      </c>
      <c r="E116" s="2192"/>
      <c r="F116" s="2851"/>
      <c r="G116" s="2852"/>
      <c r="H116" s="2296" t="s">
        <v>1994</v>
      </c>
      <c r="I116" s="1862" t="str">
        <f>D120</f>
        <v>——</v>
      </c>
    </row>
    <row r="117" spans="1:26" ht="15.75">
      <c r="A117" s="2861" t="str">
        <f>IF(项目基本情况!F5="已注销及未注销","4.抵押担保权已注销时的房地产抵押价值",IF(项目基本情况!F5="已注销","3.抵押担保权已注销时的房地产抵押价值","——"))</f>
        <v>——</v>
      </c>
      <c r="B117" s="2862"/>
      <c r="C117" s="2288" t="str">
        <f>B102</f>
        <v>总价（元）</v>
      </c>
      <c r="D117" s="1050" t="str">
        <f>IF(A117="——","——",D109-D113-D114)</f>
        <v>——</v>
      </c>
      <c r="E117" s="2192"/>
      <c r="F117" s="2961"/>
      <c r="G117" s="2961"/>
      <c r="H117" s="2917"/>
      <c r="I117" s="2917"/>
      <c r="N117" s="55"/>
      <c r="O117" s="55"/>
    </row>
    <row r="118" spans="1:26" s="1843" customFormat="1" ht="15">
      <c r="A118" s="2861"/>
      <c r="B118" s="2862"/>
      <c r="C118" s="2288" t="s">
        <v>1994</v>
      </c>
      <c r="D118" s="1051" t="str">
        <f>IF(A117="——","——",IF(H19="元",ROUND(D117/B124,0),ROUND(D117*10000/B124,0)))</f>
        <v>——</v>
      </c>
      <c r="E118" s="2192"/>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3" customFormat="1" ht="15">
      <c r="A119" s="2861" t="str">
        <f>IF(项目基本情况!G5="抵押净值",IF(OR(项目基本情况!F5="已注销",项目基本情况!F5="房地产抵押价值"),"4.抵押净值","5.抵押净值"),"——")</f>
        <v>——</v>
      </c>
      <c r="B119" s="2862"/>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66"/>
      <c r="B120" s="2867"/>
      <c r="C120" s="2296" t="s">
        <v>1994</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918" t="s">
        <v>1995</v>
      </c>
      <c r="B121" s="2919"/>
      <c r="C121" s="2919"/>
      <c r="D121" s="2919"/>
      <c r="E121" s="2919"/>
      <c r="F121" s="2919"/>
      <c r="G121" s="2919"/>
      <c r="H121" s="2919"/>
      <c r="I121" s="2919"/>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42" t="s">
        <v>1943</v>
      </c>
      <c r="B122" s="2872" t="s">
        <v>1996</v>
      </c>
      <c r="C122" s="2872" t="s">
        <v>1997</v>
      </c>
      <c r="D122" s="2944" t="s">
        <v>1946</v>
      </c>
      <c r="E122" s="2945"/>
      <c r="F122" s="2843" t="s">
        <v>1998</v>
      </c>
      <c r="G122" s="2843"/>
      <c r="H122" s="2843" t="s">
        <v>1947</v>
      </c>
      <c r="I122" s="2943"/>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42"/>
      <c r="B123" s="2873"/>
      <c r="C123" s="2873"/>
      <c r="D123" s="1885" t="s">
        <v>1948</v>
      </c>
      <c r="E123" s="1885" t="s">
        <v>1949</v>
      </c>
      <c r="F123" s="1885" t="s">
        <v>1948</v>
      </c>
      <c r="G123" s="1885" t="s">
        <v>1950</v>
      </c>
      <c r="H123" s="1885"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42" t="s">
        <v>1951</v>
      </c>
      <c r="B125" s="2843"/>
      <c r="C125" s="2843"/>
      <c r="D125" s="2876" t="str">
        <f>IF(H19="元",NUMBERSTRING(INT(D124),2)&amp;"元整",NUMBERSTRING(INT(D124*10000),2)&amp;"元整")</f>
        <v>零元整</v>
      </c>
      <c r="E125" s="2923"/>
      <c r="F125" s="2876" t="str">
        <f>IF(H19="元",NUMBERSTRING(INT(F124),2)&amp;"元整",NUMBERSTRING(INT(F124*10000),2)&amp;"元整")</f>
        <v>零元整</v>
      </c>
      <c r="G125" s="2923"/>
      <c r="H125" s="2876" t="str">
        <f>IF(H19="元",NUMBERSTRING(INT(H124),2)&amp;"元整",NUMBERSTRING(INT(H124*10000),2)&amp;"元整")</f>
        <v>零元整</v>
      </c>
      <c r="I125" s="2877"/>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4" t="str">
        <f>IF(项目基本情况!D5="房地产市场价值","——",MID(A111,3,LEN(A111)-2))</f>
        <v>——</v>
      </c>
      <c r="B126" s="2854"/>
      <c r="C126" s="2925"/>
      <c r="D126" s="2853">
        <f>I106</f>
        <v>0</v>
      </c>
      <c r="E126" s="2854"/>
      <c r="F126" s="2854"/>
      <c r="G126" s="2854"/>
      <c r="H126" s="2854"/>
      <c r="I126" s="2855"/>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6" t="s">
        <v>1951</v>
      </c>
      <c r="B127" s="2927"/>
      <c r="C127" s="2928"/>
      <c r="D127" s="2856">
        <f>H110</f>
        <v>0</v>
      </c>
      <c r="E127" s="2857"/>
      <c r="F127" s="2857"/>
      <c r="G127" s="2857"/>
      <c r="H127" s="2857"/>
      <c r="I127" s="2858"/>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9" t="str">
        <f>IF(项目基本情况!D5="房地产市场价值","——",MID(A115,3,LEN(A115)-2))</f>
        <v>——</v>
      </c>
      <c r="B128" s="2860"/>
      <c r="C128" s="2860"/>
      <c r="D128" s="2853">
        <f>I111</f>
        <v>0</v>
      </c>
      <c r="E128" s="2854"/>
      <c r="F128" s="2854"/>
      <c r="G128" s="2854"/>
      <c r="H128" s="2854"/>
      <c r="I128" s="2855"/>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42" t="s">
        <v>1951</v>
      </c>
      <c r="B129" s="2843"/>
      <c r="C129" s="2843"/>
      <c r="D129" s="2856" t="e">
        <f>I112</f>
        <v>#DIV/0!</v>
      </c>
      <c r="E129" s="2857"/>
      <c r="F129" s="2857"/>
      <c r="G129" s="2857"/>
      <c r="H129" s="2857"/>
      <c r="I129" s="2858"/>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9" t="str">
        <f>IF(项目基本情况!D5="房地产市场价值","——",MID(A117,3,LEN(A117)-2))</f>
        <v>——</v>
      </c>
      <c r="B130" s="2860"/>
      <c r="C130" s="2860"/>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42" t="s">
        <v>1951</v>
      </c>
      <c r="B131" s="2843"/>
      <c r="C131" s="2844"/>
      <c r="D131" s="2916" t="str">
        <f>I114</f>
        <v>——</v>
      </c>
      <c r="E131" s="2916"/>
      <c r="F131" s="2916"/>
      <c r="G131" s="2916"/>
      <c r="H131" s="2916"/>
      <c r="I131" s="2916"/>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9" t="str">
        <f>IF(项目基本情况!D5="房地产市场价值","——",MID(F115,3,LEN(F115)-2))</f>
        <v>——</v>
      </c>
      <c r="B132" s="2860"/>
      <c r="C132" s="2853"/>
      <c r="D132" s="2865" t="str">
        <f>I115</f>
        <v>——</v>
      </c>
      <c r="E132" s="2865"/>
      <c r="F132" s="2865"/>
      <c r="G132" s="2865"/>
      <c r="H132" s="2865"/>
      <c r="I132" s="2865"/>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70" t="s">
        <v>1951</v>
      </c>
      <c r="B133" s="2871"/>
      <c r="C133" s="2871"/>
      <c r="D133" s="2878">
        <f>H117</f>
        <v>0</v>
      </c>
      <c r="E133" s="2879"/>
      <c r="F133" s="2879"/>
      <c r="G133" s="2879"/>
      <c r="H133" s="2879"/>
      <c r="I133" s="2880"/>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40" t="str">
        <f>IF(B32="总价","（以上估价结果中楼面单价为总价除以建筑面积得出）","（以上估价结果中总价为楼面单价乘以建筑面积得出）")</f>
        <v>（以上估价结果中总价为楼面单价乘以建筑面积得出）</v>
      </c>
      <c r="B135" s="2840"/>
      <c r="C135" s="2840"/>
      <c r="D135" s="2840"/>
      <c r="E135" s="2840"/>
      <c r="F135" s="2840"/>
      <c r="G135" s="2840"/>
      <c r="H135" s="2840"/>
      <c r="I135" s="2840"/>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1952</v>
      </c>
      <c r="B136" s="2298"/>
      <c r="C136" s="2299" t="s">
        <v>1953</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1954</v>
      </c>
      <c r="G142" s="2311"/>
      <c r="H142" s="2311"/>
      <c r="I142" s="2312" t="s">
        <v>1955</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1957</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1957</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20"/>
      <c r="C1" s="162"/>
      <c r="D1" s="162"/>
      <c r="E1" s="162"/>
      <c r="F1" s="162"/>
      <c r="G1" s="163"/>
    </row>
    <row r="2" spans="1:7" s="164" customFormat="1" ht="18" customHeight="1">
      <c r="A2" s="165" t="s">
        <v>2000</v>
      </c>
      <c r="B2" s="166">
        <f ca="1">IF(D2="——",IF(C2="元",C52,ROUND(C52/10000,0)),IF(C2="元",C52,ROUND(C52/10000,0))-E2)</f>
        <v>2464977</v>
      </c>
      <c r="C2" s="163" t="str">
        <f>'数据-取费表'!B3</f>
        <v>元</v>
      </c>
      <c r="D2" s="2330" t="s">
        <v>1253</v>
      </c>
      <c r="E2" s="1544" t="e">
        <f ca="1">SUMIF(INDIRECT("'"&amp;G2&amp;"'"&amp;"!A:A"),"承租人权益价值",INDIRECT("'"&amp;G2&amp;"'"&amp;"!c:c"))</f>
        <v>#REF!</v>
      </c>
      <c r="F2" s="2331" t="str">
        <f>C2</f>
        <v>元</v>
      </c>
      <c r="G2" s="1904"/>
    </row>
    <row r="3" spans="1:7" s="164" customFormat="1" ht="18" customHeight="1" thickBot="1">
      <c r="A3" s="167" t="s">
        <v>2001</v>
      </c>
      <c r="B3" s="168">
        <f ca="1">ROUND(C52/IF(B1="仅计算典型户型",'数据-取费表'!E5,'数据-取费表'!B5),0)</f>
        <v>11282</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1030504.37</v>
      </c>
      <c r="D5" s="195" t="s">
        <v>2006</v>
      </c>
      <c r="E5" s="1530" t="s">
        <v>2007</v>
      </c>
      <c r="F5" s="1530" t="s">
        <v>2008</v>
      </c>
      <c r="G5" s="174"/>
    </row>
    <row r="6" spans="1:7" s="175" customFormat="1" ht="13.5" customHeight="1">
      <c r="A6" s="176" t="s">
        <v>2009</v>
      </c>
      <c r="B6" s="177" t="s">
        <v>2010</v>
      </c>
      <c r="C6" s="1529">
        <v>1000000</v>
      </c>
      <c r="D6" s="1531"/>
      <c r="E6" s="1532"/>
      <c r="F6" s="1532"/>
      <c r="G6" s="179"/>
    </row>
    <row r="7" spans="1:7" s="175" customFormat="1" ht="13.5" customHeight="1">
      <c r="A7" s="176" t="s">
        <v>2011</v>
      </c>
      <c r="B7" s="177" t="s">
        <v>2012</v>
      </c>
      <c r="C7" s="199">
        <f>ROUND(C6*F7,0)</f>
        <v>30500</v>
      </c>
      <c r="D7" s="199"/>
      <c r="E7" s="1532"/>
      <c r="F7" s="1533">
        <f>'数据-取费表'!E36+'数据-取费表'!E37</f>
        <v>3.0499999999999999E-2</v>
      </c>
      <c r="G7" s="179"/>
    </row>
    <row r="8" spans="1:7" s="180" customFormat="1">
      <c r="A8" s="176" t="s">
        <v>2013</v>
      </c>
      <c r="B8" s="177" t="s">
        <v>2014</v>
      </c>
      <c r="C8" s="199">
        <f>IF(G8="已包含在土地购买价格中","0",'数据-取费表'!E13)</f>
        <v>4.37</v>
      </c>
      <c r="D8" s="1534"/>
      <c r="E8" s="199"/>
      <c r="F8" s="1533"/>
      <c r="G8" s="2332"/>
    </row>
    <row r="9" spans="1:7" s="175" customFormat="1" ht="13.5" customHeight="1">
      <c r="A9" s="1303" t="s">
        <v>953</v>
      </c>
      <c r="B9" s="181" t="s">
        <v>2015</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954</v>
      </c>
      <c r="B10" s="181" t="s">
        <v>2016</v>
      </c>
      <c r="C10" s="1535">
        <f>ROUND(D10*E10,0)</f>
        <v>43696</v>
      </c>
      <c r="D10" s="1536">
        <f>IF('数据-取费表'!B10&lt;&gt;"住宅",IF(B1="仅计算典型户型",'数据-取费表'!E5,'数据-取费表'!B5),0)</f>
        <v>218.48</v>
      </c>
      <c r="E10" s="1535">
        <f>'数据-取费表'!E12</f>
        <v>200</v>
      </c>
      <c r="F10" s="1533"/>
      <c r="G10" s="182"/>
    </row>
    <row r="11" spans="1:7" s="175" customFormat="1" ht="13.5" hidden="1" customHeight="1">
      <c r="A11" s="176" t="s">
        <v>4</v>
      </c>
      <c r="B11" s="177" t="s">
        <v>2017</v>
      </c>
      <c r="C11" s="195"/>
      <c r="D11" s="199"/>
      <c r="E11" s="1532"/>
      <c r="F11" s="1532"/>
      <c r="G11" s="179"/>
    </row>
    <row r="12" spans="1:7" s="175" customFormat="1" ht="13.5" hidden="1" customHeight="1">
      <c r="A12" s="176" t="s">
        <v>5</v>
      </c>
      <c r="B12" s="177" t="s">
        <v>2018</v>
      </c>
      <c r="C12" s="195">
        <v>0</v>
      </c>
      <c r="D12" s="199"/>
      <c r="E12" s="1537"/>
      <c r="F12" s="1533">
        <v>3.0499999999999999E-2</v>
      </c>
      <c r="G12" s="179"/>
    </row>
    <row r="13" spans="1:7" s="175" customFormat="1" ht="13.5" hidden="1" customHeight="1">
      <c r="A13" s="176" t="s">
        <v>6</v>
      </c>
      <c r="B13" s="177" t="s">
        <v>2019</v>
      </c>
      <c r="C13" s="195"/>
      <c r="D13" s="199"/>
      <c r="E13" s="1532"/>
      <c r="F13" s="1532"/>
      <c r="G13" s="179"/>
    </row>
    <row r="14" spans="1:7" s="175" customFormat="1" ht="13.5" hidden="1" customHeight="1">
      <c r="A14" s="176" t="s">
        <v>7</v>
      </c>
      <c r="B14" s="177" t="s">
        <v>2014</v>
      </c>
      <c r="C14" s="195"/>
      <c r="D14" s="199"/>
      <c r="E14" s="1532"/>
      <c r="F14" s="1532"/>
      <c r="G14" s="179" t="s">
        <v>2020</v>
      </c>
    </row>
    <row r="15" spans="1:7" s="175" customFormat="1" ht="13.5" hidden="1" customHeight="1">
      <c r="A15" s="176" t="s">
        <v>8</v>
      </c>
      <c r="B15" s="177" t="s">
        <v>2021</v>
      </c>
      <c r="C15" s="199"/>
      <c r="D15" s="199"/>
      <c r="E15" s="1532"/>
      <c r="F15" s="1532"/>
      <c r="G15" s="179" t="s">
        <v>2022</v>
      </c>
    </row>
    <row r="16" spans="1:7" s="175" customFormat="1" ht="13.5" hidden="1" customHeight="1">
      <c r="A16" s="176" t="s">
        <v>9</v>
      </c>
      <c r="B16" s="177" t="s">
        <v>2014</v>
      </c>
      <c r="C16" s="199"/>
      <c r="D16" s="199"/>
      <c r="E16" s="1532"/>
      <c r="F16" s="1532"/>
      <c r="G16" s="179"/>
    </row>
    <row r="17" spans="1:7" s="175" customFormat="1" ht="13.5" hidden="1" customHeight="1">
      <c r="A17" s="176" t="s">
        <v>10</v>
      </c>
      <c r="B17" s="177" t="s">
        <v>2023</v>
      </c>
      <c r="C17" s="1538"/>
      <c r="D17" s="1538"/>
      <c r="E17" s="1538"/>
      <c r="F17" s="1538"/>
      <c r="G17" s="179" t="s">
        <v>2022</v>
      </c>
    </row>
    <row r="18" spans="1:7" s="175" customFormat="1" ht="13.5" hidden="1" customHeight="1">
      <c r="A18" s="176" t="s">
        <v>11</v>
      </c>
      <c r="B18" s="177" t="s">
        <v>2024</v>
      </c>
      <c r="C18" s="199">
        <v>0</v>
      </c>
      <c r="D18" s="199"/>
      <c r="E18" s="1532"/>
      <c r="F18" s="1533">
        <v>3.0499999999999999E-2</v>
      </c>
      <c r="G18" s="179" t="s">
        <v>2025</v>
      </c>
    </row>
    <row r="19" spans="1:7" s="180" customFormat="1" ht="13.5" customHeight="1">
      <c r="A19" s="204" t="s">
        <v>2026</v>
      </c>
      <c r="B19" s="173" t="s">
        <v>2027</v>
      </c>
      <c r="C19" s="195">
        <f>IF(G19="已包含在土地取得成本中","0",ROUND(D19*E19,0))</f>
        <v>43696</v>
      </c>
      <c r="D19" s="1539">
        <f>IF(B1="仅计算典型户型",'数据-取费表'!E5,'数据-取费表'!B5)</f>
        <v>218.48</v>
      </c>
      <c r="E19" s="195">
        <f>'数据-取费表'!E15</f>
        <v>200</v>
      </c>
      <c r="F19" s="196"/>
      <c r="G19" s="2332"/>
    </row>
    <row r="20" spans="1:7" s="175" customFormat="1" ht="13.5" customHeight="1">
      <c r="A20" s="204" t="s">
        <v>2028</v>
      </c>
      <c r="B20" s="173" t="s">
        <v>2029</v>
      </c>
      <c r="C20" s="183">
        <f>ROUND((C5+C19)*F20,0)</f>
        <v>21484</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105493</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3">
        <f ca="1">ROUND(IF('数据-取费表'!B23&lt;=1,C5*F22*'数据-取费表'!B24,C5*(POWER((1+F22),'数据-取费表'!B24)-1)),0)</f>
        <v>100223</v>
      </c>
      <c r="D23" s="188"/>
      <c r="E23" s="188"/>
      <c r="F23" s="189"/>
      <c r="G23" s="190" t="s">
        <v>2039</v>
      </c>
    </row>
    <row r="24" spans="1:7" s="175" customFormat="1" ht="13.5" customHeight="1">
      <c r="A24" s="176" t="s">
        <v>2011</v>
      </c>
      <c r="B24" s="177" t="s">
        <v>2040</v>
      </c>
      <c r="C24" s="1453">
        <f ca="1">ROUND(IF('数据-取费表'!B23&lt;=1,C19*F22*('数据-取费表'!B20/2+'数据-取费表'!B22),C19*(POWER((1+F22),('数据-取费表'!B20/2+'数据-取费表'!B22))-1)),0)</f>
        <v>4250</v>
      </c>
      <c r="D24" s="188"/>
      <c r="E24" s="188"/>
      <c r="F24" s="189"/>
      <c r="G24" s="190" t="s">
        <v>2041</v>
      </c>
    </row>
    <row r="25" spans="1:7" s="175" customFormat="1" ht="24">
      <c r="A25" s="176" t="s">
        <v>2013</v>
      </c>
      <c r="B25" s="177" t="s">
        <v>2042</v>
      </c>
      <c r="C25" s="1453">
        <f ca="1">ROUND(IF('数据-取费表'!B23&lt;=1,C20*F22*'数据-取费表'!B24/2,C20*(POWER((1+F22),'数据-取费表'!B24/2)-1)),0)</f>
        <v>1020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4" t="s">
        <v>2046</v>
      </c>
      <c r="B27" s="194" t="s">
        <v>2047</v>
      </c>
      <c r="C27" s="195">
        <f>C28</f>
        <v>219137</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219137</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4"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1540973</v>
      </c>
      <c r="D31" s="1539"/>
      <c r="E31" s="195"/>
      <c r="F31" s="1540"/>
      <c r="G31" s="184" t="s">
        <v>2055</v>
      </c>
    </row>
    <row r="32" spans="1:7" s="172" customFormat="1" ht="15.75">
      <c r="A32" s="201" t="s">
        <v>2056</v>
      </c>
      <c r="B32" s="202"/>
      <c r="C32" s="1541"/>
      <c r="D32" s="1541"/>
      <c r="E32" s="1541"/>
      <c r="F32" s="1541"/>
      <c r="G32" s="203"/>
    </row>
    <row r="33" spans="1:7" s="175" customFormat="1" ht="13.5" customHeight="1">
      <c r="A33" s="204" t="s">
        <v>2057</v>
      </c>
      <c r="B33" s="173" t="s">
        <v>2058</v>
      </c>
      <c r="C33" s="205">
        <f>SUM(C34:C38)</f>
        <v>858080</v>
      </c>
      <c r="D33" s="183"/>
      <c r="E33" s="1530"/>
      <c r="F33" s="191"/>
      <c r="G33" s="184"/>
    </row>
    <row r="34" spans="1:7" s="206" customFormat="1" ht="13.5" customHeight="1">
      <c r="A34" s="176" t="s">
        <v>2037</v>
      </c>
      <c r="B34" s="177" t="s">
        <v>2059</v>
      </c>
      <c r="C34" s="199">
        <f>IF(B1="仅计算典型户型",'数据-取费表'!F18,'数据-取费表'!E18)</f>
        <v>764680</v>
      </c>
      <c r="D34" s="1531"/>
      <c r="E34" s="199"/>
      <c r="F34" s="1542" t="str">
        <f>IF('数据-取费表'!B25=0,"",'数据-取费表'!E20)</f>
        <v/>
      </c>
      <c r="G34" s="179"/>
    </row>
    <row r="35" spans="1:7" ht="13.5" customHeight="1">
      <c r="A35" s="176" t="s">
        <v>2011</v>
      </c>
      <c r="B35" s="177" t="s">
        <v>2060</v>
      </c>
      <c r="C35" s="199">
        <f>ROUND(C34*F35,0)</f>
        <v>38234</v>
      </c>
      <c r="D35" s="199"/>
      <c r="E35" s="199"/>
      <c r="F35" s="1543">
        <f>'数据-取费表'!E21</f>
        <v>0.05</v>
      </c>
      <c r="G35" s="179" t="s">
        <v>2061</v>
      </c>
    </row>
    <row r="36" spans="1:7" ht="24">
      <c r="A36" s="176" t="s">
        <v>2013</v>
      </c>
      <c r="B36" s="177" t="s">
        <v>2062</v>
      </c>
      <c r="C36" s="199">
        <f>ROUND(IF('数据-取费表'!B10="住宅",C34*F36,0),0)</f>
        <v>0</v>
      </c>
      <c r="D36" s="199"/>
      <c r="E36" s="199"/>
      <c r="F36" s="1543">
        <f>'数据-取费表'!E22</f>
        <v>0</v>
      </c>
      <c r="G36" s="207" t="s">
        <v>2063</v>
      </c>
    </row>
    <row r="37" spans="1:7" s="206" customFormat="1" ht="13.5" customHeight="1">
      <c r="A37" s="176" t="s">
        <v>2044</v>
      </c>
      <c r="B37" s="177" t="s">
        <v>2064</v>
      </c>
      <c r="C37" s="199">
        <f>ROUND(E37*D37,0)</f>
        <v>43696</v>
      </c>
      <c r="D37" s="1531">
        <f>IF(B1="仅计算典型户型",'数据-取费表'!E5,'数据-取费表'!B5)</f>
        <v>218.48</v>
      </c>
      <c r="E37" s="199">
        <f>'数据-取费表'!E23</f>
        <v>200</v>
      </c>
      <c r="F37" s="1543"/>
      <c r="G37" s="208" t="s">
        <v>2065</v>
      </c>
    </row>
    <row r="38" spans="1:7" ht="13.5" customHeight="1">
      <c r="A38" s="176" t="s">
        <v>2066</v>
      </c>
      <c r="B38" s="177" t="s">
        <v>2067</v>
      </c>
      <c r="C38" s="199">
        <f>ROUND(C34*F38,0)</f>
        <v>11470</v>
      </c>
      <c r="D38" s="199"/>
      <c r="E38" s="199"/>
      <c r="F38" s="1543">
        <f>'数据-取费表'!E24</f>
        <v>1.4999999999999999E-2</v>
      </c>
      <c r="G38" s="179" t="s">
        <v>2061</v>
      </c>
    </row>
    <row r="39" spans="1:7" s="175" customFormat="1" ht="13.5" customHeight="1">
      <c r="A39" s="204" t="s">
        <v>2026</v>
      </c>
      <c r="B39" s="173" t="s">
        <v>2029</v>
      </c>
      <c r="C39" s="183">
        <f>ROUND(C33*F20,0)</f>
        <v>17162</v>
      </c>
      <c r="D39" s="183"/>
      <c r="E39" s="183"/>
      <c r="F39" s="187"/>
      <c r="G39" s="184" t="s">
        <v>2068</v>
      </c>
    </row>
    <row r="40" spans="1:7" s="175" customFormat="1" ht="13.5" customHeight="1">
      <c r="A40" s="204" t="s">
        <v>2028</v>
      </c>
      <c r="B40" s="173" t="s">
        <v>2032</v>
      </c>
      <c r="C40" s="1817">
        <f>F21</f>
        <v>0.02</v>
      </c>
      <c r="D40" s="186" t="s">
        <v>2069</v>
      </c>
      <c r="E40" s="183"/>
      <c r="F40" s="187"/>
      <c r="G40" s="184" t="s">
        <v>2070</v>
      </c>
    </row>
    <row r="41" spans="1:7" s="175" customFormat="1" ht="13.5" customHeight="1">
      <c r="A41" s="204" t="s">
        <v>2031</v>
      </c>
      <c r="B41" s="173" t="s">
        <v>2036</v>
      </c>
      <c r="C41" s="183">
        <f ca="1">ROUND(SUM(C42:C43),0)</f>
        <v>41574</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40759</v>
      </c>
      <c r="D42" s="188"/>
      <c r="E42" s="188"/>
      <c r="F42" s="189"/>
      <c r="G42" s="2979" t="s">
        <v>2071</v>
      </c>
    </row>
    <row r="43" spans="1:7" ht="13.5" customHeight="1">
      <c r="A43" s="176" t="s">
        <v>2011</v>
      </c>
      <c r="B43" s="177" t="s">
        <v>2040</v>
      </c>
      <c r="C43" s="188">
        <f ca="1">ROUND(IF('数据-取费表'!B23&lt;=1,C39*F22*'数据-取费表'!B22/2,C39*(POWER((1+F22),'数据-取费表'!B22/2)-1)),0)</f>
        <v>815</v>
      </c>
      <c r="D43" s="188"/>
      <c r="E43" s="188"/>
      <c r="F43" s="189"/>
      <c r="G43" s="2980"/>
    </row>
    <row r="44" spans="1:7" ht="13.5" customHeight="1">
      <c r="A44" s="176" t="s">
        <v>2013</v>
      </c>
      <c r="B44" s="177" t="s">
        <v>2042</v>
      </c>
      <c r="C44" s="188">
        <f ca="1">ROUND(IF('数据-取费表'!B23&lt;=1,C40*F22*'数据-取费表'!B22/2,C40*(POWER((1+F22),'数据-取费表'!B22/2)-1)),4)</f>
        <v>1E-3</v>
      </c>
      <c r="D44" s="188"/>
      <c r="E44" s="188"/>
      <c r="F44" s="189"/>
      <c r="G44" s="2981"/>
    </row>
    <row r="45" spans="1:7" s="175" customFormat="1" ht="13.5" customHeight="1">
      <c r="A45" s="204" t="s">
        <v>2035</v>
      </c>
      <c r="B45" s="194" t="s">
        <v>2047</v>
      </c>
      <c r="C45" s="195">
        <f>C46</f>
        <v>175048</v>
      </c>
      <c r="D45" s="185">
        <f>C47</f>
        <v>4.0000000000000001E-3</v>
      </c>
      <c r="E45" s="186" t="s">
        <v>2069</v>
      </c>
      <c r="F45" s="196"/>
      <c r="G45" s="197" t="s">
        <v>2072</v>
      </c>
    </row>
    <row r="46" spans="1:7" s="175" customFormat="1" ht="13.5" customHeight="1">
      <c r="A46" s="176" t="s">
        <v>2037</v>
      </c>
      <c r="B46" s="198" t="s">
        <v>2073</v>
      </c>
      <c r="C46" s="199">
        <f>ROUND((C33+C39)*F27,0)</f>
        <v>175048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4" t="s">
        <v>2046</v>
      </c>
      <c r="B48" s="173" t="s">
        <v>2075</v>
      </c>
      <c r="C48" s="1817">
        <f>ROUND(F30/(1+'数据-取费表'!F30),4)</f>
        <v>5.33E-2</v>
      </c>
      <c r="D48" s="186" t="s">
        <v>2069</v>
      </c>
      <c r="E48" s="183"/>
      <c r="F48" s="187"/>
      <c r="G48" s="184" t="s">
        <v>2076</v>
      </c>
    </row>
    <row r="49" spans="1:7" ht="16.5" customHeight="1">
      <c r="A49" s="1304" t="s">
        <v>2077</v>
      </c>
      <c r="B49" s="173" t="s">
        <v>2078</v>
      </c>
      <c r="C49" s="183">
        <f ca="1">ROUND((C33+C39+C41+C45)/(1-C40-D41-D45-C48),0)</f>
        <v>1184620</v>
      </c>
      <c r="D49" s="183"/>
      <c r="E49" s="183"/>
      <c r="F49" s="210"/>
      <c r="G49" s="184" t="s">
        <v>2079</v>
      </c>
    </row>
    <row r="50" spans="1:7" s="206" customFormat="1" ht="24">
      <c r="A50" s="1304" t="s">
        <v>2080</v>
      </c>
      <c r="B50" s="173" t="s">
        <v>2081</v>
      </c>
      <c r="C50" s="183"/>
      <c r="D50" s="183"/>
      <c r="E50" s="183"/>
      <c r="F50" s="210">
        <f>IF('数据-取费表'!B25=0,'数据-取费表'!E20,1)</f>
        <v>0.78</v>
      </c>
      <c r="G50" s="197" t="s">
        <v>2082</v>
      </c>
    </row>
    <row r="51" spans="1:7" ht="16.5" customHeight="1">
      <c r="A51" s="1304" t="s">
        <v>2083</v>
      </c>
      <c r="B51" s="173" t="s">
        <v>2084</v>
      </c>
      <c r="C51" s="183">
        <f ca="1">ROUND(C49*F50,0)</f>
        <v>924004</v>
      </c>
      <c r="D51" s="183"/>
      <c r="E51" s="183"/>
      <c r="F51" s="210"/>
      <c r="G51" s="184" t="s">
        <v>2085</v>
      </c>
    </row>
    <row r="52" spans="1:7" s="172" customFormat="1" ht="16.5" thickBot="1">
      <c r="A52" s="211" t="s">
        <v>2086</v>
      </c>
      <c r="B52" s="212"/>
      <c r="C52" s="213">
        <f ca="1">C31+C51</f>
        <v>2464977</v>
      </c>
      <c r="D52" s="212"/>
      <c r="E52" s="212"/>
      <c r="F52" s="212"/>
      <c r="G52" s="214"/>
    </row>
    <row r="55" spans="1:7" ht="15">
      <c r="B55" s="216" t="s">
        <v>2087</v>
      </c>
      <c r="C55" s="217"/>
    </row>
    <row r="56" spans="1:7">
      <c r="B56" s="219" t="s">
        <v>2088</v>
      </c>
      <c r="C56" s="220">
        <f ca="1">ROUND(C51/C52,3)</f>
        <v>0.375</v>
      </c>
    </row>
    <row r="57" spans="1:7">
      <c r="B57" s="219" t="s">
        <v>2089</v>
      </c>
      <c r="C57" s="221">
        <f ca="1">1-C56</f>
        <v>0.625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0"/>
      <c r="E1" s="1210"/>
      <c r="F1" s="1210"/>
      <c r="G1" s="1210"/>
      <c r="H1" s="1210"/>
      <c r="I1" s="1210"/>
      <c r="J1" s="1210"/>
      <c r="K1" s="1210"/>
    </row>
    <row r="2" spans="1:33" s="223" customFormat="1" ht="18" customHeight="1">
      <c r="A2" s="165" t="s">
        <v>1303</v>
      </c>
      <c r="B2" s="168">
        <f ca="1">IF(C2="元",C32,ROUND(C32/10000,0))</f>
        <v>4</v>
      </c>
      <c r="C2" s="1967"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7" t="s">
        <v>1305</v>
      </c>
      <c r="D3" s="1210"/>
      <c r="E3" s="1210"/>
      <c r="F3" s="1210"/>
      <c r="G3" s="1210"/>
      <c r="H3" s="1210"/>
      <c r="I3" s="1210"/>
      <c r="J3" s="1210"/>
      <c r="K3" s="1210"/>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-4.37</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-4.37</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5" zoomScale="90" zoomScaleNormal="90" workbookViewId="0">
      <selection activeCell="L20" sqref="L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2472</v>
      </c>
      <c r="C1" s="1724" t="s">
        <v>2828</v>
      </c>
      <c r="D1" s="1737"/>
      <c r="E1" s="2380" t="s">
        <v>2834</v>
      </c>
      <c r="F1" s="1738" t="s">
        <v>2332</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2000</v>
      </c>
      <c r="B2" s="1723">
        <f>IF(D2="——",IF(C2="元",ROUND(C50*D3,0),ROUND(C50*D3/10000,0)),IF(C2="元",ROUND(C50*D3,0),ROUND(C50*D3/10000,0))-E2)</f>
        <v>7716495</v>
      </c>
      <c r="C2" s="163" t="str">
        <f>'数据-取费表'!B3</f>
        <v>元</v>
      </c>
      <c r="D2" s="2382" t="s">
        <v>1253</v>
      </c>
      <c r="E2" s="1840"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2001</v>
      </c>
      <c r="B3" s="593">
        <f>ROUND(IF(D2="——",C50,IF(C2="万元",B2*10000/D3,B2/D3)),0)</f>
        <v>35319</v>
      </c>
      <c r="C3" s="379" t="s">
        <v>2333</v>
      </c>
      <c r="D3" s="378">
        <f>IF(C1="仅计算典型户型",'数据-取费表'!E5,'数据-取费表'!B5)</f>
        <v>218.48</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12" t="s">
        <v>2340</v>
      </c>
      <c r="Q4" s="3001"/>
      <c r="R4" s="2994" t="s">
        <v>2336</v>
      </c>
      <c r="S4" s="2995"/>
      <c r="T4" s="2994" t="s">
        <v>2337</v>
      </c>
      <c r="U4" s="2995"/>
      <c r="V4" s="3016" t="s">
        <v>2338</v>
      </c>
      <c r="W4" s="3016"/>
      <c r="X4" s="1898"/>
      <c r="Y4" s="2994" t="s">
        <v>2340</v>
      </c>
      <c r="Z4" s="2995"/>
      <c r="AA4" s="3005" t="s">
        <v>2336</v>
      </c>
      <c r="AB4" s="3005" t="s">
        <v>2337</v>
      </c>
      <c r="AC4" s="3005" t="s">
        <v>2338</v>
      </c>
    </row>
    <row r="5" spans="1:29" ht="15">
      <c r="A5" s="383"/>
      <c r="B5" s="384"/>
      <c r="C5" s="3019" t="s">
        <v>2854</v>
      </c>
      <c r="D5" s="3020"/>
      <c r="E5" s="3017" t="str">
        <f>案例!L12</f>
        <v>大恒科技大厦</v>
      </c>
      <c r="F5" s="3018"/>
      <c r="G5" s="3023" t="str">
        <f>案例!L13</f>
        <v>银科大厦</v>
      </c>
      <c r="H5" s="3020"/>
      <c r="I5" s="3023" t="str">
        <f>案例!L14</f>
        <v>1+1大厦</v>
      </c>
      <c r="J5" s="3020"/>
      <c r="K5" s="594"/>
      <c r="L5" s="1242"/>
      <c r="M5" s="1243"/>
      <c r="N5" s="1243"/>
      <c r="O5" s="1243"/>
      <c r="P5" s="3013"/>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14"/>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v>43252</v>
      </c>
      <c r="F7" s="392">
        <f>SUMIF(59:59,YEAR(E7)&amp;"-"&amp;MONTH(E7),60:60)</f>
        <v>100</v>
      </c>
      <c r="G7" s="2464">
        <f>E7</f>
        <v>43252</v>
      </c>
      <c r="H7" s="390">
        <f>SUMIF(59:59,YEAR(G7)&amp;"-"&amp;MONTH(G7),60:60)</f>
        <v>100</v>
      </c>
      <c r="I7" s="2464">
        <f>E7</f>
        <v>43252</v>
      </c>
      <c r="J7" s="390">
        <f>SUMIF(59:59,YEAR(I7)&amp;"-"&amp;MONTH(I7),60:60)</f>
        <v>100</v>
      </c>
      <c r="K7" s="595"/>
      <c r="L7" s="1244"/>
      <c r="M7" s="1245"/>
      <c r="N7" s="1245"/>
      <c r="O7" s="1245"/>
      <c r="P7" s="3000" t="s">
        <v>2348</v>
      </c>
      <c r="Q7" s="3000"/>
      <c r="R7" s="749" t="s">
        <v>25</v>
      </c>
      <c r="S7" s="750">
        <f t="shared" ref="S7:S15" si="0">F7</f>
        <v>100</v>
      </c>
      <c r="T7" s="749" t="s">
        <v>25</v>
      </c>
      <c r="U7" s="750">
        <f t="shared" ref="U7:U15" si="1">H7</f>
        <v>100</v>
      </c>
      <c r="V7" s="749" t="s">
        <v>25</v>
      </c>
      <c r="W7" s="750">
        <f t="shared" ref="W7:W15" si="2">J7</f>
        <v>100</v>
      </c>
      <c r="X7" s="751"/>
      <c r="Y7" s="2992" t="s">
        <v>2348</v>
      </c>
      <c r="Z7" s="2993"/>
      <c r="AA7" s="752">
        <f>D7/F7</f>
        <v>1</v>
      </c>
      <c r="AB7" s="752">
        <f>D7/H7</f>
        <v>1</v>
      </c>
      <c r="AC7" s="752">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4"/>
      <c r="M8" s="1245"/>
      <c r="N8" s="1245"/>
      <c r="O8" s="1245"/>
      <c r="P8" s="3000" t="s">
        <v>2351</v>
      </c>
      <c r="Q8" s="2993"/>
      <c r="R8" s="749" t="s">
        <v>25</v>
      </c>
      <c r="S8" s="750">
        <f t="shared" si="0"/>
        <v>100</v>
      </c>
      <c r="T8" s="749" t="s">
        <v>25</v>
      </c>
      <c r="U8" s="750">
        <f t="shared" si="1"/>
        <v>100</v>
      </c>
      <c r="V8" s="749" t="s">
        <v>25</v>
      </c>
      <c r="W8" s="750">
        <f t="shared" si="2"/>
        <v>100</v>
      </c>
      <c r="X8" s="751"/>
      <c r="Y8" s="2992" t="s">
        <v>2351</v>
      </c>
      <c r="Z8" s="2993"/>
      <c r="AA8" s="752">
        <f t="shared" ref="AA8:AA47" si="3">D8/F8</f>
        <v>1</v>
      </c>
      <c r="AB8" s="752">
        <f t="shared" ref="AB8:AB47" si="4">D8/H8</f>
        <v>1</v>
      </c>
      <c r="AC8" s="752">
        <f t="shared" ref="AC8:AC47" si="5">D8/J8</f>
        <v>1</v>
      </c>
    </row>
    <row r="9" spans="1:29" s="35" customFormat="1">
      <c r="A9" s="395" t="s">
        <v>2352</v>
      </c>
      <c r="B9" s="28" t="s">
        <v>2353</v>
      </c>
      <c r="C9" s="2745" t="s">
        <v>2855</v>
      </c>
      <c r="D9" s="51">
        <v>100</v>
      </c>
      <c r="E9" s="399" t="s">
        <v>2817</v>
      </c>
      <c r="F9" s="51">
        <f>SUMIF(64:64,E9,65:65)-SUMIF(64:64,C9,65:65)+100</f>
        <v>100</v>
      </c>
      <c r="G9" s="399" t="s">
        <v>2817</v>
      </c>
      <c r="H9" s="51">
        <f>SUMIF(64:64,G9,65:65)-SUMIF(64:64,C9,65:65)+100</f>
        <v>100</v>
      </c>
      <c r="I9" s="399" t="s">
        <v>2817</v>
      </c>
      <c r="J9" s="51">
        <f>SUMIF(64:64,I9,65:65)-SUMIF(64:64,C9,65:65)+100</f>
        <v>100</v>
      </c>
      <c r="K9" s="595"/>
      <c r="L9" s="1244"/>
      <c r="M9" s="1245"/>
      <c r="N9" s="1245"/>
      <c r="O9" s="1245"/>
      <c r="P9" s="2982"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t="s">
        <v>2905</v>
      </c>
      <c r="D10" s="52">
        <v>100</v>
      </c>
      <c r="E10" s="403" t="s">
        <v>2856</v>
      </c>
      <c r="F10" s="52">
        <f>SUMIF(66:66,E10,67:67)-SUMIF(66:66,C10,67:67)+100</f>
        <v>98</v>
      </c>
      <c r="G10" s="403" t="s">
        <v>2856</v>
      </c>
      <c r="H10" s="52">
        <f>SUMIF(66:66,G10,67:67)-SUMIF(66:66,C10,67:67)+100</f>
        <v>98</v>
      </c>
      <c r="I10" s="403" t="s">
        <v>2856</v>
      </c>
      <c r="J10" s="52">
        <f>SUMIF(66:66,I10,67:67)-SUMIF(66:66,C10,67:67)+100</f>
        <v>98</v>
      </c>
      <c r="K10" s="596">
        <v>2</v>
      </c>
      <c r="L10" s="1247"/>
      <c r="M10" s="1248"/>
      <c r="N10" s="1248"/>
      <c r="O10" s="1248"/>
      <c r="P10" s="2982"/>
      <c r="Q10" s="1885" t="str">
        <f t="shared" si="6"/>
        <v>土地使用年限（年）</v>
      </c>
      <c r="R10" s="749" t="s">
        <v>25</v>
      </c>
      <c r="S10" s="750">
        <f t="shared" si="0"/>
        <v>98</v>
      </c>
      <c r="T10" s="749" t="s">
        <v>25</v>
      </c>
      <c r="U10" s="750">
        <f t="shared" si="1"/>
        <v>98</v>
      </c>
      <c r="V10" s="749" t="s">
        <v>25</v>
      </c>
      <c r="W10" s="750">
        <f t="shared" si="2"/>
        <v>98</v>
      </c>
      <c r="X10" s="751"/>
      <c r="Y10" s="2843"/>
      <c r="Z10" s="23" t="str">
        <f t="shared" si="7"/>
        <v>土地使用年限（年）</v>
      </c>
      <c r="AA10" s="752">
        <f t="shared" si="3"/>
        <v>1.0204081632653061</v>
      </c>
      <c r="AB10" s="752">
        <f t="shared" si="4"/>
        <v>1.0204081632653061</v>
      </c>
      <c r="AC10" s="752">
        <f t="shared" si="5"/>
        <v>1.0204081632653061</v>
      </c>
    </row>
    <row r="11" spans="1:29" ht="15">
      <c r="A11" s="408"/>
      <c r="B11" s="402" t="s">
        <v>2357</v>
      </c>
      <c r="C11" s="409">
        <f>项目基本情况!C15</f>
        <v>3.6</v>
      </c>
      <c r="D11" s="52">
        <v>100</v>
      </c>
      <c r="E11" s="2741">
        <f>C11</f>
        <v>3.6</v>
      </c>
      <c r="F11" s="52">
        <f>LOOKUP(E11,69:69,70:70)-LOOKUP(C11,69:69,70:70)+100</f>
        <v>100</v>
      </c>
      <c r="G11" s="2744">
        <f>C11</f>
        <v>3.6</v>
      </c>
      <c r="H11" s="52">
        <f>LOOKUP(G11,69:69,70:70)-LOOKUP(C11,69:69,70:70)+100</f>
        <v>100</v>
      </c>
      <c r="I11" s="2741">
        <f>C11</f>
        <v>3.6</v>
      </c>
      <c r="J11" s="52">
        <f>LOOKUP(I11,69:69,70:70)-LOOKUP(C11,69:69,70:70)+100</f>
        <v>100</v>
      </c>
      <c r="K11" s="2740"/>
      <c r="L11" s="1250"/>
      <c r="M11" s="1243"/>
      <c r="N11" s="1243"/>
      <c r="O11" s="1243"/>
      <c r="P11" s="2982"/>
      <c r="Q11" s="1885" t="str">
        <f t="shared" si="6"/>
        <v>容积率</v>
      </c>
      <c r="R11" s="749" t="s">
        <v>25</v>
      </c>
      <c r="S11" s="750">
        <f t="shared" si="0"/>
        <v>100</v>
      </c>
      <c r="T11" s="749" t="s">
        <v>25</v>
      </c>
      <c r="U11" s="750">
        <f t="shared" si="1"/>
        <v>100</v>
      </c>
      <c r="V11" s="749" t="s">
        <v>25</v>
      </c>
      <c r="W11" s="750">
        <f t="shared" si="2"/>
        <v>100</v>
      </c>
      <c r="X11" s="751"/>
      <c r="Y11" s="2843"/>
      <c r="Z11" s="23" t="str">
        <f t="shared" si="7"/>
        <v>容积率</v>
      </c>
      <c r="AA11" s="752">
        <f t="shared" si="3"/>
        <v>1</v>
      </c>
      <c r="AB11" s="752">
        <f t="shared" si="4"/>
        <v>1</v>
      </c>
      <c r="AC11" s="752">
        <f t="shared" si="5"/>
        <v>1</v>
      </c>
    </row>
    <row r="12" spans="1:29" s="35" customFormat="1" ht="15.75" thickBot="1">
      <c r="A12" s="411"/>
      <c r="B12" s="2750" t="s">
        <v>2906</v>
      </c>
      <c r="C12" s="2751" t="s">
        <v>2907</v>
      </c>
      <c r="D12" s="413">
        <v>100</v>
      </c>
      <c r="E12" s="2751" t="s">
        <v>2908</v>
      </c>
      <c r="F12" s="52">
        <f>SUMIF(71:71,E12,72:72)-SUMIF(71:71,C12,72:72)+100</f>
        <v>110</v>
      </c>
      <c r="G12" s="2751" t="s">
        <v>2908</v>
      </c>
      <c r="H12" s="52">
        <f>SUMIF(71:71,G12,72:72)-SUMIF(71:71,C12,72:72)+100</f>
        <v>110</v>
      </c>
      <c r="I12" s="2751" t="s">
        <v>2908</v>
      </c>
      <c r="J12" s="52">
        <f>SUMIF(71:71,I12,72:72)-SUMIF(71:71,C12,72:72)+100</f>
        <v>110</v>
      </c>
      <c r="K12" s="597"/>
      <c r="L12" s="1244"/>
      <c r="M12" s="1245"/>
      <c r="N12" s="1245"/>
      <c r="O12" s="1245"/>
      <c r="P12" s="2982"/>
      <c r="Q12" s="1885" t="str">
        <f t="shared" si="6"/>
        <v>权属不清</v>
      </c>
      <c r="R12" s="749" t="s">
        <v>25</v>
      </c>
      <c r="S12" s="750">
        <f t="shared" si="0"/>
        <v>110</v>
      </c>
      <c r="T12" s="749" t="s">
        <v>25</v>
      </c>
      <c r="U12" s="750">
        <f t="shared" si="1"/>
        <v>110</v>
      </c>
      <c r="V12" s="749" t="s">
        <v>25</v>
      </c>
      <c r="W12" s="750">
        <f t="shared" si="2"/>
        <v>110</v>
      </c>
      <c r="X12" s="751"/>
      <c r="Y12" s="2843"/>
      <c r="Z12" s="23" t="str">
        <f t="shared" si="7"/>
        <v>权属不清</v>
      </c>
      <c r="AA12" s="752">
        <f>D12/F12</f>
        <v>0.90909090909090906</v>
      </c>
      <c r="AB12" s="752">
        <f>D12/H12</f>
        <v>0.90909090909090906</v>
      </c>
      <c r="AC12" s="752">
        <f>D12/J12</f>
        <v>0.90909090909090906</v>
      </c>
    </row>
    <row r="13" spans="1:29" ht="15" hidden="1">
      <c r="A13" s="408"/>
      <c r="B13" s="2397">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82"/>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82"/>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2358</v>
      </c>
      <c r="B15" s="613" t="s">
        <v>2473</v>
      </c>
      <c r="C15" s="2465" t="str">
        <f>估价对象房地状况!C5</f>
        <v>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01" t="s">
        <v>2359</v>
      </c>
      <c r="Q15" s="1897" t="str">
        <f t="shared" si="6"/>
        <v>办公集聚程度</v>
      </c>
      <c r="R15" s="753" t="s">
        <v>25</v>
      </c>
      <c r="S15" s="754">
        <f t="shared" si="0"/>
        <v>100</v>
      </c>
      <c r="T15" s="753" t="s">
        <v>25</v>
      </c>
      <c r="U15" s="754">
        <f t="shared" si="1"/>
        <v>100</v>
      </c>
      <c r="V15" s="753" t="s">
        <v>25</v>
      </c>
      <c r="W15" s="754">
        <f t="shared" si="2"/>
        <v>100</v>
      </c>
      <c r="X15" s="1898"/>
      <c r="Y15" s="3003" t="s">
        <v>2359</v>
      </c>
      <c r="Z15" s="1900" t="str">
        <f t="shared" si="7"/>
        <v>办公集聚程度</v>
      </c>
      <c r="AA15" s="1901">
        <f t="shared" si="3"/>
        <v>1</v>
      </c>
      <c r="AB15" s="1901">
        <f t="shared" si="4"/>
        <v>1</v>
      </c>
      <c r="AC15" s="1901">
        <f t="shared" si="5"/>
        <v>1</v>
      </c>
    </row>
    <row r="16" spans="1:29" ht="15">
      <c r="A16" s="408"/>
      <c r="B16" s="614"/>
      <c r="C16" s="1470" t="s">
        <v>30</v>
      </c>
      <c r="D16" s="427"/>
      <c r="E16" s="1470" t="s">
        <v>30</v>
      </c>
      <c r="F16" s="427"/>
      <c r="G16" s="1470" t="s">
        <v>30</v>
      </c>
      <c r="H16" s="430"/>
      <c r="I16" s="1470" t="s">
        <v>30</v>
      </c>
      <c r="J16" s="427"/>
      <c r="K16" s="599"/>
      <c r="L16" s="1252"/>
      <c r="M16" s="1243"/>
      <c r="N16" s="1243"/>
      <c r="O16" s="1243"/>
      <c r="P16" s="3002"/>
      <c r="Q16" s="1897"/>
      <c r="R16" s="753"/>
      <c r="S16" s="754"/>
      <c r="T16" s="753"/>
      <c r="U16" s="754"/>
      <c r="V16" s="753"/>
      <c r="W16" s="754"/>
      <c r="X16" s="1898"/>
      <c r="Y16" s="3004"/>
      <c r="Z16" s="1900"/>
      <c r="AA16" s="1901">
        <v>1</v>
      </c>
      <c r="AB16" s="1901">
        <v>1</v>
      </c>
      <c r="AC16" s="1901">
        <v>1</v>
      </c>
    </row>
    <row r="17" spans="1:29" ht="15">
      <c r="A17" s="408"/>
      <c r="B17" s="615" t="s">
        <v>1743</v>
      </c>
      <c r="C17" s="2466"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02"/>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616"/>
      <c r="C18" s="2467" t="s">
        <v>30</v>
      </c>
      <c r="D18" s="430"/>
      <c r="E18" s="2467" t="s">
        <v>30</v>
      </c>
      <c r="F18" s="430"/>
      <c r="G18" s="2467" t="s">
        <v>30</v>
      </c>
      <c r="H18" s="427"/>
      <c r="I18" s="2467" t="s">
        <v>30</v>
      </c>
      <c r="J18" s="427"/>
      <c r="K18" s="599"/>
      <c r="L18" s="1252"/>
      <c r="M18" s="1243"/>
      <c r="N18" s="1243"/>
      <c r="O18" s="1243"/>
      <c r="P18" s="3002"/>
      <c r="Q18" s="1897"/>
      <c r="R18" s="753"/>
      <c r="S18" s="754"/>
      <c r="T18" s="753"/>
      <c r="U18" s="754"/>
      <c r="V18" s="753"/>
      <c r="W18" s="754"/>
      <c r="X18" s="1898"/>
      <c r="Y18" s="3004"/>
      <c r="Z18" s="1900"/>
      <c r="AA18" s="1901">
        <v>1</v>
      </c>
      <c r="AB18" s="1901">
        <v>1</v>
      </c>
      <c r="AC18" s="1901">
        <v>1</v>
      </c>
    </row>
    <row r="19" spans="1:29" ht="15">
      <c r="A19" s="408"/>
      <c r="B19" s="615" t="s">
        <v>2474</v>
      </c>
      <c r="C19" s="2466"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02"/>
      <c r="Q19" s="1897" t="str">
        <f>B19</f>
        <v>公共配套设施</v>
      </c>
      <c r="R19" s="753" t="s">
        <v>25</v>
      </c>
      <c r="S19" s="754">
        <f>F19</f>
        <v>100</v>
      </c>
      <c r="T19" s="753" t="s">
        <v>25</v>
      </c>
      <c r="U19" s="754">
        <f>H19</f>
        <v>100</v>
      </c>
      <c r="V19" s="753" t="s">
        <v>25</v>
      </c>
      <c r="W19" s="754">
        <f>J19</f>
        <v>100</v>
      </c>
      <c r="X19" s="1898"/>
      <c r="Y19" s="3004"/>
      <c r="Z19" s="1900" t="str">
        <f>Q19</f>
        <v>公共配套设施</v>
      </c>
      <c r="AA19" s="1901">
        <f t="shared" si="3"/>
        <v>1</v>
      </c>
      <c r="AB19" s="1901">
        <f t="shared" si="4"/>
        <v>1</v>
      </c>
      <c r="AC19" s="1901">
        <f t="shared" si="5"/>
        <v>1</v>
      </c>
    </row>
    <row r="20" spans="1:29" ht="15">
      <c r="A20" s="408"/>
      <c r="B20" s="616"/>
      <c r="C20" s="1470" t="s">
        <v>30</v>
      </c>
      <c r="D20" s="427"/>
      <c r="E20" s="1470" t="s">
        <v>30</v>
      </c>
      <c r="F20" s="427"/>
      <c r="G20" s="1470" t="s">
        <v>30</v>
      </c>
      <c r="H20" s="427"/>
      <c r="I20" s="1470" t="s">
        <v>30</v>
      </c>
      <c r="J20" s="427"/>
      <c r="K20" s="599"/>
      <c r="L20" s="1252"/>
      <c r="M20" s="1243"/>
      <c r="N20" s="1243"/>
      <c r="O20" s="1243"/>
      <c r="P20" s="3002"/>
      <c r="Q20" s="1897"/>
      <c r="R20" s="753"/>
      <c r="S20" s="754"/>
      <c r="T20" s="753"/>
      <c r="U20" s="754"/>
      <c r="V20" s="753"/>
      <c r="W20" s="754"/>
      <c r="X20" s="1898"/>
      <c r="Y20" s="3004"/>
      <c r="Z20" s="1900"/>
      <c r="AA20" s="1901">
        <v>1</v>
      </c>
      <c r="AB20" s="1901">
        <v>1</v>
      </c>
      <c r="AC20" s="1901">
        <v>1</v>
      </c>
    </row>
    <row r="21" spans="1:29" ht="15">
      <c r="A21" s="408"/>
      <c r="B21" s="617" t="s">
        <v>2475</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3002"/>
      <c r="Q21" s="1897" t="str">
        <f>B21</f>
        <v>基础设施水平</v>
      </c>
      <c r="R21" s="753" t="s">
        <v>25</v>
      </c>
      <c r="S21" s="754">
        <f>F21</f>
        <v>100</v>
      </c>
      <c r="T21" s="753" t="s">
        <v>25</v>
      </c>
      <c r="U21" s="754">
        <f>H21</f>
        <v>100</v>
      </c>
      <c r="V21" s="753" t="s">
        <v>25</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617"/>
      <c r="C22" s="2467" t="s">
        <v>2857</v>
      </c>
      <c r="D22" s="427"/>
      <c r="E22" s="2467" t="s">
        <v>2857</v>
      </c>
      <c r="F22" s="427"/>
      <c r="G22" s="2467" t="s">
        <v>2857</v>
      </c>
      <c r="H22" s="427"/>
      <c r="I22" s="2467" t="s">
        <v>2857</v>
      </c>
      <c r="J22" s="427"/>
      <c r="K22" s="1467"/>
      <c r="L22" s="1252"/>
      <c r="M22" s="1243"/>
      <c r="N22" s="1243"/>
      <c r="O22" s="1243"/>
      <c r="P22" s="3002"/>
      <c r="Q22" s="1897"/>
      <c r="R22" s="753"/>
      <c r="S22" s="754"/>
      <c r="T22" s="753"/>
      <c r="U22" s="754"/>
      <c r="V22" s="753"/>
      <c r="W22" s="754"/>
      <c r="X22" s="1898"/>
      <c r="Y22" s="3004"/>
      <c r="Z22" s="1900"/>
      <c r="AA22" s="1901">
        <v>1</v>
      </c>
      <c r="AB22" s="1901">
        <v>1</v>
      </c>
      <c r="AC22" s="1901">
        <v>1</v>
      </c>
    </row>
    <row r="23" spans="1:29" ht="15">
      <c r="A23" s="408"/>
      <c r="B23" s="615" t="s">
        <v>2476</v>
      </c>
      <c r="C23" s="2466"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02"/>
      <c r="Q23" s="1897" t="str">
        <f>B23</f>
        <v>环境质量</v>
      </c>
      <c r="R23" s="753" t="s">
        <v>25</v>
      </c>
      <c r="S23" s="754">
        <f>F23</f>
        <v>100</v>
      </c>
      <c r="T23" s="753" t="s">
        <v>25</v>
      </c>
      <c r="U23" s="754">
        <f>H23</f>
        <v>100</v>
      </c>
      <c r="V23" s="753" t="s">
        <v>25</v>
      </c>
      <c r="W23" s="754">
        <f>J23</f>
        <v>100</v>
      </c>
      <c r="X23" s="1898"/>
      <c r="Y23" s="3004"/>
      <c r="Z23" s="1900" t="str">
        <f>Q23</f>
        <v>环境质量</v>
      </c>
      <c r="AA23" s="1901">
        <f t="shared" si="3"/>
        <v>1</v>
      </c>
      <c r="AB23" s="1901">
        <f t="shared" si="4"/>
        <v>1</v>
      </c>
      <c r="AC23" s="1901">
        <f t="shared" si="5"/>
        <v>1</v>
      </c>
    </row>
    <row r="24" spans="1:29" ht="15">
      <c r="A24" s="408"/>
      <c r="B24" s="617"/>
      <c r="C24" s="1470" t="s">
        <v>30</v>
      </c>
      <c r="D24" s="427"/>
      <c r="E24" s="1470" t="s">
        <v>30</v>
      </c>
      <c r="F24" s="427"/>
      <c r="G24" s="1470" t="s">
        <v>30</v>
      </c>
      <c r="H24" s="427"/>
      <c r="I24" s="1470" t="s">
        <v>30</v>
      </c>
      <c r="J24" s="427"/>
      <c r="K24" s="599"/>
      <c r="L24" s="1252"/>
      <c r="M24" s="1243"/>
      <c r="N24" s="1243"/>
      <c r="O24" s="1243"/>
      <c r="P24" s="3002"/>
      <c r="Q24" s="1897"/>
      <c r="R24" s="753"/>
      <c r="S24" s="754"/>
      <c r="T24" s="753"/>
      <c r="U24" s="754"/>
      <c r="V24" s="753"/>
      <c r="W24" s="754"/>
      <c r="X24" s="1898"/>
      <c r="Y24" s="3004"/>
      <c r="Z24" s="1900"/>
      <c r="AA24" s="1901">
        <v>1</v>
      </c>
      <c r="AB24" s="1901">
        <v>1</v>
      </c>
      <c r="AC24" s="1901">
        <v>1</v>
      </c>
    </row>
    <row r="25" spans="1:29" ht="27">
      <c r="A25" s="383"/>
      <c r="B25" s="615" t="s">
        <v>2477</v>
      </c>
      <c r="C25" s="2468" t="s">
        <v>2872</v>
      </c>
      <c r="D25" s="415">
        <v>100</v>
      </c>
      <c r="E25" s="414" t="s">
        <v>2861</v>
      </c>
      <c r="F25" s="415">
        <f>SUMIF(87:87,E26,88:88)-SUMIF(87:87,C26,88:88)+100</f>
        <v>102</v>
      </c>
      <c r="G25" s="414" t="s">
        <v>2861</v>
      </c>
      <c r="H25" s="415">
        <f>SUMIF(87:87,G26,88:88)-SUMIF(87:87,C26,88:88)+100</f>
        <v>102</v>
      </c>
      <c r="I25" s="414" t="s">
        <v>2873</v>
      </c>
      <c r="J25" s="415">
        <f>SUMIF(87:87,I26,88:88)-SUMIF(87:87,C26,88:88)+100</f>
        <v>100</v>
      </c>
      <c r="K25" s="598">
        <v>2</v>
      </c>
      <c r="L25" s="1252"/>
      <c r="M25" s="1243"/>
      <c r="N25" s="1243"/>
      <c r="O25" s="1243"/>
      <c r="P25" s="3002"/>
      <c r="Q25" s="1897" t="str">
        <f>B25</f>
        <v>毗邻道路的类型与等级</v>
      </c>
      <c r="R25" s="753" t="s">
        <v>25</v>
      </c>
      <c r="S25" s="754">
        <f>F25</f>
        <v>102</v>
      </c>
      <c r="T25" s="753" t="s">
        <v>25</v>
      </c>
      <c r="U25" s="754">
        <f>H25</f>
        <v>102</v>
      </c>
      <c r="V25" s="753" t="s">
        <v>25</v>
      </c>
      <c r="W25" s="754">
        <f>J25</f>
        <v>100</v>
      </c>
      <c r="X25" s="1898"/>
      <c r="Y25" s="3004"/>
      <c r="Z25" s="1900" t="str">
        <f>Q25</f>
        <v>毗邻道路的类型与等级</v>
      </c>
      <c r="AA25" s="1901">
        <f t="shared" si="3"/>
        <v>0.98039215686274506</v>
      </c>
      <c r="AB25" s="1901">
        <f t="shared" si="4"/>
        <v>0.98039215686274506</v>
      </c>
      <c r="AC25" s="1901">
        <f t="shared" si="5"/>
        <v>1</v>
      </c>
    </row>
    <row r="26" spans="1:29" ht="15">
      <c r="A26" s="383"/>
      <c r="B26" s="616"/>
      <c r="C26" s="618" t="s">
        <v>2866</v>
      </c>
      <c r="D26" s="415"/>
      <c r="E26" s="600" t="s">
        <v>2864</v>
      </c>
      <c r="F26" s="415"/>
      <c r="G26" s="618" t="s">
        <v>2864</v>
      </c>
      <c r="H26" s="415"/>
      <c r="I26" s="600" t="s">
        <v>2866</v>
      </c>
      <c r="J26" s="415"/>
      <c r="K26" s="599"/>
      <c r="L26" s="1252"/>
      <c r="M26" s="1243"/>
      <c r="N26" s="1243"/>
      <c r="O26" s="1243"/>
      <c r="P26" s="3002"/>
      <c r="Q26" s="1897"/>
      <c r="R26" s="753"/>
      <c r="S26" s="754"/>
      <c r="T26" s="753"/>
      <c r="U26" s="754"/>
      <c r="V26" s="753"/>
      <c r="W26" s="754"/>
      <c r="X26" s="1898"/>
      <c r="Y26" s="3004"/>
      <c r="Z26" s="1900"/>
      <c r="AA26" s="1901">
        <v>1</v>
      </c>
      <c r="AB26" s="1901">
        <v>1</v>
      </c>
      <c r="AC26" s="1901">
        <v>1</v>
      </c>
    </row>
    <row r="27" spans="1:29" ht="15.75" thickBot="1">
      <c r="A27" s="408"/>
      <c r="B27" s="616" t="s">
        <v>2450</v>
      </c>
      <c r="C27" s="618" t="s">
        <v>2845</v>
      </c>
      <c r="D27" s="415">
        <v>100</v>
      </c>
      <c r="E27" s="600" t="s">
        <v>2845</v>
      </c>
      <c r="F27" s="415">
        <f>SUMIF(89:89,E27,90:90)-SUMIF(89:89,C27,90:90)+100</f>
        <v>100</v>
      </c>
      <c r="G27" s="618" t="s">
        <v>2843</v>
      </c>
      <c r="H27" s="415">
        <f>SUMIF(89:89,G27,90:90)-SUMIF(89:89,C27,90:90)+100</f>
        <v>104</v>
      </c>
      <c r="I27" s="600" t="s">
        <v>2843</v>
      </c>
      <c r="J27" s="415">
        <f>SUMIF(89:89,I27,90:90)-SUMIF(89:89,C27,90:90)+100</f>
        <v>104</v>
      </c>
      <c r="K27" s="596">
        <v>2</v>
      </c>
      <c r="L27" s="1252"/>
      <c r="M27" s="1243"/>
      <c r="N27" s="1243"/>
      <c r="O27" s="1243"/>
      <c r="P27" s="3002"/>
      <c r="Q27" s="1897" t="str">
        <f t="shared" ref="Q27:Q47" si="11">B27</f>
        <v>楼层</v>
      </c>
      <c r="R27" s="753" t="s">
        <v>25</v>
      </c>
      <c r="S27" s="754">
        <f>F27</f>
        <v>100</v>
      </c>
      <c r="T27" s="753" t="s">
        <v>25</v>
      </c>
      <c r="U27" s="754">
        <f>H27</f>
        <v>104</v>
      </c>
      <c r="V27" s="753" t="s">
        <v>25</v>
      </c>
      <c r="W27" s="754">
        <f>J27</f>
        <v>104</v>
      </c>
      <c r="X27" s="1898"/>
      <c r="Y27" s="3004"/>
      <c r="Z27" s="1900" t="str">
        <f>Q27</f>
        <v>楼层</v>
      </c>
      <c r="AA27" s="1901">
        <f t="shared" si="3"/>
        <v>1</v>
      </c>
      <c r="AB27" s="1901">
        <f t="shared" si="4"/>
        <v>0.96153846153846156</v>
      </c>
      <c r="AC27" s="1901">
        <f t="shared" si="5"/>
        <v>0.96153846153846156</v>
      </c>
    </row>
    <row r="28" spans="1:29" s="35" customFormat="1" ht="15.75" hidden="1" thickBot="1">
      <c r="A28" s="411"/>
      <c r="B28" s="615" t="s">
        <v>2478</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02"/>
      <c r="Q28" s="1885" t="str">
        <f t="shared" si="11"/>
        <v>朝向</v>
      </c>
      <c r="R28" s="749" t="s">
        <v>25</v>
      </c>
      <c r="S28" s="750">
        <f>F28</f>
        <v>100</v>
      </c>
      <c r="T28" s="749" t="s">
        <v>25</v>
      </c>
      <c r="U28" s="750">
        <f>H28</f>
        <v>100</v>
      </c>
      <c r="V28" s="749" t="s">
        <v>25</v>
      </c>
      <c r="W28" s="750">
        <f>J28</f>
        <v>100</v>
      </c>
      <c r="X28" s="751"/>
      <c r="Y28" s="3004"/>
      <c r="Z28" s="23" t="str">
        <f>Q28</f>
        <v>朝向</v>
      </c>
      <c r="AA28" s="1901">
        <f>D28/F28</f>
        <v>1</v>
      </c>
      <c r="AB28" s="1901">
        <f>D28/H28</f>
        <v>1</v>
      </c>
      <c r="AC28" s="1901">
        <f>D28/J28</f>
        <v>1</v>
      </c>
    </row>
    <row r="29" spans="1:29" ht="15" hidden="1">
      <c r="A29" s="408"/>
      <c r="B29" s="2470">
        <v>111</v>
      </c>
      <c r="C29" s="2468"/>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02"/>
      <c r="Q29" s="1897">
        <f t="shared" si="11"/>
        <v>111</v>
      </c>
      <c r="R29" s="753" t="s">
        <v>25</v>
      </c>
      <c r="S29" s="754">
        <f t="shared" ref="S29:S47" si="12">F29</f>
        <v>100</v>
      </c>
      <c r="T29" s="753" t="s">
        <v>25</v>
      </c>
      <c r="U29" s="754">
        <f t="shared" ref="U29:U47" si="13">H29</f>
        <v>100</v>
      </c>
      <c r="V29" s="753" t="s">
        <v>25</v>
      </c>
      <c r="W29" s="754">
        <f t="shared" ref="W29:W47" si="14">J29</f>
        <v>100</v>
      </c>
      <c r="X29" s="1898"/>
      <c r="Y29" s="3004"/>
      <c r="Z29" s="1900">
        <f t="shared" ref="Z29:Z47" si="15">Q29</f>
        <v>111</v>
      </c>
      <c r="AA29" s="1901">
        <f t="shared" si="3"/>
        <v>1</v>
      </c>
      <c r="AB29" s="1901">
        <f t="shared" si="4"/>
        <v>1</v>
      </c>
      <c r="AC29" s="1901">
        <f t="shared" si="5"/>
        <v>1</v>
      </c>
    </row>
    <row r="30" spans="1:29" ht="15" hidden="1">
      <c r="A30" s="408"/>
      <c r="B30" s="2470">
        <v>111</v>
      </c>
      <c r="C30" s="2468"/>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02"/>
      <c r="Q30" s="1897">
        <f t="shared" si="11"/>
        <v>111</v>
      </c>
      <c r="R30" s="753" t="s">
        <v>25</v>
      </c>
      <c r="S30" s="754">
        <f t="shared" si="12"/>
        <v>100</v>
      </c>
      <c r="T30" s="753" t="s">
        <v>25</v>
      </c>
      <c r="U30" s="754">
        <f t="shared" si="13"/>
        <v>100</v>
      </c>
      <c r="V30" s="753" t="s">
        <v>25</v>
      </c>
      <c r="W30" s="754">
        <f t="shared" si="14"/>
        <v>100</v>
      </c>
      <c r="X30" s="1898"/>
      <c r="Y30" s="3004"/>
      <c r="Z30" s="1900">
        <f t="shared" si="15"/>
        <v>111</v>
      </c>
      <c r="AA30" s="1901">
        <f t="shared" si="3"/>
        <v>1</v>
      </c>
      <c r="AB30" s="1901">
        <f t="shared" si="4"/>
        <v>1</v>
      </c>
      <c r="AC30" s="1901">
        <f t="shared" si="5"/>
        <v>1</v>
      </c>
    </row>
    <row r="31" spans="1:29" ht="15" hidden="1">
      <c r="A31" s="408"/>
      <c r="B31" s="2470">
        <v>111</v>
      </c>
      <c r="C31" s="2468"/>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02"/>
      <c r="Q31" s="1897">
        <f t="shared" si="11"/>
        <v>111</v>
      </c>
      <c r="R31" s="753" t="s">
        <v>25</v>
      </c>
      <c r="S31" s="754">
        <f t="shared" si="12"/>
        <v>100</v>
      </c>
      <c r="T31" s="753" t="s">
        <v>25</v>
      </c>
      <c r="U31" s="754">
        <f t="shared" si="13"/>
        <v>100</v>
      </c>
      <c r="V31" s="753" t="s">
        <v>25</v>
      </c>
      <c r="W31" s="754">
        <f t="shared" si="14"/>
        <v>100</v>
      </c>
      <c r="X31" s="1898"/>
      <c r="Y31" s="3004"/>
      <c r="Z31" s="1900">
        <f t="shared" si="15"/>
        <v>111</v>
      </c>
      <c r="AA31" s="1901">
        <f t="shared" si="3"/>
        <v>1</v>
      </c>
      <c r="AB31" s="1901">
        <f t="shared" si="4"/>
        <v>1</v>
      </c>
      <c r="AC31" s="1901">
        <f t="shared" si="5"/>
        <v>1</v>
      </c>
    </row>
    <row r="32" spans="1:29" ht="15.75" hidden="1"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02"/>
      <c r="Q32" s="1897">
        <f t="shared" si="11"/>
        <v>111</v>
      </c>
      <c r="R32" s="753" t="s">
        <v>25</v>
      </c>
      <c r="S32" s="754">
        <f t="shared" si="12"/>
        <v>100</v>
      </c>
      <c r="T32" s="753" t="s">
        <v>25</v>
      </c>
      <c r="U32" s="754">
        <f t="shared" si="13"/>
        <v>100</v>
      </c>
      <c r="V32" s="753" t="s">
        <v>25</v>
      </c>
      <c r="W32" s="754">
        <f t="shared" si="14"/>
        <v>100</v>
      </c>
      <c r="X32" s="1898"/>
      <c r="Y32" s="3004"/>
      <c r="Z32" s="1900">
        <f t="shared" si="15"/>
        <v>111</v>
      </c>
      <c r="AA32" s="1901">
        <f t="shared" si="3"/>
        <v>1</v>
      </c>
      <c r="AB32" s="1901">
        <f t="shared" si="4"/>
        <v>1</v>
      </c>
      <c r="AC32" s="1901">
        <f t="shared" si="5"/>
        <v>1</v>
      </c>
    </row>
    <row r="33" spans="1:29" ht="15">
      <c r="A33" s="419" t="s">
        <v>2363</v>
      </c>
      <c r="B33" s="28" t="s">
        <v>2479</v>
      </c>
      <c r="C33" s="2471" t="s">
        <v>2874</v>
      </c>
      <c r="D33" s="448">
        <v>100</v>
      </c>
      <c r="E33" s="2471" t="s">
        <v>2874</v>
      </c>
      <c r="F33" s="442">
        <f>SUMIF(101:101,E33,102:102)-SUMIF(101:101,C33,102:102)+100</f>
        <v>100</v>
      </c>
      <c r="G33" s="2471" t="s">
        <v>2874</v>
      </c>
      <c r="H33" s="415">
        <f>SUMIF(101:101,G33,102:102)-SUMIF(101:101,C33,102:102)+100</f>
        <v>100</v>
      </c>
      <c r="I33" s="2471" t="s">
        <v>2874</v>
      </c>
      <c r="J33" s="448">
        <f>SUMIF(101:101,I33,102:102)-SUMIF(101:101,C33,102:102)+100</f>
        <v>100</v>
      </c>
      <c r="K33" s="596">
        <v>5</v>
      </c>
      <c r="L33" s="1252"/>
      <c r="M33" s="1243"/>
      <c r="N33" s="1243"/>
      <c r="O33" s="1243"/>
      <c r="P33" s="2987" t="s">
        <v>2365</v>
      </c>
      <c r="Q33" s="1897" t="str">
        <f t="shared" si="11"/>
        <v>建筑类型</v>
      </c>
      <c r="R33" s="753" t="s">
        <v>25</v>
      </c>
      <c r="S33" s="754">
        <f t="shared" si="12"/>
        <v>100</v>
      </c>
      <c r="T33" s="753" t="s">
        <v>25</v>
      </c>
      <c r="U33" s="754">
        <f t="shared" si="13"/>
        <v>100</v>
      </c>
      <c r="V33" s="753" t="s">
        <v>25</v>
      </c>
      <c r="W33" s="754">
        <f t="shared" si="14"/>
        <v>100</v>
      </c>
      <c r="X33" s="1898"/>
      <c r="Y33" s="2990"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50"/>
      <c r="M34" s="1253"/>
      <c r="N34" s="1253"/>
      <c r="O34" s="1253"/>
      <c r="P34" s="2988"/>
      <c r="Q34" s="755" t="str">
        <f t="shared" si="11"/>
        <v>项目建筑规模</v>
      </c>
      <c r="R34" s="756" t="s">
        <v>25</v>
      </c>
      <c r="S34" s="757">
        <f t="shared" si="12"/>
        <v>100</v>
      </c>
      <c r="T34" s="756" t="s">
        <v>25</v>
      </c>
      <c r="U34" s="757">
        <f t="shared" si="13"/>
        <v>100</v>
      </c>
      <c r="V34" s="756" t="s">
        <v>25</v>
      </c>
      <c r="W34" s="757">
        <f t="shared" si="14"/>
        <v>100</v>
      </c>
      <c r="X34" s="758"/>
      <c r="Y34" s="2990"/>
      <c r="Z34" s="759" t="str">
        <f t="shared" si="15"/>
        <v>项目建筑规模</v>
      </c>
      <c r="AA34" s="1901">
        <f t="shared" si="3"/>
        <v>1</v>
      </c>
      <c r="AB34" s="1901">
        <f t="shared" si="4"/>
        <v>1</v>
      </c>
      <c r="AC34" s="1901">
        <f t="shared" si="5"/>
        <v>1</v>
      </c>
    </row>
    <row r="35" spans="1:29" ht="15">
      <c r="A35" s="453"/>
      <c r="B35" s="402" t="s">
        <v>2367</v>
      </c>
      <c r="C35" s="441" t="s">
        <v>2829</v>
      </c>
      <c r="D35" s="415">
        <v>100</v>
      </c>
      <c r="E35" s="441" t="s">
        <v>2829</v>
      </c>
      <c r="F35" s="442">
        <f>SUMIF(106:106,E35,107:107)-SUMIF(106:106,C35,107:107)+100</f>
        <v>100</v>
      </c>
      <c r="G35" s="441" t="s">
        <v>2829</v>
      </c>
      <c r="H35" s="415">
        <f>SUMIF(106:106,G35,107:107)-SUMIF(106:106,C35,107:107)+100</f>
        <v>100</v>
      </c>
      <c r="I35" s="441" t="s">
        <v>2829</v>
      </c>
      <c r="J35" s="415">
        <f>SUMIF(106:106,I35,107:107)-SUMIF(106:106,C35,107:107)+100</f>
        <v>100</v>
      </c>
      <c r="K35" s="596">
        <v>5</v>
      </c>
      <c r="L35" s="1252"/>
      <c r="M35" s="1243"/>
      <c r="N35" s="1243"/>
      <c r="O35" s="1243"/>
      <c r="P35" s="2988"/>
      <c r="Q35" s="1897" t="str">
        <f t="shared" si="11"/>
        <v>建筑结构</v>
      </c>
      <c r="R35" s="753" t="s">
        <v>25</v>
      </c>
      <c r="S35" s="754">
        <f t="shared" si="12"/>
        <v>100</v>
      </c>
      <c r="T35" s="753" t="s">
        <v>25</v>
      </c>
      <c r="U35" s="754">
        <f t="shared" si="13"/>
        <v>100</v>
      </c>
      <c r="V35" s="753" t="s">
        <v>25</v>
      </c>
      <c r="W35" s="754">
        <f t="shared" si="14"/>
        <v>100</v>
      </c>
      <c r="X35" s="1898"/>
      <c r="Y35" s="2990"/>
      <c r="Z35" s="1900" t="str">
        <f t="shared" si="15"/>
        <v>建筑结构</v>
      </c>
      <c r="AA35" s="1901">
        <f t="shared" si="3"/>
        <v>1</v>
      </c>
      <c r="AB35" s="1901">
        <f t="shared" si="4"/>
        <v>1</v>
      </c>
      <c r="AC35" s="1901">
        <f t="shared" si="5"/>
        <v>1</v>
      </c>
    </row>
    <row r="36" spans="1:29" ht="15">
      <c r="A36" s="453"/>
      <c r="B36" s="402" t="s">
        <v>2452</v>
      </c>
      <c r="C36" s="441" t="s">
        <v>2876</v>
      </c>
      <c r="D36" s="415">
        <v>100</v>
      </c>
      <c r="E36" s="441" t="s">
        <v>2876</v>
      </c>
      <c r="F36" s="442">
        <f>SUMIF(108:108,E36,109:109)-SUMIF(108:108,C36,109:109)+100</f>
        <v>100</v>
      </c>
      <c r="G36" s="441" t="s">
        <v>2876</v>
      </c>
      <c r="H36" s="415">
        <f>SUMIF(108:108,G36,109:109)-SUMIF(108:108,C36,109:109)+100</f>
        <v>100</v>
      </c>
      <c r="I36" s="441" t="s">
        <v>2876</v>
      </c>
      <c r="J36" s="415">
        <f>SUMIF(108:108,I36,109:109)-SUMIF(108:108,C36,109:109)+100</f>
        <v>100</v>
      </c>
      <c r="K36" s="596">
        <v>2</v>
      </c>
      <c r="L36" s="1252"/>
      <c r="M36" s="1243"/>
      <c r="N36" s="1243"/>
      <c r="O36" s="1243"/>
      <c r="P36" s="2988"/>
      <c r="Q36" s="1897" t="str">
        <f t="shared" si="11"/>
        <v>公共部分装修</v>
      </c>
      <c r="R36" s="753" t="s">
        <v>25</v>
      </c>
      <c r="S36" s="754">
        <f t="shared" si="12"/>
        <v>100</v>
      </c>
      <c r="T36" s="753" t="s">
        <v>25</v>
      </c>
      <c r="U36" s="754">
        <f t="shared" si="13"/>
        <v>100</v>
      </c>
      <c r="V36" s="753" t="s">
        <v>25</v>
      </c>
      <c r="W36" s="754">
        <f t="shared" si="14"/>
        <v>100</v>
      </c>
      <c r="X36" s="1898"/>
      <c r="Y36" s="2990"/>
      <c r="Z36" s="1900" t="str">
        <f t="shared" si="15"/>
        <v>公共部分装修</v>
      </c>
      <c r="AA36" s="1901">
        <f t="shared" si="3"/>
        <v>1</v>
      </c>
      <c r="AB36" s="1901">
        <f t="shared" si="4"/>
        <v>1</v>
      </c>
      <c r="AC36" s="1901">
        <f t="shared" si="5"/>
        <v>1</v>
      </c>
    </row>
    <row r="37" spans="1:29" ht="15">
      <c r="A37" s="453"/>
      <c r="B37" s="402" t="s">
        <v>2453</v>
      </c>
      <c r="C37" s="455">
        <f>'数据-取费表'!E20</f>
        <v>0.78</v>
      </c>
      <c r="D37" s="415">
        <v>100</v>
      </c>
      <c r="E37" s="455">
        <f>案例!R12</f>
        <v>0.72</v>
      </c>
      <c r="F37" s="442">
        <f>LOOKUP(E37,111:111,112:112)-LOOKUP(C37,111:111,112:112)+100</f>
        <v>100</v>
      </c>
      <c r="G37" s="455">
        <f>案例!R13</f>
        <v>0.75</v>
      </c>
      <c r="H37" s="442">
        <f>LOOKUP(G37,111:111,112:112)-LOOKUP(C37,111:111,112:112)+100</f>
        <v>100</v>
      </c>
      <c r="I37" s="455">
        <f>案例!R14</f>
        <v>0.8</v>
      </c>
      <c r="J37" s="415">
        <f>LOOKUP(I37,111:111,112:112)-LOOKUP(C37,111:111,112:112)+100</f>
        <v>101</v>
      </c>
      <c r="K37" s="596">
        <v>1</v>
      </c>
      <c r="L37" s="1252"/>
      <c r="M37" s="1243"/>
      <c r="N37" s="1243"/>
      <c r="O37" s="1243"/>
      <c r="P37" s="2988"/>
      <c r="Q37" s="1897" t="str">
        <f t="shared" si="11"/>
        <v>成新度</v>
      </c>
      <c r="R37" s="753" t="s">
        <v>25</v>
      </c>
      <c r="S37" s="754">
        <f t="shared" si="12"/>
        <v>100</v>
      </c>
      <c r="T37" s="753" t="s">
        <v>25</v>
      </c>
      <c r="U37" s="754">
        <f t="shared" si="13"/>
        <v>100</v>
      </c>
      <c r="V37" s="753" t="s">
        <v>25</v>
      </c>
      <c r="W37" s="754">
        <f t="shared" si="14"/>
        <v>101</v>
      </c>
      <c r="X37" s="1898"/>
      <c r="Y37" s="2990"/>
      <c r="Z37" s="1900" t="str">
        <f t="shared" si="15"/>
        <v>成新度</v>
      </c>
      <c r="AA37" s="1901">
        <f t="shared" si="3"/>
        <v>1</v>
      </c>
      <c r="AB37" s="1901">
        <f t="shared" si="4"/>
        <v>1</v>
      </c>
      <c r="AC37" s="1901">
        <f t="shared" si="5"/>
        <v>0.99009900990099009</v>
      </c>
    </row>
    <row r="38" spans="1:29" s="35" customFormat="1" ht="15">
      <c r="A38" s="454"/>
      <c r="B38" s="402" t="s">
        <v>2480</v>
      </c>
      <c r="C38" s="441" t="s">
        <v>2882</v>
      </c>
      <c r="D38" s="52">
        <v>100</v>
      </c>
      <c r="E38" s="441" t="s">
        <v>2882</v>
      </c>
      <c r="F38" s="442">
        <f>SUMIF(113:113,E38,114:114)-SUMIF(113:113,C38,114:114)+100</f>
        <v>100</v>
      </c>
      <c r="G38" s="441" t="s">
        <v>2882</v>
      </c>
      <c r="H38" s="415">
        <f>SUMIF(113:113,G38,114:114)-SUMIF(113:113,C38,114:114)+100</f>
        <v>100</v>
      </c>
      <c r="I38" s="441" t="s">
        <v>2882</v>
      </c>
      <c r="J38" s="415">
        <f>SUMIF(113:113,I38,114:114)-SUMIF(113:113,C38,114:114)+100</f>
        <v>100</v>
      </c>
      <c r="K38" s="596">
        <v>5</v>
      </c>
      <c r="L38" s="1244"/>
      <c r="M38" s="1245"/>
      <c r="N38" s="1245"/>
      <c r="O38" s="1245"/>
      <c r="P38" s="2988"/>
      <c r="Q38" s="1885" t="str">
        <f t="shared" si="11"/>
        <v>写字楼等级</v>
      </c>
      <c r="R38" s="749" t="s">
        <v>25</v>
      </c>
      <c r="S38" s="750">
        <f t="shared" si="12"/>
        <v>100</v>
      </c>
      <c r="T38" s="749" t="s">
        <v>25</v>
      </c>
      <c r="U38" s="750">
        <f t="shared" si="13"/>
        <v>100</v>
      </c>
      <c r="V38" s="749" t="s">
        <v>25</v>
      </c>
      <c r="W38" s="750">
        <f t="shared" si="14"/>
        <v>100</v>
      </c>
      <c r="X38" s="751"/>
      <c r="Y38" s="2990"/>
      <c r="Z38" s="23" t="str">
        <f t="shared" si="15"/>
        <v>写字楼等级</v>
      </c>
      <c r="AA38" s="752">
        <f t="shared" si="3"/>
        <v>1</v>
      </c>
      <c r="AB38" s="752">
        <f t="shared" si="4"/>
        <v>1</v>
      </c>
      <c r="AC38" s="752">
        <f t="shared" si="5"/>
        <v>1</v>
      </c>
    </row>
    <row r="39" spans="1:29" ht="15">
      <c r="A39" s="453"/>
      <c r="B39" s="402" t="s">
        <v>2481</v>
      </c>
      <c r="C39" s="441" t="s">
        <v>2884</v>
      </c>
      <c r="D39" s="415">
        <v>100</v>
      </c>
      <c r="E39" s="441" t="s">
        <v>2884</v>
      </c>
      <c r="F39" s="442">
        <f>SUMIF(115:115,E39,116:116)-SUMIF(115:115,C39,116:116)+100</f>
        <v>100</v>
      </c>
      <c r="G39" s="441" t="s">
        <v>2884</v>
      </c>
      <c r="H39" s="415">
        <f>SUMIF(115:115,G39,116:116)-SUMIF(115:115,C39,116:116)+100</f>
        <v>100</v>
      </c>
      <c r="I39" s="441" t="s">
        <v>2884</v>
      </c>
      <c r="J39" s="415">
        <f>SUMIF(115:115,I39,116:116)-SUMIF(115:115,C39,116:116)+100</f>
        <v>100</v>
      </c>
      <c r="K39" s="596">
        <v>2</v>
      </c>
      <c r="L39" s="1252"/>
      <c r="M39" s="1243"/>
      <c r="N39" s="1243"/>
      <c r="O39" s="1243"/>
      <c r="P39" s="2988" t="s">
        <v>2365</v>
      </c>
      <c r="Q39" s="1897" t="str">
        <f t="shared" si="11"/>
        <v>物业管理</v>
      </c>
      <c r="R39" s="753" t="s">
        <v>25</v>
      </c>
      <c r="S39" s="754">
        <f t="shared" si="12"/>
        <v>100</v>
      </c>
      <c r="T39" s="753" t="s">
        <v>25</v>
      </c>
      <c r="U39" s="754">
        <f t="shared" si="13"/>
        <v>100</v>
      </c>
      <c r="V39" s="753" t="s">
        <v>25</v>
      </c>
      <c r="W39" s="754">
        <f t="shared" si="14"/>
        <v>100</v>
      </c>
      <c r="X39" s="1898"/>
      <c r="Y39" s="2990" t="s">
        <v>2365</v>
      </c>
      <c r="Z39" s="1900" t="str">
        <f t="shared" si="15"/>
        <v>物业管理</v>
      </c>
      <c r="AA39" s="1901">
        <f t="shared" si="3"/>
        <v>1</v>
      </c>
      <c r="AB39" s="1901">
        <f t="shared" si="4"/>
        <v>1</v>
      </c>
      <c r="AC39" s="1901">
        <f t="shared" si="5"/>
        <v>1</v>
      </c>
    </row>
    <row r="40" spans="1:29" ht="15">
      <c r="A40" s="453"/>
      <c r="B40" s="402" t="s">
        <v>2454</v>
      </c>
      <c r="C40" s="441" t="s">
        <v>2887</v>
      </c>
      <c r="D40" s="415">
        <v>100</v>
      </c>
      <c r="E40" s="441" t="s">
        <v>2887</v>
      </c>
      <c r="F40" s="442">
        <f>SUMIF(117:117,E40,118:118)-SUMIF(117:117,C40,118:118)+100</f>
        <v>100</v>
      </c>
      <c r="G40" s="441" t="s">
        <v>2887</v>
      </c>
      <c r="H40" s="415">
        <f>SUMIF(117:117,G40,118:118)-SUMIF(117:117,C40,118:118)+100</f>
        <v>100</v>
      </c>
      <c r="I40" s="441" t="s">
        <v>2887</v>
      </c>
      <c r="J40" s="415">
        <f>SUMIF(117:117,I40,118:118)-SUMIF(117:117,C40,118:118)+100</f>
        <v>100</v>
      </c>
      <c r="K40" s="596">
        <v>1</v>
      </c>
      <c r="L40" s="1252"/>
      <c r="M40" s="1243"/>
      <c r="N40" s="1243"/>
      <c r="O40" s="1243"/>
      <c r="P40" s="2988"/>
      <c r="Q40" s="1897" t="str">
        <f t="shared" si="11"/>
        <v>市政基础设施</v>
      </c>
      <c r="R40" s="753" t="s">
        <v>25</v>
      </c>
      <c r="S40" s="754">
        <f t="shared" si="12"/>
        <v>100</v>
      </c>
      <c r="T40" s="753" t="s">
        <v>25</v>
      </c>
      <c r="U40" s="754">
        <f t="shared" si="13"/>
        <v>100</v>
      </c>
      <c r="V40" s="753" t="s">
        <v>25</v>
      </c>
      <c r="W40" s="754">
        <f t="shared" si="14"/>
        <v>100</v>
      </c>
      <c r="X40" s="1898"/>
      <c r="Y40" s="2990"/>
      <c r="Z40" s="1900" t="str">
        <f t="shared" si="15"/>
        <v>市政基础设施</v>
      </c>
      <c r="AA40" s="1901">
        <f t="shared" si="3"/>
        <v>1</v>
      </c>
      <c r="AB40" s="1901">
        <f t="shared" si="4"/>
        <v>1</v>
      </c>
      <c r="AC40" s="1901">
        <f t="shared" si="5"/>
        <v>1</v>
      </c>
    </row>
    <row r="41" spans="1:29" ht="15">
      <c r="A41" s="453"/>
      <c r="B41" s="402" t="s">
        <v>2456</v>
      </c>
      <c r="C41" s="600" t="s">
        <v>2890</v>
      </c>
      <c r="D41" s="415">
        <v>100</v>
      </c>
      <c r="E41" s="600" t="s">
        <v>2890</v>
      </c>
      <c r="F41" s="442">
        <f>SUMIF(119:119,E41,120:120)-SUMIF(119:119,C41,120:120)+100</f>
        <v>100</v>
      </c>
      <c r="G41" s="600" t="s">
        <v>2890</v>
      </c>
      <c r="H41" s="415">
        <f>SUMIF(119:119,G41,120:120)-SUMIF(119:119,C41,120:120)+100</f>
        <v>100</v>
      </c>
      <c r="I41" s="600" t="s">
        <v>2890</v>
      </c>
      <c r="J41" s="415">
        <f>SUMIF(119:119,I41,120:120)-SUMIF(119:119,C41,120:120)+100</f>
        <v>100</v>
      </c>
      <c r="K41" s="596">
        <v>2</v>
      </c>
      <c r="L41" s="1252"/>
      <c r="M41" s="1243"/>
      <c r="N41" s="1243"/>
      <c r="O41" s="1243"/>
      <c r="P41" s="2988"/>
      <c r="Q41" s="1897" t="str">
        <f t="shared" si="11"/>
        <v>层高</v>
      </c>
      <c r="R41" s="753" t="s">
        <v>25</v>
      </c>
      <c r="S41" s="754">
        <f t="shared" si="12"/>
        <v>100</v>
      </c>
      <c r="T41" s="753" t="s">
        <v>25</v>
      </c>
      <c r="U41" s="754">
        <f t="shared" si="13"/>
        <v>100</v>
      </c>
      <c r="V41" s="753" t="s">
        <v>25</v>
      </c>
      <c r="W41" s="754">
        <f t="shared" si="14"/>
        <v>100</v>
      </c>
      <c r="X41" s="1898"/>
      <c r="Y41" s="2990"/>
      <c r="Z41" s="1900" t="str">
        <f t="shared" si="15"/>
        <v>层高</v>
      </c>
      <c r="AA41" s="1901">
        <f t="shared" si="3"/>
        <v>1</v>
      </c>
      <c r="AB41" s="1901">
        <f t="shared" si="4"/>
        <v>1</v>
      </c>
      <c r="AC41" s="1901">
        <f t="shared" si="5"/>
        <v>1</v>
      </c>
    </row>
    <row r="42" spans="1:29" s="452" customFormat="1" ht="15">
      <c r="A42" s="449"/>
      <c r="B42" s="1902" t="s">
        <v>2482</v>
      </c>
      <c r="C42" s="414" t="s">
        <v>2897</v>
      </c>
      <c r="D42" s="415">
        <v>100</v>
      </c>
      <c r="E42" s="414" t="s">
        <v>2897</v>
      </c>
      <c r="F42" s="442">
        <f>SUMIF(121:121,E42,122:122)-SUMIF(121:121,C42,122:122)+100</f>
        <v>100</v>
      </c>
      <c r="G42" s="414" t="s">
        <v>2895</v>
      </c>
      <c r="H42" s="415">
        <f>SUMIF(121:121,G42,122:122)-SUMIF(121:121,C42,122:122)+100</f>
        <v>98</v>
      </c>
      <c r="I42" s="414" t="s">
        <v>2901</v>
      </c>
      <c r="J42" s="415">
        <f>SUMIF(121:121,I42,122:122)-SUMIF(121:121,C42,122:122)+100</f>
        <v>102</v>
      </c>
      <c r="K42" s="597"/>
      <c r="L42" s="1250"/>
      <c r="M42" s="1253"/>
      <c r="N42" s="1253"/>
      <c r="O42" s="1253"/>
      <c r="P42" s="2988"/>
      <c r="Q42" s="755" t="str">
        <f t="shared" si="11"/>
        <v>单套建筑面积</v>
      </c>
      <c r="R42" s="756" t="s">
        <v>25</v>
      </c>
      <c r="S42" s="757">
        <f t="shared" si="12"/>
        <v>100</v>
      </c>
      <c r="T42" s="756" t="s">
        <v>25</v>
      </c>
      <c r="U42" s="757">
        <f t="shared" si="13"/>
        <v>98</v>
      </c>
      <c r="V42" s="756" t="s">
        <v>25</v>
      </c>
      <c r="W42" s="757">
        <f t="shared" si="14"/>
        <v>102</v>
      </c>
      <c r="X42" s="758"/>
      <c r="Y42" s="2990"/>
      <c r="Z42" s="759" t="str">
        <f t="shared" si="15"/>
        <v>单套建筑面积</v>
      </c>
      <c r="AA42" s="1901">
        <f t="shared" si="3"/>
        <v>1</v>
      </c>
      <c r="AB42" s="1901">
        <f t="shared" si="4"/>
        <v>1.0204081632653061</v>
      </c>
      <c r="AC42" s="1901">
        <f t="shared" si="5"/>
        <v>0.98039215686274506</v>
      </c>
    </row>
    <row r="43" spans="1:29" ht="15">
      <c r="A43" s="453"/>
      <c r="B43" s="402" t="s">
        <v>2459</v>
      </c>
      <c r="C43" s="441" t="s">
        <v>2878</v>
      </c>
      <c r="D43" s="415">
        <v>100</v>
      </c>
      <c r="E43" s="441" t="s">
        <v>2878</v>
      </c>
      <c r="F43" s="442">
        <f>SUMIF(123:123,E43,124:124)-SUMIF(123:123,C43,124:124)+100</f>
        <v>100</v>
      </c>
      <c r="G43" s="441" t="s">
        <v>2878</v>
      </c>
      <c r="H43" s="415">
        <f>SUMIF(123:123,G43,124:124)-SUMIF(123:123,C43,124:124)+100</f>
        <v>100</v>
      </c>
      <c r="I43" s="441" t="s">
        <v>2878</v>
      </c>
      <c r="J43" s="415">
        <f>SUMIF(123:123,I43,124:124)-SUMIF(123:123,C43,124:124)+100</f>
        <v>100</v>
      </c>
      <c r="K43" s="596">
        <v>2</v>
      </c>
      <c r="L43" s="1252"/>
      <c r="M43" s="1243"/>
      <c r="N43" s="1243"/>
      <c r="O43" s="1243"/>
      <c r="P43" s="2988"/>
      <c r="Q43" s="1897" t="str">
        <f t="shared" si="11"/>
        <v>内部装修</v>
      </c>
      <c r="R43" s="753" t="s">
        <v>25</v>
      </c>
      <c r="S43" s="754">
        <f t="shared" si="12"/>
        <v>100</v>
      </c>
      <c r="T43" s="753" t="s">
        <v>25</v>
      </c>
      <c r="U43" s="754">
        <f t="shared" si="13"/>
        <v>100</v>
      </c>
      <c r="V43" s="753" t="s">
        <v>25</v>
      </c>
      <c r="W43" s="754">
        <f t="shared" si="14"/>
        <v>100</v>
      </c>
      <c r="X43" s="1898"/>
      <c r="Y43" s="2990"/>
      <c r="Z43" s="1900" t="str">
        <f t="shared" si="15"/>
        <v>内部装修</v>
      </c>
      <c r="AA43" s="1901">
        <f t="shared" si="3"/>
        <v>1</v>
      </c>
      <c r="AB43" s="1901">
        <f t="shared" si="4"/>
        <v>1</v>
      </c>
      <c r="AC43" s="1901">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2"/>
      <c r="M44" s="1243"/>
      <c r="N44" s="1243"/>
      <c r="O44" s="1243"/>
      <c r="P44" s="2988"/>
      <c r="Q44" s="1897" t="str">
        <f t="shared" si="11"/>
        <v>内部装修维护情况</v>
      </c>
      <c r="R44" s="753" t="s">
        <v>25</v>
      </c>
      <c r="S44" s="754">
        <f t="shared" si="12"/>
        <v>102</v>
      </c>
      <c r="T44" s="753" t="s">
        <v>25</v>
      </c>
      <c r="U44" s="754">
        <f t="shared" si="13"/>
        <v>102</v>
      </c>
      <c r="V44" s="753" t="s">
        <v>25</v>
      </c>
      <c r="W44" s="754">
        <f t="shared" si="14"/>
        <v>102</v>
      </c>
      <c r="X44" s="1898"/>
      <c r="Y44" s="2990"/>
      <c r="Z44" s="1900" t="str">
        <f t="shared" si="15"/>
        <v>内部装修维护情况</v>
      </c>
      <c r="AA44" s="1901">
        <f t="shared" si="3"/>
        <v>0.98039215686274506</v>
      </c>
      <c r="AB44" s="1901">
        <f t="shared" si="4"/>
        <v>0.98039215686274506</v>
      </c>
      <c r="AC44" s="1901">
        <f t="shared" si="5"/>
        <v>0.98039215686274506</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2988"/>
      <c r="Q45" s="1885">
        <f t="shared" si="11"/>
        <v>111</v>
      </c>
      <c r="R45" s="749" t="s">
        <v>25</v>
      </c>
      <c r="S45" s="750">
        <f t="shared" si="12"/>
        <v>100</v>
      </c>
      <c r="T45" s="749" t="s">
        <v>25</v>
      </c>
      <c r="U45" s="750">
        <f t="shared" si="13"/>
        <v>100</v>
      </c>
      <c r="V45" s="749" t="s">
        <v>25</v>
      </c>
      <c r="W45" s="750">
        <f t="shared" si="14"/>
        <v>100</v>
      </c>
      <c r="X45" s="751"/>
      <c r="Y45" s="2990"/>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2988"/>
      <c r="Q46" s="1897">
        <f t="shared" si="11"/>
        <v>111</v>
      </c>
      <c r="R46" s="753" t="s">
        <v>25</v>
      </c>
      <c r="S46" s="754">
        <f t="shared" si="12"/>
        <v>100</v>
      </c>
      <c r="T46" s="753" t="s">
        <v>25</v>
      </c>
      <c r="U46" s="754">
        <f t="shared" si="13"/>
        <v>100</v>
      </c>
      <c r="V46" s="753" t="s">
        <v>25</v>
      </c>
      <c r="W46" s="754">
        <f t="shared" si="14"/>
        <v>100</v>
      </c>
      <c r="X46" s="1898"/>
      <c r="Y46" s="2990"/>
      <c r="Z46" s="1900">
        <f t="shared" si="15"/>
        <v>111</v>
      </c>
      <c r="AA46" s="1901">
        <f t="shared" si="3"/>
        <v>1</v>
      </c>
      <c r="AB46" s="1901">
        <f t="shared" si="4"/>
        <v>1</v>
      </c>
      <c r="AC46" s="1901">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2989"/>
      <c r="Q47" s="1897">
        <f t="shared" si="11"/>
        <v>111</v>
      </c>
      <c r="R47" s="753" t="s">
        <v>25</v>
      </c>
      <c r="S47" s="754">
        <f t="shared" si="12"/>
        <v>100</v>
      </c>
      <c r="T47" s="753" t="s">
        <v>25</v>
      </c>
      <c r="U47" s="754">
        <f t="shared" si="13"/>
        <v>100</v>
      </c>
      <c r="V47" s="753" t="s">
        <v>25</v>
      </c>
      <c r="W47" s="754">
        <f t="shared" si="14"/>
        <v>100</v>
      </c>
      <c r="X47" s="1898"/>
      <c r="Y47" s="2991"/>
      <c r="Z47" s="1900">
        <f t="shared" si="15"/>
        <v>111</v>
      </c>
      <c r="AA47" s="1901">
        <f t="shared" si="3"/>
        <v>1</v>
      </c>
      <c r="AB47" s="1901">
        <f t="shared" si="4"/>
        <v>1</v>
      </c>
      <c r="AC47" s="1901">
        <f t="shared" si="5"/>
        <v>1</v>
      </c>
    </row>
    <row r="48" spans="1:29" ht="15">
      <c r="A48" s="460" t="s">
        <v>2377</v>
      </c>
      <c r="B48" s="461"/>
      <c r="C48" s="1500" t="s">
        <v>1</v>
      </c>
      <c r="D48" s="1501"/>
      <c r="E48" s="1502">
        <f>案例!N12</f>
        <v>41343</v>
      </c>
      <c r="F48" s="1503"/>
      <c r="G48" s="1504">
        <f>案例!N13</f>
        <v>37142</v>
      </c>
      <c r="H48" s="1505"/>
      <c r="I48" s="1502">
        <f>案例!N14</f>
        <v>43120</v>
      </c>
      <c r="J48" s="1505"/>
      <c r="K48" s="762"/>
      <c r="L48" s="1255"/>
      <c r="M48" s="1243"/>
      <c r="N48" s="1243"/>
      <c r="O48" s="1243"/>
      <c r="P48" s="2982" t="str">
        <f>A48</f>
        <v>成交单价（元/平方米）</v>
      </c>
      <c r="Q48" s="2983"/>
      <c r="R48" s="2984">
        <f>E48</f>
        <v>41343</v>
      </c>
      <c r="S48" s="2984"/>
      <c r="T48" s="2984">
        <f>G48</f>
        <v>37142</v>
      </c>
      <c r="U48" s="2984"/>
      <c r="V48" s="2984">
        <f>I48</f>
        <v>43120</v>
      </c>
      <c r="W48" s="2984"/>
      <c r="X48" s="738"/>
      <c r="Y48" s="760"/>
      <c r="Z48" s="738"/>
      <c r="AA48" s="738"/>
      <c r="AB48" s="738"/>
      <c r="AC48" s="738"/>
    </row>
    <row r="49" spans="1:29" ht="15.75" thickBot="1">
      <c r="A49" s="467" t="s">
        <v>2460</v>
      </c>
      <c r="B49" s="468"/>
      <c r="C49" s="1506">
        <f>R50</f>
        <v>35319</v>
      </c>
      <c r="D49" s="1507"/>
      <c r="E49" s="1508">
        <f>R49</f>
        <v>36862</v>
      </c>
      <c r="F49" s="1508"/>
      <c r="G49" s="1506">
        <f>T49</f>
        <v>32493</v>
      </c>
      <c r="H49" s="1507"/>
      <c r="I49" s="1508">
        <f>V49</f>
        <v>36602</v>
      </c>
      <c r="J49" s="1507"/>
      <c r="K49" s="763"/>
      <c r="L49" s="1255"/>
      <c r="M49" s="1243"/>
      <c r="N49" s="1243"/>
      <c r="O49" s="1243"/>
      <c r="P49" s="2982" t="str">
        <f>A49</f>
        <v>比较价值（元/平方米）</v>
      </c>
      <c r="Q49" s="2983"/>
      <c r="R49" s="2984">
        <f>IF(E1="售价",ROUND(PRODUCT(R48,AA7:AA47),0),ROUND(PRODUCT(R48,AA7:AA47),1))</f>
        <v>36862</v>
      </c>
      <c r="S49" s="2984"/>
      <c r="T49" s="2984">
        <f>IF(E1="售价",ROUND(PRODUCT(T48,AB7:AB47),0),ROUND(PRODUCT(T48,AB7:AB47),1))</f>
        <v>32493</v>
      </c>
      <c r="U49" s="2984"/>
      <c r="V49" s="2984">
        <f>IF(E1="售价",ROUND(PRODUCT(V48,AC7:AC47),0),ROUND(PRODUCT(V48,AC7:AC47),1))</f>
        <v>36602</v>
      </c>
      <c r="W49" s="2984"/>
      <c r="X49" s="738"/>
      <c r="Y49" s="738"/>
      <c r="Z49" s="738"/>
      <c r="AA49" s="738"/>
      <c r="AB49" s="738"/>
      <c r="AC49" s="738"/>
    </row>
    <row r="50" spans="1:29" ht="15.75" thickBot="1">
      <c r="A50" s="473" t="s">
        <v>2483</v>
      </c>
      <c r="B50" s="474"/>
      <c r="C50" s="1510">
        <f>R50</f>
        <v>35319</v>
      </c>
      <c r="D50" s="1510"/>
      <c r="E50" s="1510"/>
      <c r="F50" s="1510"/>
      <c r="G50" s="1510"/>
      <c r="H50" s="1510"/>
      <c r="I50" s="1510"/>
      <c r="J50" s="1510"/>
      <c r="K50" s="764"/>
      <c r="L50" s="1255"/>
      <c r="M50" s="1243"/>
      <c r="N50" s="1243"/>
      <c r="O50" s="1243"/>
      <c r="P50" s="2985" t="str">
        <f>A50</f>
        <v>估价对象XX用房的比较价值（楼面单价，元/平方米）</v>
      </c>
      <c r="Q50" s="2982"/>
      <c r="R50" s="2986">
        <f>IF(E1="售价",ROUND(AVERAGE(R49:V49),0),ROUND(AVERAGE(R49:V49),1))</f>
        <v>35319</v>
      </c>
      <c r="S50" s="2986"/>
      <c r="T50" s="2986"/>
      <c r="U50" s="2986"/>
      <c r="V50" s="2986"/>
      <c r="W50" s="298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2462</v>
      </c>
      <c r="D53" s="479"/>
      <c r="E53" s="480">
        <f>IF(E48&lt;E49,E49/E48-1,E48/E49-1)</f>
        <v>0.12156149964733332</v>
      </c>
      <c r="F53" s="481" t="str">
        <f>IF(OR(E53&gt;=0.3,E53&lt;=-0.3),"超过30%","")</f>
        <v/>
      </c>
      <c r="G53" s="480">
        <f>IF(G48&lt;G49,G49/G48-1,G48/G49-1)</f>
        <v>0.14307697042439904</v>
      </c>
      <c r="H53" s="481" t="str">
        <f>IF(OR(G53&gt;=0.3,G53&lt;=-0.3),"超过30%","")</f>
        <v/>
      </c>
      <c r="I53" s="480">
        <f>IF(I48&lt;I49,I49/I48-1,I48/I49-1)</f>
        <v>0.17807770067209439</v>
      </c>
      <c r="J53" s="481" t="str">
        <f>IF(OR(I53&gt;=0.3,I53&lt;=-0.3),"超过30%","")</f>
        <v/>
      </c>
      <c r="K53" s="1261"/>
      <c r="L53" s="1257"/>
      <c r="M53" s="1256"/>
      <c r="N53" s="1256"/>
      <c r="O53" s="1256"/>
    </row>
    <row r="54" spans="1:29" ht="13.5" customHeight="1">
      <c r="A54" s="1256"/>
      <c r="B54" s="1256"/>
      <c r="C54" s="478" t="s">
        <v>2463</v>
      </c>
      <c r="D54" s="482"/>
      <c r="E54" s="480">
        <f>IF(E49&lt;G49,G49/E49-1,E49/G49-1)</f>
        <v>0.1344597297879544</v>
      </c>
      <c r="F54" s="481" t="str">
        <f>IF(OR(E54&gt;=0.2,E54&lt;=-0.2),"超过20%","")</f>
        <v/>
      </c>
      <c r="G54" s="480">
        <f>IF(G49&lt;I49,I49/G49-1,G49/I49-1)</f>
        <v>0.12645800633982707</v>
      </c>
      <c r="H54" s="481" t="str">
        <f>IF(OR(G54&gt;=0.2,G54&lt;=-0.2),"超过20%","")</f>
        <v/>
      </c>
      <c r="I54" s="480">
        <f>IF(I49&lt;E49,E49/I49-1,I49/E49-1)</f>
        <v>7.1034369706572953E-3</v>
      </c>
      <c r="J54" s="481" t="str">
        <f>IF(OR(I54&gt;=0.2,I54&lt;=-0.2),"超过20%","")</f>
        <v/>
      </c>
      <c r="K54" s="1261"/>
      <c r="L54" s="1257"/>
      <c r="M54" s="1256"/>
      <c r="N54" s="1256"/>
      <c r="O54" s="1256"/>
    </row>
    <row r="55" spans="1:29" s="483" customFormat="1" ht="13.5" customHeight="1">
      <c r="A55" s="1258"/>
      <c r="B55" s="1258"/>
      <c r="C55" s="478" t="s">
        <v>2464</v>
      </c>
      <c r="D55" s="482"/>
      <c r="E55" s="480">
        <f>IF(E48&lt;G48,G48/E48-1,E48/G48-1)</f>
        <v>0.11310645630283767</v>
      </c>
      <c r="F55" s="481" t="str">
        <f>IF(OR(E55&gt;=0.3,E55&lt;=-0.3),"超过30%","")</f>
        <v/>
      </c>
      <c r="G55" s="480">
        <f>IF(G48&lt;I48,I48/G48-1,G48/I48-1)</f>
        <v>0.16094986807387857</v>
      </c>
      <c r="H55" s="481" t="str">
        <f>IF(OR(G55&gt;=0.3,G55&lt;=-0.3),"超过30%","")</f>
        <v/>
      </c>
      <c r="I55" s="480">
        <f>IF(I48&lt;E48,E48/I48-1,I48/E48-1)</f>
        <v>4.2981883269235466E-2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2388</v>
      </c>
      <c r="B64" s="509" t="s">
        <v>2353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t="str">
        <f>B12</f>
        <v>权属不清</v>
      </c>
      <c r="C71" s="2735" t="s">
        <v>2907</v>
      </c>
      <c r="D71" s="2735" t="s">
        <v>2908</v>
      </c>
      <c r="E71" s="537"/>
      <c r="F71" s="537"/>
      <c r="G71" s="537"/>
      <c r="H71" s="538"/>
      <c r="I71" s="538"/>
      <c r="J71" s="538"/>
      <c r="K71" s="538"/>
      <c r="L71" s="539"/>
      <c r="M71" s="540"/>
      <c r="N71" s="1268"/>
      <c r="O71" s="1268"/>
      <c r="P71" s="542"/>
      <c r="Q71" s="543"/>
    </row>
    <row r="72" spans="1:17" s="452" customFormat="1" ht="15.75" thickBot="1">
      <c r="A72" s="536"/>
      <c r="B72" s="526"/>
      <c r="C72" s="544">
        <v>90</v>
      </c>
      <c r="D72" s="518">
        <v>100</v>
      </c>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2486</v>
      </c>
      <c r="C87" s="2735" t="s">
        <v>2862</v>
      </c>
      <c r="D87" s="2735" t="s">
        <v>2863</v>
      </c>
      <c r="E87" s="2735" t="s">
        <v>2865</v>
      </c>
      <c r="F87" s="2735" t="s">
        <v>2867</v>
      </c>
      <c r="G87" s="2735" t="s">
        <v>2868</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5" t="s">
        <v>2869</v>
      </c>
      <c r="D89" s="2735" t="s">
        <v>2870</v>
      </c>
      <c r="E89" s="2735" t="s">
        <v>2871</v>
      </c>
      <c r="F89" s="2429"/>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2363</v>
      </c>
      <c r="B101" s="509" t="s">
        <v>2412</v>
      </c>
      <c r="C101" s="2739" t="s">
        <v>2875</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7"/>
      <c r="O102" s="1267"/>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1E+16</v>
      </c>
      <c r="E104" s="579"/>
      <c r="F104" s="579"/>
      <c r="G104" s="579"/>
      <c r="H104" s="579"/>
      <c r="I104" s="579"/>
      <c r="J104" s="580"/>
      <c r="K104" s="580"/>
      <c r="L104" s="581"/>
      <c r="M104" s="582"/>
      <c r="N104" s="1268"/>
      <c r="O104" s="1268"/>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7"/>
      <c r="O105" s="1267"/>
      <c r="P105" s="542"/>
      <c r="Q105" s="543"/>
    </row>
    <row r="106" spans="1:17" ht="15" thickTop="1">
      <c r="A106" s="583"/>
      <c r="B106" s="521" t="s">
        <v>2414</v>
      </c>
      <c r="C106" s="2735" t="s">
        <v>2896</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7"/>
      <c r="O107" s="1267"/>
      <c r="P107" s="22"/>
      <c r="Q107" s="485"/>
    </row>
    <row r="108" spans="1:17" ht="15" thickTop="1">
      <c r="A108" s="583"/>
      <c r="B108" s="521" t="s">
        <v>2416</v>
      </c>
      <c r="C108" s="2735" t="s">
        <v>2877</v>
      </c>
      <c r="D108" s="2735" t="s">
        <v>2879</v>
      </c>
      <c r="E108" s="2735" t="s">
        <v>2880</v>
      </c>
      <c r="F108" s="2734" t="s">
        <v>2881</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2487</v>
      </c>
      <c r="C113" s="2735" t="s">
        <v>2883</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2418</v>
      </c>
      <c r="C115" s="2735" t="s">
        <v>2885</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2419</v>
      </c>
      <c r="C117" s="537" t="s">
        <v>2857</v>
      </c>
      <c r="D117" s="537" t="s">
        <v>2886</v>
      </c>
      <c r="E117" s="537" t="s">
        <v>2887</v>
      </c>
      <c r="F117" s="537" t="s">
        <v>2888</v>
      </c>
      <c r="G117" s="537" t="s">
        <v>2889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2488</v>
      </c>
      <c r="C119" s="2734" t="s">
        <v>2891</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2470</v>
      </c>
      <c r="C121" s="537" t="s">
        <v>2892</v>
      </c>
      <c r="D121" s="537" t="s">
        <v>2893</v>
      </c>
      <c r="E121" s="537" t="s">
        <v>2894</v>
      </c>
      <c r="F121" s="567" t="s">
        <v>2895</v>
      </c>
      <c r="G121" s="538"/>
      <c r="H121" s="538"/>
      <c r="I121" s="538"/>
      <c r="J121" s="538"/>
      <c r="K121" s="538"/>
      <c r="L121" s="539"/>
      <c r="M121" s="540"/>
      <c r="N121" s="1268"/>
      <c r="O121" s="1268"/>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8"/>
      <c r="O122" s="1268"/>
      <c r="P122" s="542"/>
      <c r="Q122" s="543"/>
    </row>
    <row r="123" spans="1:17" ht="15" thickTop="1">
      <c r="A123" s="583"/>
      <c r="B123" s="521" t="s">
        <v>2421</v>
      </c>
      <c r="C123" s="2735" t="s">
        <v>2877</v>
      </c>
      <c r="D123" s="2735" t="s">
        <v>2879</v>
      </c>
      <c r="E123" s="2735" t="s">
        <v>2880</v>
      </c>
      <c r="F123" s="2734" t="s">
        <v>2881</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t="str">
        <f>项目基本情况!B4</f>
        <v>农商行</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康正预评字2018-1-0418-P01HDZC1号</v>
      </c>
    </row>
    <row r="22" spans="1:5">
      <c r="A22" s="1183"/>
      <c r="B22" s="843"/>
    </row>
    <row r="23" spans="1:5">
      <c r="B23" s="107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704" t="s">
        <v>2828</v>
      </c>
      <c r="E1" s="2705" t="s">
        <v>1253</v>
      </c>
      <c r="F1" s="2706"/>
      <c r="G1" s="2707"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6753028</v>
      </c>
      <c r="C2" s="2333" t="str">
        <f>'数据-取费表'!B3</f>
        <v>元</v>
      </c>
      <c r="D2" s="1213"/>
      <c r="E2" s="1214"/>
      <c r="F2" s="1214"/>
      <c r="G2" s="1239"/>
      <c r="H2" s="729"/>
      <c r="I2" s="1215"/>
      <c r="J2" s="1215"/>
      <c r="K2" s="1216"/>
      <c r="L2" s="1215"/>
      <c r="M2" s="1215"/>
    </row>
    <row r="3" spans="1:37" ht="18" customHeight="1" thickBot="1">
      <c r="A3" s="310" t="s">
        <v>2001</v>
      </c>
      <c r="B3" s="766">
        <f ca="1">ROUND(IF('数据-取费表'!B28="租赁期内按合同租金",(C40+L47+J29)/F43,(C40+L47)/F43),0)</f>
        <v>30909</v>
      </c>
      <c r="C3" s="2333" t="s">
        <v>2091</v>
      </c>
      <c r="D3" s="1213"/>
      <c r="E3" s="1214"/>
      <c r="F3" s="1214"/>
      <c r="G3" s="1239"/>
      <c r="H3" s="311" t="s">
        <v>2092</v>
      </c>
      <c r="I3" s="1215"/>
      <c r="J3" s="1215"/>
      <c r="K3" s="1216"/>
      <c r="L3" s="1215"/>
      <c r="M3" s="1215"/>
    </row>
    <row r="4" spans="1:37" ht="18" customHeight="1">
      <c r="A4" s="312" t="s">
        <v>2093</v>
      </c>
      <c r="B4" s="313" t="s">
        <v>2094</v>
      </c>
      <c r="C4" s="313" t="s">
        <v>2095</v>
      </c>
      <c r="D4" s="313" t="s">
        <v>2096</v>
      </c>
      <c r="E4" s="314" t="s">
        <v>2097</v>
      </c>
      <c r="F4" s="315"/>
      <c r="G4" s="1237"/>
      <c r="H4" s="312" t="s">
        <v>2093</v>
      </c>
      <c r="I4" s="313" t="s">
        <v>2094</v>
      </c>
      <c r="J4" s="313" t="s">
        <v>2095</v>
      </c>
      <c r="K4" s="313" t="s">
        <v>2096</v>
      </c>
      <c r="L4" s="314" t="s">
        <v>2097</v>
      </c>
      <c r="M4" s="315"/>
    </row>
    <row r="5" spans="1:37" ht="18" customHeight="1">
      <c r="A5" s="316">
        <v>1</v>
      </c>
      <c r="B5" s="317" t="s">
        <v>2098</v>
      </c>
      <c r="C5" s="318">
        <f ca="1">C6+C10+C12</f>
        <v>379263</v>
      </c>
      <c r="D5" s="2334" t="s">
        <v>2099</v>
      </c>
      <c r="E5" s="1213"/>
      <c r="F5" s="1381"/>
      <c r="G5" s="1237"/>
      <c r="H5" s="316">
        <v>1</v>
      </c>
      <c r="I5" s="317" t="s">
        <v>2098</v>
      </c>
      <c r="J5" s="318">
        <f ca="1">J6+J10+J12</f>
        <v>0</v>
      </c>
      <c r="K5" s="2334" t="s">
        <v>2099</v>
      </c>
      <c r="L5" s="1213"/>
      <c r="M5" s="1381"/>
    </row>
    <row r="6" spans="1:37" ht="18" customHeight="1">
      <c r="A6" s="1382" t="s">
        <v>2100</v>
      </c>
      <c r="B6" s="2022" t="s">
        <v>2101</v>
      </c>
      <c r="C6" s="318">
        <f>ROUND(F6*F8*F7*(1-F9),0)</f>
        <v>378790</v>
      </c>
      <c r="D6" s="80" t="s">
        <v>2797</v>
      </c>
      <c r="E6" s="319" t="s">
        <v>2102</v>
      </c>
      <c r="F6" s="320">
        <f>'数据-取费表'!B29</f>
        <v>5</v>
      </c>
      <c r="G6" s="1237"/>
      <c r="H6" s="1382" t="s">
        <v>2100</v>
      </c>
      <c r="I6" s="2022" t="s">
        <v>2101</v>
      </c>
      <c r="J6" s="318">
        <f>ROUND(M6*M8*M7*(1-M9),0)</f>
        <v>0</v>
      </c>
      <c r="K6" s="80" t="s">
        <v>2797</v>
      </c>
      <c r="L6" s="319" t="s">
        <v>2102</v>
      </c>
      <c r="M6" s="320">
        <f>'数据-取费表'!B36</f>
        <v>0</v>
      </c>
    </row>
    <row r="7" spans="1:37" ht="18" customHeight="1">
      <c r="A7" s="1445"/>
      <c r="B7" s="322"/>
      <c r="C7" s="323"/>
      <c r="D7" s="324"/>
      <c r="E7" s="319" t="s">
        <v>2103</v>
      </c>
      <c r="F7" s="320">
        <f>IF('数据-取费表'!B41="",IF(D1="仅计算典型户型",'数据-取费表'!E5,'数据-取费表'!B5),'数据-取费表'!B41)</f>
        <v>218.48</v>
      </c>
      <c r="G7" s="1237"/>
      <c r="H7" s="321"/>
      <c r="I7" s="322"/>
      <c r="J7" s="323"/>
      <c r="K7" s="324"/>
      <c r="L7" s="319" t="s">
        <v>2103</v>
      </c>
      <c r="M7" s="320">
        <f>IF('数据-取费表'!B41="",IF(D1="仅计算典型户型",'数据-取费表'!E5,'数据-取费表'!B5),'数据-取费表'!B41)</f>
        <v>218.48</v>
      </c>
    </row>
    <row r="8" spans="1:37" ht="18" customHeight="1">
      <c r="A8" s="1445"/>
      <c r="B8" s="322"/>
      <c r="C8" s="323"/>
      <c r="D8" s="324"/>
      <c r="E8" s="319" t="s">
        <v>2104</v>
      </c>
      <c r="F8" s="320">
        <f>'数据-取费表'!B42</f>
        <v>365</v>
      </c>
      <c r="G8" s="1237"/>
      <c r="H8" s="321"/>
      <c r="I8" s="322"/>
      <c r="J8" s="323"/>
      <c r="K8" s="324"/>
      <c r="L8" s="319" t="s">
        <v>2105</v>
      </c>
      <c r="M8" s="320">
        <f>'数据-取费表'!B42</f>
        <v>365</v>
      </c>
    </row>
    <row r="9" spans="1:37" ht="18" customHeight="1">
      <c r="A9" s="1445"/>
      <c r="B9" s="322"/>
      <c r="C9" s="323"/>
      <c r="D9" s="328"/>
      <c r="E9" s="319" t="s">
        <v>2106</v>
      </c>
      <c r="F9" s="329">
        <f>'数据-取费表'!B32</f>
        <v>0.05</v>
      </c>
      <c r="G9" s="1237"/>
      <c r="H9" s="321"/>
      <c r="I9" s="322"/>
      <c r="J9" s="1384"/>
      <c r="K9" s="95"/>
      <c r="L9" s="330" t="s">
        <v>2106</v>
      </c>
      <c r="M9" s="329">
        <f>'数据-取费表'!B38</f>
        <v>0</v>
      </c>
    </row>
    <row r="10" spans="1:37" ht="18" customHeight="1">
      <c r="A10" s="1382" t="s">
        <v>2107</v>
      </c>
      <c r="B10" s="2335" t="s">
        <v>2108</v>
      </c>
      <c r="C10" s="1383">
        <f ca="1">ROUND(IF(F10="押一",C6/12*F11,IF(F10="押二",C6/12*2*F11,IF(F10="押三",C6/12*3*F11,C11*F11))),0)</f>
        <v>473</v>
      </c>
      <c r="D10" s="2336" t="s">
        <v>2805</v>
      </c>
      <c r="E10" s="330" t="s">
        <v>2109</v>
      </c>
      <c r="F10" s="2337" t="s">
        <v>2110</v>
      </c>
      <c r="G10" s="1237"/>
      <c r="H10" s="1382" t="s">
        <v>2107</v>
      </c>
      <c r="I10" s="2335" t="s">
        <v>2108</v>
      </c>
      <c r="J10" s="1383">
        <f ca="1">ROUND(IF(M10="押一",J6/12*M11,IF(M10="押二",J6/12*2*M11,IF(M10="押三",J6/12*3*M11,J11*M11))),0)</f>
        <v>0</v>
      </c>
      <c r="K10" s="80" t="s">
        <v>2805</v>
      </c>
      <c r="L10" s="330" t="s">
        <v>2109</v>
      </c>
      <c r="M10" s="2337" t="s">
        <v>2832</v>
      </c>
    </row>
    <row r="11" spans="1:37" s="341" customFormat="1" ht="18" customHeight="1">
      <c r="A11" s="348"/>
      <c r="B11" s="2338" t="s">
        <v>2111</v>
      </c>
      <c r="C11" s="1416"/>
      <c r="D11" s="324"/>
      <c r="E11" s="330" t="s">
        <v>2112</v>
      </c>
      <c r="F11" s="331">
        <f ca="1">'数据-取费表'!B30</f>
        <v>1.4999999999999999E-2</v>
      </c>
      <c r="G11" s="1238"/>
      <c r="H11" s="325"/>
      <c r="I11" s="2338" t="s">
        <v>2113</v>
      </c>
      <c r="J11" s="1416"/>
      <c r="K11" s="324"/>
      <c r="L11" s="330" t="s">
        <v>2112</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2114</v>
      </c>
      <c r="B12" s="2339" t="s">
        <v>2115</v>
      </c>
      <c r="C12" s="1423"/>
      <c r="D12" s="2340"/>
      <c r="E12" s="1429"/>
      <c r="F12" s="1424"/>
      <c r="G12" s="1237"/>
      <c r="H12" s="1422" t="s">
        <v>2114</v>
      </c>
      <c r="I12" s="2339" t="s">
        <v>2115</v>
      </c>
      <c r="J12" s="1423"/>
      <c r="K12" s="1439"/>
      <c r="L12" s="1429"/>
      <c r="M12" s="1440"/>
    </row>
    <row r="13" spans="1:37" s="341" customFormat="1" ht="18" customHeight="1" thickTop="1">
      <c r="A13" s="1418">
        <v>2</v>
      </c>
      <c r="B13" s="1419" t="s">
        <v>2116</v>
      </c>
      <c r="C13" s="327">
        <f ca="1">ROUND(C29*F13,0)</f>
        <v>924004</v>
      </c>
      <c r="D13" s="1420" t="s">
        <v>2117</v>
      </c>
      <c r="E13" s="1420" t="s">
        <v>2118</v>
      </c>
      <c r="F13" s="1421">
        <f>'数据-取费表'!E20</f>
        <v>0.78</v>
      </c>
      <c r="G13" s="1238"/>
      <c r="H13" s="1418">
        <v>2</v>
      </c>
      <c r="I13" s="1419" t="s">
        <v>2116</v>
      </c>
      <c r="J13" s="1384">
        <f ca="1">ROUND(J14*J15,0)</f>
        <v>0</v>
      </c>
      <c r="K13" s="1425" t="s">
        <v>2117</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764680</v>
      </c>
      <c r="D14" s="1886" t="s">
        <v>2121</v>
      </c>
      <c r="E14" s="1887"/>
      <c r="F14" s="979"/>
      <c r="G14" s="1238"/>
      <c r="H14" s="337" t="s">
        <v>2100</v>
      </c>
      <c r="I14" s="319" t="s">
        <v>2122</v>
      </c>
      <c r="J14" s="14">
        <f ca="1">C29</f>
        <v>1184620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38234</v>
      </c>
      <c r="D15" s="339" t="s">
        <v>2125</v>
      </c>
      <c r="E15" s="339" t="s">
        <v>2126</v>
      </c>
      <c r="F15" s="340">
        <f>'数据-取费表'!E21</f>
        <v>0.05</v>
      </c>
      <c r="G15" s="1237"/>
      <c r="H15" s="1428" t="s">
        <v>2127</v>
      </c>
      <c r="I15" s="1429" t="s">
        <v>2128</v>
      </c>
      <c r="J15" s="1441">
        <f>'数据-取费表'!B39</f>
        <v>0</v>
      </c>
      <c r="K15" s="1442"/>
      <c r="L15" s="1443"/>
      <c r="M15" s="1444"/>
    </row>
    <row r="16" spans="1:37" s="341" customFormat="1" ht="18" customHeight="1" thickTop="1">
      <c r="A16" s="337" t="s">
        <v>2129</v>
      </c>
      <c r="B16" s="319" t="s">
        <v>2130</v>
      </c>
      <c r="C16" s="14">
        <f>ROUND(C14*F16,0)</f>
        <v>0</v>
      </c>
      <c r="D16" s="319" t="s">
        <v>2125</v>
      </c>
      <c r="E16" s="319" t="s">
        <v>2126</v>
      </c>
      <c r="F16" s="342">
        <f>IF('数据-取费表'!B10="住宅",'数据-取费表'!E22,0)</f>
        <v>0</v>
      </c>
      <c r="G16" s="1238"/>
      <c r="H16" s="1418" t="s">
        <v>14</v>
      </c>
      <c r="I16" s="1419" t="s">
        <v>2131</v>
      </c>
      <c r="J16" s="327">
        <f ca="1">ROUND(J17+J22+J23+J24,0)</f>
        <v>17769</v>
      </c>
      <c r="K16" s="1425" t="s">
        <v>2132</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43696</v>
      </c>
      <c r="D17" s="319" t="s">
        <v>2135</v>
      </c>
      <c r="E17" s="319" t="s">
        <v>2136</v>
      </c>
      <c r="F17" s="16">
        <f>'数据-取费表'!E23</f>
        <v>200</v>
      </c>
      <c r="G17" s="1238"/>
      <c r="H17" s="337" t="s">
        <v>2137</v>
      </c>
      <c r="I17" s="319" t="s">
        <v>2138</v>
      </c>
      <c r="J17" s="14">
        <f ca="1">ROUND(IF(项目基本情况!B7="自然人",J5*M17,J18+J19+J20),0)</f>
        <v>0</v>
      </c>
      <c r="K17" s="1886" t="s">
        <v>2139</v>
      </c>
      <c r="L17" s="1891" t="s">
        <v>2140</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11470</v>
      </c>
      <c r="D18" s="319" t="s">
        <v>2125</v>
      </c>
      <c r="E18" s="319" t="s">
        <v>2126</v>
      </c>
      <c r="F18" s="342">
        <f>'数据-取费表'!E24</f>
        <v>1.4999999999999999E-2</v>
      </c>
      <c r="G18" s="1237"/>
      <c r="H18" s="337" t="s">
        <v>2143</v>
      </c>
      <c r="I18" s="319" t="s">
        <v>2144</v>
      </c>
      <c r="J18" s="14">
        <f ca="1">IF(项目基本情况!B7="自然人","——",ROUND(J5*M18/(1+'数据-取费表'!F30),0))</f>
        <v>0</v>
      </c>
      <c r="K18" s="1891" t="s">
        <v>2145</v>
      </c>
      <c r="L18" s="319" t="s">
        <v>2126</v>
      </c>
      <c r="M18" s="342">
        <f>'数据-取费表'!E29</f>
        <v>5.6000000000000001E-2</v>
      </c>
    </row>
    <row r="19" spans="1:37" s="341" customFormat="1" ht="18" customHeight="1">
      <c r="A19" s="337" t="s">
        <v>2137</v>
      </c>
      <c r="B19" s="319" t="s">
        <v>2146</v>
      </c>
      <c r="C19" s="14">
        <f>SUM(C14:C18)</f>
        <v>858080</v>
      </c>
      <c r="D19" s="56" t="s">
        <v>2147</v>
      </c>
      <c r="E19" s="1896"/>
      <c r="F19" s="16"/>
      <c r="G19" s="1238"/>
      <c r="H19" s="337" t="s">
        <v>2123</v>
      </c>
      <c r="I19" s="319" t="s">
        <v>2148</v>
      </c>
      <c r="J19" s="14">
        <f ca="1">IF(项目基本情况!B7="自然人","——",IF(K19="按租金收入计税",ROUND(J5*M19,1),ROUND(C29*M19*0.7,1)))</f>
        <v>0</v>
      </c>
      <c r="K19" s="2011" t="s">
        <v>2833</v>
      </c>
      <c r="L19" s="319" t="s">
        <v>2126</v>
      </c>
      <c r="M19" s="342">
        <f>IF(K19="按租金收入计税",'数据-取费表'!E39,'数据-取费表'!E38)</f>
        <v>0.12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17162</v>
      </c>
      <c r="D20" s="344" t="s">
        <v>2151</v>
      </c>
      <c r="E20" s="319" t="s">
        <v>2152</v>
      </c>
      <c r="F20" s="342">
        <f>'数据-取费表'!E25</f>
        <v>0.02</v>
      </c>
      <c r="G20" s="1238"/>
      <c r="H20" s="337" t="s">
        <v>2129</v>
      </c>
      <c r="I20" s="80" t="s">
        <v>2153</v>
      </c>
      <c r="J20" s="15">
        <f>IF(项目基本情况!B7="自然人","——",ROUND(M20*M21,0))</f>
        <v>0</v>
      </c>
      <c r="K20" s="346" t="s">
        <v>2154</v>
      </c>
      <c r="L20" s="319" t="s">
        <v>2155</v>
      </c>
      <c r="M20" s="347">
        <f>'数据-取费表'!E40</f>
        <v>24</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7"/>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6"/>
      <c r="F22" s="16"/>
      <c r="G22" s="1237"/>
      <c r="H22" s="337" t="s">
        <v>2127</v>
      </c>
      <c r="I22" s="319" t="s">
        <v>2163</v>
      </c>
      <c r="J22" s="14">
        <f ca="1">ROUND(J14*M22,0)</f>
        <v>17769</v>
      </c>
      <c r="K22" s="1891"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41574</v>
      </c>
      <c r="D23" s="2005" t="str">
        <f>IF(F23&lt;=1,"(建造成本+管理费用)×利率×(建设周期÷2)","(建造成本+管理费用)×((1+利率)^(建设周期÷2)-1)")</f>
        <v>(建造成本+管理费用)×((1+利率)^(建设周期÷2)-1)</v>
      </c>
      <c r="E23" s="319" t="s">
        <v>2166</v>
      </c>
      <c r="F23" s="347">
        <f>'数据-取费表'!B21</f>
        <v>2</v>
      </c>
      <c r="G23" s="1237"/>
      <c r="H23" s="337" t="s">
        <v>2156</v>
      </c>
      <c r="I23" s="319" t="s">
        <v>2167</v>
      </c>
      <c r="J23" s="14">
        <f ca="1">ROUND(J13*M23,0)</f>
        <v>0</v>
      </c>
      <c r="K23" s="1891"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5" t="str">
        <f>IF(F23&lt;=1,"销售费用×利率×(建设周期÷2)","销售费用×((1+利率)^(建设周期÷2)-1)")</f>
        <v>销售费用×((1+利率)^(建设周期÷2)-1)</v>
      </c>
      <c r="E24" s="319" t="s">
        <v>2172</v>
      </c>
      <c r="F24" s="352">
        <f ca="1">'数据-取费表'!E27</f>
        <v>4.7500000000000001E-2</v>
      </c>
      <c r="G24" s="1238"/>
      <c r="H24" s="1428" t="s">
        <v>2161</v>
      </c>
      <c r="I24" s="1429" t="s">
        <v>2150</v>
      </c>
      <c r="J24" s="1430">
        <f ca="1">ROUND(J5*M24,0)</f>
        <v>0</v>
      </c>
      <c r="K24" s="1431" t="s">
        <v>2173</v>
      </c>
      <c r="L24" s="1429" t="s">
        <v>2169</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6"/>
      <c r="F25" s="16"/>
      <c r="G25" s="1238"/>
      <c r="H25" s="1418" t="s">
        <v>22</v>
      </c>
      <c r="I25" s="1433" t="s">
        <v>2177</v>
      </c>
      <c r="J25" s="327">
        <f ca="1">J5-J16</f>
        <v>-17769</v>
      </c>
      <c r="K25" s="1434" t="s">
        <v>2178</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175048</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8" t="s">
        <v>2194</v>
      </c>
      <c r="B29" s="1429" t="s">
        <v>2195</v>
      </c>
      <c r="C29" s="1430">
        <f ca="1">ROUND((C19+C20+C23+C26)/(1-F21-C24-C27-C28),0)</f>
        <v>1184620</v>
      </c>
      <c r="D29" s="1431"/>
      <c r="E29" s="1429"/>
      <c r="F29" s="1432"/>
      <c r="G29" s="791"/>
      <c r="H29" s="356" t="s">
        <v>24</v>
      </c>
      <c r="I29" s="357" t="s">
        <v>2196</v>
      </c>
      <c r="J29" s="358">
        <f ca="1">ROUND(J26/(1+F40)^F41,0)</f>
        <v>0</v>
      </c>
      <c r="K29" s="359" t="s">
        <v>2197</v>
      </c>
      <c r="L29" s="360"/>
      <c r="M29" s="361">
        <f>IF(D1="仅计算典型户型",'数据-取费表'!E5,'数据-取费表'!B5)</f>
        <v>218.48</v>
      </c>
    </row>
    <row r="30" spans="1:37" ht="18" customHeight="1" thickTop="1">
      <c r="A30" s="1418" t="s">
        <v>14</v>
      </c>
      <c r="B30" s="1419" t="s">
        <v>2198</v>
      </c>
      <c r="C30" s="327">
        <f ca="1">ROUND(C31+C36+C37+C38,0)</f>
        <v>88687</v>
      </c>
      <c r="D30" s="1425" t="s">
        <v>2199</v>
      </c>
      <c r="E30" s="1426"/>
      <c r="F30" s="1427"/>
      <c r="G30" s="791"/>
      <c r="H30" s="1217"/>
      <c r="I30" s="1218"/>
      <c r="J30" s="1219"/>
      <c r="K30" s="1220"/>
      <c r="L30" s="1221"/>
      <c r="M30" s="1222"/>
    </row>
    <row r="31" spans="1:37" ht="18" customHeight="1">
      <c r="A31" s="337" t="s">
        <v>2100</v>
      </c>
      <c r="B31" s="319" t="s">
        <v>2138</v>
      </c>
      <c r="C31" s="14">
        <f ca="1">ROUND(IF(项目基本情况!B7="自然人",C5*F31,C32+C33+C34),1)</f>
        <v>65738.600000000006</v>
      </c>
      <c r="D31" s="1886" t="s">
        <v>2200</v>
      </c>
      <c r="E31" s="1891" t="s">
        <v>2201</v>
      </c>
      <c r="F31" s="343" t="str">
        <f>IF(项目基本情况!B7="企业","",IF('数据-取费表'!B10="住宅",5%,IF(F6*F7*F8/12/(1+'数据-取费表'!F30)&gt;20000,12%,7%)))</f>
        <v/>
      </c>
      <c r="G31" s="791"/>
      <c r="H31" s="1217"/>
      <c r="I31" s="1218"/>
      <c r="J31" s="1219"/>
      <c r="K31" s="1220"/>
      <c r="L31" s="1221"/>
      <c r="M31" s="1222"/>
    </row>
    <row r="32" spans="1:37" ht="18" customHeight="1">
      <c r="A32" s="337" t="s">
        <v>2119</v>
      </c>
      <c r="B32" s="319" t="s">
        <v>2202</v>
      </c>
      <c r="C32" s="14">
        <f ca="1">IF(项目基本情况!B7="自然人","——",ROUND(C5*F32/(1+'数据-取费表'!F30),0))</f>
        <v>20227</v>
      </c>
      <c r="D32" s="1891" t="s">
        <v>2203</v>
      </c>
      <c r="E32" s="319" t="s">
        <v>2152</v>
      </c>
      <c r="F32" s="352">
        <f>'数据-取费表'!E29</f>
        <v>5.6000000000000001E-2</v>
      </c>
      <c r="G32" s="791"/>
      <c r="H32" s="1223"/>
      <c r="I32" s="1224"/>
      <c r="J32" s="1225"/>
      <c r="K32" s="1226"/>
      <c r="L32" s="1227"/>
      <c r="M32" s="1228"/>
    </row>
    <row r="33" spans="1:18" ht="18" customHeight="1">
      <c r="A33" s="337" t="s">
        <v>2123</v>
      </c>
      <c r="B33" s="319" t="s">
        <v>2148</v>
      </c>
      <c r="C33" s="14">
        <f ca="1">IF(项目基本情况!B7="自然人","——",IF(D33="按租金收入计税",ROUND(C5*F33,1),IF(D33="按房产原值计税",ROUND(C29*F33*0.7,1),'数据-取费表'!B43)))</f>
        <v>45511.6</v>
      </c>
      <c r="D33" s="2011" t="s">
        <v>2833</v>
      </c>
      <c r="E33" s="319" t="s">
        <v>2126</v>
      </c>
      <c r="F33" s="342">
        <f>IF(D33="按票据","——",IF(D33="按租金收入计税",'数据-取费表'!E39,'数据-取费表'!E38))</f>
        <v>0.12</v>
      </c>
      <c r="G33" s="791"/>
      <c r="H33" s="1229"/>
      <c r="I33" s="363" t="s">
        <v>2204</v>
      </c>
      <c r="J33" s="364"/>
      <c r="K33" s="1230"/>
      <c r="L33" s="1229"/>
      <c r="M33" s="1229"/>
    </row>
    <row r="34" spans="1:18" ht="18" customHeight="1">
      <c r="A34" s="1382" t="s">
        <v>2129</v>
      </c>
      <c r="B34" s="80" t="s">
        <v>2153</v>
      </c>
      <c r="C34" s="15">
        <f>IF(项目基本情况!B7="自然人","——",ROUND(F34*F35,0))</f>
        <v>0</v>
      </c>
      <c r="D34" s="346" t="s">
        <v>2154</v>
      </c>
      <c r="E34" s="319" t="s">
        <v>2155</v>
      </c>
      <c r="F34" s="347">
        <f>'数据-取费表'!E40</f>
        <v>24</v>
      </c>
      <c r="G34" s="791"/>
      <c r="H34" s="1217"/>
      <c r="I34" s="365" t="s">
        <v>2205</v>
      </c>
      <c r="J34" s="366">
        <f ca="1">ROUND(C13*J35,0)</f>
        <v>78540</v>
      </c>
      <c r="K34" s="1231"/>
      <c r="L34" s="1232"/>
      <c r="M34" s="1232"/>
    </row>
    <row r="35" spans="1:18" ht="24.6" customHeight="1">
      <c r="A35" s="1386"/>
      <c r="B35" s="328"/>
      <c r="C35" s="19"/>
      <c r="D35" s="349"/>
      <c r="E35" s="319" t="s">
        <v>2160</v>
      </c>
      <c r="F35" s="320">
        <f>IF(D1="仅计算典型户型",'数据-取费表'!E6,'数据-取费表'!B6)</f>
        <v>0</v>
      </c>
      <c r="G35" s="791"/>
      <c r="H35" s="1217"/>
      <c r="I35" s="367" t="s">
        <v>2206</v>
      </c>
      <c r="J35" s="368">
        <f>'数据-取费表'!B17</f>
        <v>8.5000000000000006E-2</v>
      </c>
      <c r="K35" s="1230"/>
      <c r="L35" s="1229"/>
      <c r="M35" s="1229"/>
    </row>
    <row r="36" spans="1:18" ht="18" customHeight="1">
      <c r="A36" s="1385" t="s">
        <v>2107</v>
      </c>
      <c r="B36" s="319" t="s">
        <v>2207</v>
      </c>
      <c r="C36" s="14">
        <f ca="1">ROUND(C29*F36,0)</f>
        <v>17769</v>
      </c>
      <c r="D36" s="1891" t="s">
        <v>2208</v>
      </c>
      <c r="E36" s="319" t="s">
        <v>2152</v>
      </c>
      <c r="F36" s="350">
        <f>'数据-取费表'!B44</f>
        <v>1.4999999999999999E-2</v>
      </c>
      <c r="G36" s="791"/>
      <c r="H36" s="1229"/>
      <c r="I36" s="369" t="s">
        <v>2209</v>
      </c>
      <c r="J36" s="370"/>
      <c r="K36" s="1233"/>
      <c r="L36" s="1229"/>
      <c r="M36" s="1229"/>
    </row>
    <row r="37" spans="1:18" ht="18" customHeight="1">
      <c r="A37" s="337" t="s">
        <v>2156</v>
      </c>
      <c r="B37" s="319" t="s">
        <v>2167</v>
      </c>
      <c r="C37" s="14">
        <f ca="1">ROUND(C13*F37,0)</f>
        <v>1386</v>
      </c>
      <c r="D37" s="1891" t="s">
        <v>2168</v>
      </c>
      <c r="E37" s="319" t="s">
        <v>2169</v>
      </c>
      <c r="F37" s="351">
        <f>'数据-取费表'!B45</f>
        <v>1.5E-3</v>
      </c>
      <c r="G37" s="791"/>
      <c r="H37" s="1229"/>
      <c r="I37" s="216" t="s">
        <v>2210</v>
      </c>
      <c r="J37" s="371"/>
      <c r="K37" s="1233"/>
      <c r="L37" s="1229"/>
      <c r="M37" s="1229"/>
    </row>
    <row r="38" spans="1:18" ht="18" customHeight="1" thickBot="1">
      <c r="A38" s="1428" t="s">
        <v>2161</v>
      </c>
      <c r="B38" s="1429" t="s">
        <v>2150</v>
      </c>
      <c r="C38" s="1430">
        <f ca="1">ROUND(C5*F38,0)</f>
        <v>3793</v>
      </c>
      <c r="D38" s="1431" t="s">
        <v>2173</v>
      </c>
      <c r="E38" s="1429" t="s">
        <v>2169</v>
      </c>
      <c r="F38" s="1424">
        <f>'数据-取费表'!B46</f>
        <v>0.01</v>
      </c>
      <c r="G38" s="791"/>
      <c r="H38" s="1229"/>
      <c r="I38" s="365" t="s">
        <v>2211</v>
      </c>
      <c r="J38" s="220">
        <f ca="1">ROUND(J34/C39,3)</f>
        <v>0.27</v>
      </c>
      <c r="K38" s="1234"/>
      <c r="L38" s="1229"/>
      <c r="M38" s="1229"/>
    </row>
    <row r="39" spans="1:18" ht="18" customHeight="1" thickTop="1">
      <c r="A39" s="1418" t="s">
        <v>22</v>
      </c>
      <c r="B39" s="1433" t="s">
        <v>2212</v>
      </c>
      <c r="C39" s="327">
        <f ca="1">C5-C30</f>
        <v>290576</v>
      </c>
      <c r="D39" s="1434" t="s">
        <v>2213</v>
      </c>
      <c r="E39" s="1435"/>
      <c r="F39" s="1436"/>
      <c r="G39" s="791"/>
      <c r="H39" s="1229"/>
      <c r="I39" s="365" t="s">
        <v>2214</v>
      </c>
      <c r="J39" s="220">
        <f ca="1">1-J38</f>
        <v>0.73</v>
      </c>
      <c r="K39" s="1234"/>
      <c r="L39" s="1229"/>
      <c r="M39" s="1229"/>
    </row>
    <row r="40" spans="1:18" s="791" customFormat="1" ht="18" customHeight="1">
      <c r="A40" s="316" t="s">
        <v>23</v>
      </c>
      <c r="B40" s="317" t="s">
        <v>2215</v>
      </c>
      <c r="C40" s="318">
        <f ca="1">ROUND(C39*(1-((1+F42)/(1+F40))^F41)/(F40-F42),0)</f>
        <v>6753028</v>
      </c>
      <c r="D40" s="346" t="s">
        <v>2183</v>
      </c>
      <c r="E40" s="319" t="s">
        <v>2184</v>
      </c>
      <c r="F40" s="329">
        <f>'数据-取费表'!B16</f>
        <v>0.06</v>
      </c>
      <c r="H40" s="1235"/>
      <c r="I40" s="216" t="s">
        <v>2216</v>
      </c>
      <c r="J40" s="217"/>
      <c r="K40" s="1234"/>
      <c r="L40" s="1235"/>
      <c r="M40" s="1235"/>
      <c r="Q40" s="795"/>
    </row>
    <row r="41" spans="1:18" s="791" customFormat="1" ht="18" customHeight="1">
      <c r="A41" s="321"/>
      <c r="B41" s="322"/>
      <c r="C41" s="323"/>
      <c r="D41" s="354" t="s">
        <v>2217</v>
      </c>
      <c r="E41" s="1823" t="s">
        <v>2904</v>
      </c>
      <c r="F41" s="355">
        <f>IF('数据-取费表'!B28="租赁期内按合同租金",'数据-取费表'!B34,IF(E41="收益年期(n)",'数据-取费表'!B33,'数据-取费表'!B13))</f>
        <v>50</v>
      </c>
      <c r="H41" s="1236"/>
      <c r="I41" s="219" t="s">
        <v>2088</v>
      </c>
      <c r="J41" s="220">
        <f ca="1">ROUND(C13/C40,3)</f>
        <v>0.13700000000000001</v>
      </c>
      <c r="K41" s="1233"/>
      <c r="L41" s="1236"/>
      <c r="M41" s="1236"/>
      <c r="Q41" s="795"/>
    </row>
    <row r="42" spans="1:18" s="791" customFormat="1" ht="18" customHeight="1">
      <c r="A42" s="325"/>
      <c r="B42" s="326"/>
      <c r="C42" s="327"/>
      <c r="D42" s="349"/>
      <c r="E42" s="319" t="s">
        <v>2193</v>
      </c>
      <c r="F42" s="329">
        <f>'数据-取费表'!B31</f>
        <v>2.5000000000000001E-2</v>
      </c>
      <c r="H42" s="1236"/>
      <c r="I42" s="219" t="s">
        <v>2089</v>
      </c>
      <c r="J42" s="221">
        <f ca="1">1-J41</f>
        <v>0.86299999999999999</v>
      </c>
      <c r="K42" s="1233"/>
      <c r="L42" s="1236"/>
      <c r="M42" s="1236"/>
      <c r="Q42" s="795"/>
    </row>
    <row r="43" spans="1:18" s="791" customFormat="1" ht="18" customHeight="1" thickBot="1">
      <c r="A43" s="356" t="s">
        <v>24</v>
      </c>
      <c r="B43" s="357" t="s">
        <v>2218</v>
      </c>
      <c r="C43" s="358">
        <f ca="1">ROUND(C40/F43,0)</f>
        <v>30909</v>
      </c>
      <c r="D43" s="359" t="s">
        <v>2219</v>
      </c>
      <c r="E43" s="360" t="s">
        <v>2220</v>
      </c>
      <c r="F43" s="361">
        <f>IF(D1="仅计算典型户型",'数据-取费表'!E5,'数据-取费表'!B5)</f>
        <v>218.48</v>
      </c>
      <c r="G43" s="793"/>
      <c r="H43" s="1236"/>
      <c r="I43" s="1236"/>
      <c r="J43" s="1236"/>
      <c r="K43" s="1233"/>
      <c r="L43" s="1236"/>
      <c r="M43" s="1236"/>
      <c r="O43" s="1359" t="s">
        <v>2221</v>
      </c>
      <c r="P43" s="1360"/>
      <c r="Q43" s="1356"/>
      <c r="R43" s="1360"/>
    </row>
    <row r="44" spans="1:18" s="791" customFormat="1" ht="18" customHeight="1" thickBot="1">
      <c r="A44" s="776"/>
      <c r="B44" s="776"/>
      <c r="C44" s="790"/>
      <c r="D44" s="776"/>
      <c r="E44" s="776"/>
      <c r="F44" s="776"/>
      <c r="G44" s="793"/>
      <c r="K44" s="792"/>
      <c r="O44" s="1361" t="s">
        <v>2222</v>
      </c>
      <c r="P44" s="1362" t="s">
        <v>2223</v>
      </c>
      <c r="Q44" s="1363" t="s">
        <v>2224</v>
      </c>
      <c r="R44" s="1364" t="s">
        <v>2225</v>
      </c>
    </row>
    <row r="45" spans="1:18" s="791" customFormat="1" ht="18" customHeight="1" thickBot="1">
      <c r="A45" s="776"/>
      <c r="B45" s="776"/>
      <c r="C45" s="790"/>
      <c r="D45" s="776"/>
      <c r="E45" s="776"/>
      <c r="F45" s="776"/>
      <c r="G45" s="794"/>
      <c r="K45" s="792"/>
      <c r="O45" s="1365" t="s">
        <v>957</v>
      </c>
      <c r="P45" s="1366" t="s">
        <v>2226</v>
      </c>
      <c r="Q45" s="1367">
        <f ca="1">C40+J29</f>
        <v>6753028</v>
      </c>
      <c r="R45" s="1368" t="s">
        <v>2227</v>
      </c>
    </row>
    <row r="46" spans="1:18" s="791" customFormat="1" ht="18" customHeight="1" thickBot="1">
      <c r="A46" s="776"/>
      <c r="D46" s="776"/>
      <c r="E46" s="776"/>
      <c r="F46" s="776"/>
      <c r="K46" s="792"/>
      <c r="O46" s="1365" t="s">
        <v>958</v>
      </c>
      <c r="P46" s="1366" t="s">
        <v>2228</v>
      </c>
      <c r="Q46" s="1367" t="str">
        <f>J61</f>
        <v>0</v>
      </c>
      <c r="R46" s="1368" t="s">
        <v>2229</v>
      </c>
    </row>
    <row r="47" spans="1:18" s="791" customFormat="1" ht="21.75" thickBot="1">
      <c r="A47" s="2341" t="s">
        <v>2230</v>
      </c>
      <c r="C47" s="1302">
        <f ca="1">IF(C2="元",C69-C40,ROUND((C69-C40)/10000,0))</f>
        <v>-8623378</v>
      </c>
      <c r="D47" s="2342" t="str">
        <f>C2</f>
        <v>元</v>
      </c>
      <c r="E47" s="776"/>
      <c r="F47" s="776"/>
      <c r="I47" s="2343" t="s">
        <v>2231</v>
      </c>
      <c r="J47" s="1342"/>
      <c r="K47" s="1343"/>
      <c r="L47" s="2748">
        <v>0</v>
      </c>
      <c r="O47" s="1369" t="s">
        <v>959</v>
      </c>
      <c r="P47" s="1366" t="s">
        <v>2232</v>
      </c>
      <c r="Q47" s="1367">
        <f ca="1">C29</f>
        <v>1184620</v>
      </c>
      <c r="R47" s="1368" t="s">
        <v>2227</v>
      </c>
    </row>
    <row r="48" spans="1:18" s="791" customFormat="1" ht="15.75" thickBot="1">
      <c r="A48" s="312" t="s">
        <v>2233</v>
      </c>
      <c r="B48" s="313" t="s">
        <v>2234</v>
      </c>
      <c r="C48" s="313" t="s">
        <v>2235</v>
      </c>
      <c r="D48" s="313" t="s">
        <v>2236</v>
      </c>
      <c r="E48" s="1296" t="s">
        <v>2237</v>
      </c>
      <c r="F48" s="1297"/>
      <c r="I48" s="2344" t="s">
        <v>2238</v>
      </c>
      <c r="J48" s="2345" t="s">
        <v>2829</v>
      </c>
      <c r="K48" s="2346" t="s">
        <v>2239</v>
      </c>
      <c r="L48" s="1344">
        <f>'数据-取费表'!B11</f>
        <v>50</v>
      </c>
      <c r="M48" s="1356" t="str">
        <f>IF('数据-取费表'!B10="住宅","住宅","非住宅")</f>
        <v>非住宅</v>
      </c>
      <c r="O48" s="1369" t="s">
        <v>960</v>
      </c>
      <c r="P48" s="1366" t="s">
        <v>2240</v>
      </c>
      <c r="Q48" s="1370" t="e">
        <f>J59</f>
        <v>#VALUE!</v>
      </c>
      <c r="R48" s="1368"/>
    </row>
    <row r="49" spans="1:18" s="791" customFormat="1" ht="15.75" thickBot="1">
      <c r="A49" s="1455" t="s">
        <v>1030</v>
      </c>
      <c r="B49" s="317" t="s">
        <v>2241</v>
      </c>
      <c r="C49" s="1456">
        <f ca="1">C50+C54+C56</f>
        <v>0</v>
      </c>
      <c r="D49" s="1457"/>
      <c r="E49" s="101"/>
      <c r="F49" s="16"/>
      <c r="I49" s="2347" t="s">
        <v>2242</v>
      </c>
      <c r="J49" s="2348" t="s">
        <v>2830</v>
      </c>
      <c r="K49" s="2349" t="s">
        <v>2243</v>
      </c>
      <c r="L49" s="1127">
        <f>'数据-取费表'!B13</f>
        <v>50</v>
      </c>
      <c r="O49" s="1369" t="s">
        <v>961</v>
      </c>
      <c r="P49" s="1366" t="s">
        <v>2244</v>
      </c>
      <c r="Q49" s="1370">
        <f>J53</f>
        <v>0.09</v>
      </c>
      <c r="R49" s="1368"/>
    </row>
    <row r="50" spans="1:18" s="791" customFormat="1" ht="15.75" thickBot="1">
      <c r="A50" s="345" t="s">
        <v>2100</v>
      </c>
      <c r="B50" s="2022" t="s">
        <v>2245</v>
      </c>
      <c r="C50" s="318">
        <f>ROUND(F50*F52*F51*(1-F53),0)</f>
        <v>0</v>
      </c>
      <c r="D50" s="93" t="s">
        <v>2798</v>
      </c>
      <c r="E50" s="2350" t="s">
        <v>2246</v>
      </c>
      <c r="F50" s="1298"/>
      <c r="I50" s="2347" t="s">
        <v>2247</v>
      </c>
      <c r="J50" s="1127">
        <f>'数据-取费表'!B26</f>
        <v>2005</v>
      </c>
      <c r="K50" s="2351" t="s">
        <v>2248</v>
      </c>
      <c r="L50" s="1345"/>
      <c r="O50" s="1369" t="s">
        <v>962</v>
      </c>
      <c r="P50" s="1366" t="s">
        <v>2249</v>
      </c>
      <c r="Q50" s="1367">
        <f>J54</f>
        <v>47</v>
      </c>
      <c r="R50" s="1368" t="s">
        <v>2250</v>
      </c>
    </row>
    <row r="51" spans="1:18" s="791" customFormat="1" ht="15.75" thickBot="1">
      <c r="A51" s="321"/>
      <c r="B51" s="322"/>
      <c r="C51" s="323"/>
      <c r="D51" s="324"/>
      <c r="E51" s="339" t="s">
        <v>2103</v>
      </c>
      <c r="F51" s="1295">
        <f>F7</f>
        <v>218.48</v>
      </c>
      <c r="I51" s="2347" t="s">
        <v>2251</v>
      </c>
      <c r="J51" s="1346">
        <f>SUMPRODUCT((I64:I66=J48)*(J63:L63=J49)*(J64:L66))</f>
        <v>60</v>
      </c>
      <c r="K51" s="2351" t="s">
        <v>2252</v>
      </c>
      <c r="L51" s="1345"/>
      <c r="O51" s="1365" t="s">
        <v>963</v>
      </c>
      <c r="P51" s="1366" t="str">
        <f>IF(C2="元","收益价值(元)","收益价值(万元)")</f>
        <v>收益价值(元)</v>
      </c>
      <c r="Q51" s="1367">
        <f ca="1">ROUND(IF(C2="元",Q45+Q46,(Q45+Q46)/10000),0)</f>
        <v>6753028</v>
      </c>
      <c r="R51" s="1368" t="s">
        <v>964</v>
      </c>
    </row>
    <row r="52" spans="1:18" s="791" customFormat="1" ht="16.5" thickBot="1">
      <c r="A52" s="321"/>
      <c r="B52" s="322"/>
      <c r="C52" s="323"/>
      <c r="D52" s="324"/>
      <c r="E52" s="319" t="s">
        <v>2105</v>
      </c>
      <c r="F52" s="320">
        <f>F8</f>
        <v>365</v>
      </c>
      <c r="I52" s="2352" t="s">
        <v>2253</v>
      </c>
      <c r="J52" s="1347">
        <f>IF(J50="",J51,J50+J51-YEAR('数据-取费表'!B2))</f>
        <v>47</v>
      </c>
      <c r="K52" s="2353" t="s">
        <v>2254</v>
      </c>
      <c r="L52" s="1348">
        <f ca="1">ROUND(-PV('数据-取费表'!B15,L49,(C40-C13*J35)),0)</f>
        <v>113009207</v>
      </c>
      <c r="O52" s="1359" t="s">
        <v>2255</v>
      </c>
      <c r="P52" s="1360"/>
      <c r="Q52" s="1356"/>
      <c r="R52" s="1360"/>
    </row>
    <row r="53" spans="1:18" s="791" customFormat="1" ht="15.75" thickBot="1">
      <c r="A53" s="325"/>
      <c r="B53" s="326"/>
      <c r="C53" s="327"/>
      <c r="D53" s="328"/>
      <c r="E53" s="319" t="s">
        <v>2106</v>
      </c>
      <c r="F53" s="1355"/>
      <c r="I53" s="2354" t="s">
        <v>2256</v>
      </c>
      <c r="J53" s="1349">
        <v>0.09</v>
      </c>
      <c r="K53" s="2354" t="s">
        <v>2257</v>
      </c>
      <c r="L53" s="1349"/>
      <c r="O53" s="1361" t="s">
        <v>2222</v>
      </c>
      <c r="P53" s="1362" t="s">
        <v>2223</v>
      </c>
      <c r="Q53" s="1363" t="s">
        <v>2224</v>
      </c>
      <c r="R53" s="1364" t="s">
        <v>2225</v>
      </c>
    </row>
    <row r="54" spans="1:18" s="791" customFormat="1" ht="29.25" customHeight="1" thickBot="1">
      <c r="A54" s="1382" t="s">
        <v>2107</v>
      </c>
      <c r="B54" s="2335" t="s">
        <v>2108</v>
      </c>
      <c r="C54" s="1383">
        <f ca="1">ROUND(IF(F54="押一",C50/12*F11,IF(F54="押二",C50/12*2*F11,IF(F54="押三",C50/12*3*F11,C55*F11))),0)</f>
        <v>0</v>
      </c>
      <c r="D54" s="2336" t="s">
        <v>2806</v>
      </c>
      <c r="E54" s="330" t="s">
        <v>2109</v>
      </c>
      <c r="F54" s="2337"/>
      <c r="I54" s="2355" t="s">
        <v>2258</v>
      </c>
      <c r="J54" s="1350">
        <f>IF(M48="住宅",J52,IF(E1="——",MIN(J52,L49),IF(E1="在建（套用方法）",MIN(J52,L49-'数据-取费表'!B25),IF(E1="土地（套用方法）",MIN(J52,L49-'数据-取费表'!B21)))))</f>
        <v>47</v>
      </c>
      <c r="K54" s="3026" t="s">
        <v>2796</v>
      </c>
      <c r="L54" s="3027"/>
      <c r="O54" s="1365" t="s">
        <v>957</v>
      </c>
      <c r="P54" s="1366" t="s">
        <v>2226</v>
      </c>
      <c r="Q54" s="1367">
        <f ca="1">C40+J29</f>
        <v>6753028</v>
      </c>
      <c r="R54" s="1368" t="s">
        <v>2227</v>
      </c>
    </row>
    <row r="55" spans="1:18" s="791" customFormat="1" ht="20.25" thickBot="1">
      <c r="A55" s="1382"/>
      <c r="B55" s="2356" t="s">
        <v>2113</v>
      </c>
      <c r="C55" s="1416"/>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8"/>
      <c r="K55" s="2358"/>
      <c r="L55" s="2358"/>
      <c r="O55" s="1365" t="s">
        <v>958</v>
      </c>
      <c r="P55" s="1366" t="s">
        <v>2259</v>
      </c>
      <c r="Q55" s="1367" t="e">
        <f ca="1">L61</f>
        <v>#DIV/0!</v>
      </c>
      <c r="R55" s="1368" t="s">
        <v>2260</v>
      </c>
    </row>
    <row r="56" spans="1:18" s="791" customFormat="1" ht="20.25" thickBot="1">
      <c r="A56" s="1422" t="s">
        <v>2114</v>
      </c>
      <c r="B56" s="2339" t="s">
        <v>2115</v>
      </c>
      <c r="C56" s="1423"/>
      <c r="D56" s="1439"/>
      <c r="E56" s="2359"/>
      <c r="F56" s="1499"/>
      <c r="I56" s="2360" t="s">
        <v>2261</v>
      </c>
      <c r="J56" s="1869" t="e">
        <f>ROUND(IF(J48="钢混",J58/J51,1-(1-2%)*(J51-J58)/J51),3)</f>
        <v>#VALUE!</v>
      </c>
      <c r="K56" s="2361" t="s">
        <v>2262</v>
      </c>
      <c r="L56" s="1351"/>
      <c r="O56" s="1369" t="s">
        <v>959</v>
      </c>
      <c r="P56" s="1366" t="s">
        <v>2263</v>
      </c>
      <c r="Q56" s="1367">
        <f>IF(L56="比较法",L50,IF(L56="基准地价",L51,0))</f>
        <v>0</v>
      </c>
      <c r="R56" s="1368" t="s">
        <v>2227</v>
      </c>
    </row>
    <row r="57" spans="1:18" s="791" customFormat="1" ht="44.25" thickTop="1" thickBot="1">
      <c r="A57" s="1418">
        <v>2</v>
      </c>
      <c r="B57" s="1419" t="s">
        <v>2116</v>
      </c>
      <c r="C57" s="1498">
        <f ca="1">C13</f>
        <v>924004</v>
      </c>
      <c r="D57" s="1293"/>
      <c r="E57" s="1294"/>
      <c r="F57" s="1301"/>
      <c r="I57" s="2362" t="s">
        <v>2264</v>
      </c>
      <c r="J57" s="1354"/>
      <c r="K57" s="2347" t="s">
        <v>2265</v>
      </c>
      <c r="L57" s="1127">
        <f>IF(L49&lt;J52,"——",L49-J52)</f>
        <v>3</v>
      </c>
      <c r="O57" s="1369" t="s">
        <v>960</v>
      </c>
      <c r="P57" s="1366" t="s">
        <v>2266</v>
      </c>
      <c r="Q57" s="1370">
        <f>L53</f>
        <v>0</v>
      </c>
      <c r="R57" s="1368"/>
    </row>
    <row r="58" spans="1:18" s="791" customFormat="1" ht="29.25" thickBot="1">
      <c r="A58" s="1300"/>
      <c r="B58" s="319" t="s">
        <v>2195</v>
      </c>
      <c r="C58" s="188">
        <f ca="1">C29</f>
        <v>1184620</v>
      </c>
      <c r="D58" s="1293"/>
      <c r="E58" s="1294"/>
      <c r="F58" s="1301"/>
      <c r="I58" s="2363" t="s">
        <v>2267</v>
      </c>
      <c r="J58" s="1353" t="str">
        <f>IF(OR(M48="住宅",J52&lt;L49,J57="是"),"——",J52-L49)</f>
        <v>——</v>
      </c>
      <c r="K58" s="2347" t="s">
        <v>2268</v>
      </c>
      <c r="L58" s="1127">
        <f ca="1">IF(L49&lt;J52,"——",IF(L56="比较法",L50,IF(L56="基准地价",L51,L52)))</f>
        <v>113009207</v>
      </c>
      <c r="O58" s="1369" t="s">
        <v>961</v>
      </c>
      <c r="P58" s="1366" t="s">
        <v>2269</v>
      </c>
      <c r="Q58" s="1367" t="e">
        <f>L59</f>
        <v>#DIV/0!</v>
      </c>
      <c r="R58" s="1368" t="s">
        <v>2270</v>
      </c>
    </row>
    <row r="59" spans="1:18" s="791" customFormat="1" ht="29.25" thickBot="1">
      <c r="A59" s="332" t="s">
        <v>14</v>
      </c>
      <c r="B59" s="333" t="s">
        <v>2198</v>
      </c>
      <c r="C59" s="334">
        <f ca="1">ROUND(C60+C65+C66+C67,0)</f>
        <v>118663</v>
      </c>
      <c r="D59" s="12" t="s">
        <v>2199</v>
      </c>
      <c r="E59" s="1896"/>
      <c r="F59" s="16"/>
      <c r="I59" s="2363" t="s">
        <v>2271</v>
      </c>
      <c r="J59" s="1868" t="e">
        <f>IF(J56&lt;0.4,0.4,J56)</f>
        <v>#VALUE!</v>
      </c>
      <c r="K59" s="2353" t="s">
        <v>2272</v>
      </c>
      <c r="L59" s="1127" t="e">
        <f>ROUND(POWER(1+L53,L48-L49)*(POWER(1+L53,L49)-1)/(POWER(1+L53,L48)-1),4)</f>
        <v>#DIV/0!</v>
      </c>
      <c r="O59" s="1369" t="s">
        <v>962</v>
      </c>
      <c r="P59" s="1366" t="str">
        <f>K60</f>
        <v>建筑物剩余耐用年限下的土地年期修正系数Kn</v>
      </c>
      <c r="Q59" s="1367" t="e">
        <f>L60</f>
        <v>#DIV/0!</v>
      </c>
      <c r="R59" s="1368" t="s">
        <v>2273</v>
      </c>
    </row>
    <row r="60" spans="1:18" s="791" customFormat="1" ht="29.25" thickBot="1">
      <c r="A60" s="337" t="s">
        <v>15</v>
      </c>
      <c r="B60" s="319" t="s">
        <v>2138</v>
      </c>
      <c r="C60" s="14">
        <f ca="1">ROUND(IF(项目基本情况!B7="自然人",C49*F60,C61+C62+C63),1)</f>
        <v>99508.1</v>
      </c>
      <c r="D60" s="1886" t="s">
        <v>2200</v>
      </c>
      <c r="E60" s="1891" t="s">
        <v>2201</v>
      </c>
      <c r="F60" s="343" t="str">
        <f>IF(项目基本情况!B7="企业","",IF('数据-取费表'!B10="住宅",5%,IF(F50*F51*F52/12/(1+'数据-取费表'!F30)&gt;20000,12%,7%)))</f>
        <v/>
      </c>
      <c r="I60" s="2363" t="s">
        <v>2274</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t="e">
        <f ca="1">ROUND(IF(C2="元",Q54+Q55,(Q54+Q55)/10000),0)</f>
        <v>#DIV/0!</v>
      </c>
      <c r="R60" s="1368" t="s">
        <v>964</v>
      </c>
    </row>
    <row r="61" spans="1:18" s="791" customFormat="1" ht="16.5" thickBot="1">
      <c r="A61" s="337" t="s">
        <v>16</v>
      </c>
      <c r="B61" s="319" t="s">
        <v>2202</v>
      </c>
      <c r="C61" s="14">
        <f ca="1">IF(项目基本情况!B7="自然人","——",ROUND(C49*F61/(1+'数据-取费表'!F30),0))</f>
        <v>0</v>
      </c>
      <c r="D61" s="1891" t="s">
        <v>2203</v>
      </c>
      <c r="E61" s="319" t="s">
        <v>2152</v>
      </c>
      <c r="F61" s="352">
        <f t="shared" ref="F61:F67" si="0">F32</f>
        <v>5.6000000000000001E-2</v>
      </c>
      <c r="I61" s="2364" t="s">
        <v>2275</v>
      </c>
      <c r="J61" s="1352" t="str">
        <f>IF(OR(M48="住宅",J52&lt;L49,J57="是"),"0",ROUND(J60/(1+J53)^J54,0))</f>
        <v>0</v>
      </c>
      <c r="K61" s="2365" t="s">
        <v>2276</v>
      </c>
      <c r="L61" s="1352" t="e">
        <f ca="1">IF(OR(M48="住宅",L49&lt;J52),0,ROUND(L58*(L59/L60-1),0))</f>
        <v>#DIV/0!</v>
      </c>
      <c r="O61" s="1359" t="s">
        <v>2277</v>
      </c>
      <c r="P61" s="1360"/>
      <c r="Q61" s="1356"/>
      <c r="R61" s="1360"/>
    </row>
    <row r="62" spans="1:18" s="791" customFormat="1" ht="15.75" thickBot="1">
      <c r="A62" s="337" t="s">
        <v>17</v>
      </c>
      <c r="B62" s="319" t="s">
        <v>2278</v>
      </c>
      <c r="C62" s="14">
        <f ca="1">IF(项目基本情况!B7="自然人","——",IF(D62="按租金收入计税",ROUND(C49*F62,1),IF(D62="按房产原值计税",ROUND(C58*F62*0.7,1),'数据-取费表'!B43)))</f>
        <v>99508.1</v>
      </c>
      <c r="D62" s="2011" t="s">
        <v>2149</v>
      </c>
      <c r="E62" s="319" t="s">
        <v>2152</v>
      </c>
      <c r="F62" s="342">
        <f t="shared" si="0"/>
        <v>0.12</v>
      </c>
      <c r="O62" s="1361" t="s">
        <v>2222</v>
      </c>
      <c r="P62" s="1362" t="s">
        <v>2223</v>
      </c>
      <c r="Q62" s="1363" t="s">
        <v>2224</v>
      </c>
      <c r="R62" s="1364" t="s">
        <v>2225</v>
      </c>
    </row>
    <row r="63" spans="1:18" s="791" customFormat="1" ht="15.75" thickBot="1">
      <c r="A63" s="345" t="s">
        <v>18</v>
      </c>
      <c r="B63" s="80" t="s">
        <v>2279</v>
      </c>
      <c r="C63" s="15">
        <f>IF(项目基本情况!B7="自然人","——",ROUND(F63*F64,0))</f>
        <v>0</v>
      </c>
      <c r="D63" s="346" t="s">
        <v>2280</v>
      </c>
      <c r="E63" s="319" t="s">
        <v>2281</v>
      </c>
      <c r="F63" s="347">
        <f t="shared" si="0"/>
        <v>24</v>
      </c>
      <c r="I63" s="2366" t="s">
        <v>2282</v>
      </c>
      <c r="J63" s="1872" t="s">
        <v>2283</v>
      </c>
      <c r="K63" s="1872" t="s">
        <v>2284</v>
      </c>
      <c r="L63" s="1872" t="s">
        <v>2285</v>
      </c>
      <c r="M63" s="1871" t="s">
        <v>2286</v>
      </c>
      <c r="O63" s="1365" t="s">
        <v>957</v>
      </c>
      <c r="P63" s="1366" t="s">
        <v>2226</v>
      </c>
      <c r="Q63" s="1367">
        <f ca="1">C40+J29</f>
        <v>6753028</v>
      </c>
      <c r="R63" s="1368" t="s">
        <v>2227</v>
      </c>
    </row>
    <row r="64" spans="1:18" s="791" customFormat="1" ht="20.25" thickBot="1">
      <c r="A64" s="348"/>
      <c r="B64" s="328"/>
      <c r="C64" s="19"/>
      <c r="D64" s="349"/>
      <c r="E64" s="319" t="s">
        <v>2287</v>
      </c>
      <c r="F64" s="320">
        <f t="shared" si="0"/>
        <v>0</v>
      </c>
      <c r="I64" s="2366" t="s">
        <v>2288</v>
      </c>
      <c r="J64" s="1872">
        <v>70</v>
      </c>
      <c r="K64" s="1872">
        <v>50</v>
      </c>
      <c r="L64" s="1872">
        <v>80</v>
      </c>
      <c r="M64" s="1870">
        <v>0.02</v>
      </c>
      <c r="O64" s="1365" t="s">
        <v>958</v>
      </c>
      <c r="P64" s="1366" t="s">
        <v>2259</v>
      </c>
      <c r="Q64" s="1367" t="e">
        <f ca="1">L61</f>
        <v>#DIV/0!</v>
      </c>
      <c r="R64" s="1368" t="s">
        <v>2260</v>
      </c>
    </row>
    <row r="65" spans="1:18" s="791" customFormat="1" ht="23.25" thickBot="1">
      <c r="A65" s="337" t="s">
        <v>19</v>
      </c>
      <c r="B65" s="319" t="s">
        <v>2207</v>
      </c>
      <c r="C65" s="14">
        <f ca="1">ROUND(C58*F65,0)</f>
        <v>17769</v>
      </c>
      <c r="D65" s="1891" t="s">
        <v>2208</v>
      </c>
      <c r="E65" s="319" t="s">
        <v>2152</v>
      </c>
      <c r="F65" s="350">
        <f t="shared" si="0"/>
        <v>1.4999999999999999E-2</v>
      </c>
      <c r="I65" s="2366" t="s">
        <v>2289</v>
      </c>
      <c r="J65" s="1872">
        <v>50</v>
      </c>
      <c r="K65" s="1872">
        <v>35</v>
      </c>
      <c r="L65" s="1872">
        <v>60</v>
      </c>
      <c r="M65" s="1871">
        <v>0</v>
      </c>
      <c r="O65" s="1369" t="s">
        <v>959</v>
      </c>
      <c r="P65" s="1366" t="s">
        <v>2263</v>
      </c>
      <c r="Q65" s="1371">
        <f ca="1">L52</f>
        <v>113009207</v>
      </c>
      <c r="R65" s="1372" t="s">
        <v>2290</v>
      </c>
    </row>
    <row r="66" spans="1:18" s="791" customFormat="1" ht="20.25" thickBot="1">
      <c r="A66" s="337" t="s">
        <v>20</v>
      </c>
      <c r="B66" s="319" t="s">
        <v>2167</v>
      </c>
      <c r="C66" s="14">
        <f ca="1">ROUND(C57*F66,0)</f>
        <v>1386</v>
      </c>
      <c r="D66" s="1891" t="s">
        <v>2168</v>
      </c>
      <c r="E66" s="319" t="s">
        <v>2169</v>
      </c>
      <c r="F66" s="351">
        <f t="shared" si="0"/>
        <v>1.5E-3</v>
      </c>
      <c r="I66" s="2366" t="s">
        <v>2291</v>
      </c>
      <c r="J66" s="1872">
        <v>40</v>
      </c>
      <c r="K66" s="1872">
        <v>30</v>
      </c>
      <c r="L66" s="1872">
        <v>50</v>
      </c>
      <c r="M66" s="1870">
        <v>0.02</v>
      </c>
      <c r="O66" s="1369" t="s">
        <v>960</v>
      </c>
      <c r="P66" s="1373" t="s">
        <v>2292</v>
      </c>
      <c r="Q66" s="1367">
        <f ca="1">ROUND(Q67-Q68*Q69,0)</f>
        <v>212036</v>
      </c>
      <c r="R66" s="1368"/>
    </row>
    <row r="67" spans="1:18" s="791" customFormat="1" ht="15.75" thickBot="1">
      <c r="A67" s="337" t="s">
        <v>21</v>
      </c>
      <c r="B67" s="319" t="s">
        <v>2150</v>
      </c>
      <c r="C67" s="14">
        <f ca="1">ROUND(C49*F67,0)</f>
        <v>0</v>
      </c>
      <c r="D67" s="1891" t="s">
        <v>2173</v>
      </c>
      <c r="E67" s="319" t="s">
        <v>2169</v>
      </c>
      <c r="F67" s="329">
        <f t="shared" si="0"/>
        <v>0.01</v>
      </c>
      <c r="O67" s="1369" t="s">
        <v>965</v>
      </c>
      <c r="P67" s="1373" t="s">
        <v>2293</v>
      </c>
      <c r="Q67" s="1367">
        <f ca="1">C39</f>
        <v>290576</v>
      </c>
      <c r="R67" s="1368" t="s">
        <v>2227</v>
      </c>
    </row>
    <row r="68" spans="1:18" ht="15.75" thickBot="1">
      <c r="A68" s="332" t="s">
        <v>22</v>
      </c>
      <c r="B68" s="89" t="s">
        <v>2177</v>
      </c>
      <c r="C68" s="334">
        <f ca="1">C49-C59</f>
        <v>-118663</v>
      </c>
      <c r="D68" s="1886" t="s">
        <v>2178</v>
      </c>
      <c r="E68" s="1890"/>
      <c r="F68" s="353"/>
      <c r="H68" s="791"/>
      <c r="I68" s="791"/>
      <c r="J68" s="791"/>
      <c r="K68" s="791"/>
      <c r="L68" s="791"/>
      <c r="M68" s="791"/>
      <c r="O68" s="1369" t="s">
        <v>966</v>
      </c>
      <c r="P68" s="1373" t="s">
        <v>2294</v>
      </c>
      <c r="Q68" s="1367">
        <f ca="1">C13</f>
        <v>924004</v>
      </c>
      <c r="R68" s="1368" t="s">
        <v>2227</v>
      </c>
    </row>
    <row r="69" spans="1:18" ht="15.75" thickBot="1">
      <c r="A69" s="316" t="s">
        <v>23</v>
      </c>
      <c r="B69" s="317" t="s">
        <v>2215</v>
      </c>
      <c r="C69" s="318">
        <f ca="1">ROUND(C68*(1-((1+F71)/(1+F69))^F70)/(F69-F71),0)</f>
        <v>-1870350</v>
      </c>
      <c r="D69" s="346" t="s">
        <v>2183</v>
      </c>
      <c r="E69" s="319" t="s">
        <v>2184</v>
      </c>
      <c r="F69" s="329">
        <f>F40</f>
        <v>0.06</v>
      </c>
      <c r="H69" s="791"/>
      <c r="I69" s="791"/>
      <c r="J69" s="791"/>
      <c r="K69" s="791"/>
      <c r="L69" s="791"/>
      <c r="M69" s="791"/>
      <c r="O69" s="1369" t="s">
        <v>967</v>
      </c>
      <c r="P69" s="1373" t="s">
        <v>2295</v>
      </c>
      <c r="Q69" s="1370">
        <f>J35</f>
        <v>8.5000000000000006E-2</v>
      </c>
      <c r="R69" s="1368"/>
    </row>
    <row r="70" spans="1:18" ht="15.75" thickBot="1">
      <c r="A70" s="321"/>
      <c r="B70" s="322"/>
      <c r="C70" s="323"/>
      <c r="D70" s="354" t="s">
        <v>2217</v>
      </c>
      <c r="E70" s="319" t="s">
        <v>2189</v>
      </c>
      <c r="F70" s="355">
        <f>F41</f>
        <v>50</v>
      </c>
      <c r="H70" s="791"/>
      <c r="I70" s="791"/>
      <c r="J70" s="791"/>
      <c r="K70" s="791"/>
      <c r="L70" s="791"/>
      <c r="M70" s="791"/>
      <c r="O70" s="1369" t="s">
        <v>961</v>
      </c>
      <c r="P70" s="1366" t="s">
        <v>2266</v>
      </c>
      <c r="Q70" s="1370">
        <f>L53</f>
        <v>0</v>
      </c>
      <c r="R70" s="1368"/>
    </row>
    <row r="71" spans="1:18" ht="20.25" thickBot="1">
      <c r="A71" s="325"/>
      <c r="B71" s="326"/>
      <c r="C71" s="327"/>
      <c r="D71" s="349"/>
      <c r="E71" s="319" t="s">
        <v>2193</v>
      </c>
      <c r="F71" s="1355"/>
      <c r="H71" s="791"/>
      <c r="M71" s="791"/>
      <c r="O71" s="1369" t="s">
        <v>962</v>
      </c>
      <c r="P71" s="1366" t="s">
        <v>2269</v>
      </c>
      <c r="Q71" s="1367" t="e">
        <f>L59</f>
        <v>#DIV/0!</v>
      </c>
      <c r="R71" s="1368" t="s">
        <v>2270</v>
      </c>
    </row>
    <row r="72" spans="1:18" ht="15.75" thickBot="1">
      <c r="A72" s="356" t="s">
        <v>24</v>
      </c>
      <c r="B72" s="357" t="s">
        <v>2218</v>
      </c>
      <c r="C72" s="358">
        <f ca="1">ROUND(C69/F72,0)</f>
        <v>-8561</v>
      </c>
      <c r="D72" s="359" t="s">
        <v>2219</v>
      </c>
      <c r="E72" s="360" t="s">
        <v>2220</v>
      </c>
      <c r="F72" s="361">
        <f>F43</f>
        <v>218.48</v>
      </c>
      <c r="O72" s="1369" t="s">
        <v>968</v>
      </c>
      <c r="P72" s="1366" t="str">
        <f>K60</f>
        <v>建筑物剩余耐用年限下的土地年期修正系数Kn</v>
      </c>
      <c r="Q72" s="1367" t="e">
        <f>L60</f>
        <v>#DIV/0!</v>
      </c>
      <c r="R72" s="1368" t="s">
        <v>2273</v>
      </c>
    </row>
    <row r="73" spans="1:18" ht="15.75" thickBot="1">
      <c r="A73" s="791"/>
      <c r="B73" s="795"/>
      <c r="C73" s="795"/>
      <c r="D73" s="791"/>
      <c r="E73" s="791"/>
      <c r="F73" s="791"/>
      <c r="O73" s="1365" t="s">
        <v>963</v>
      </c>
      <c r="P73" s="1366" t="str">
        <f>IF(C2="元","收益价值(元)","收益价值(万元)")</f>
        <v>收益价值(元)</v>
      </c>
      <c r="Q73" s="1367" t="e">
        <f ca="1">ROUND(IF(C2="元",Q63+Q64,(Q63+Q64)/10000),0)</f>
        <v>#DIV/0!</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4" t="s">
        <v>1024</v>
      </c>
      <c r="B1" s="3045"/>
      <c r="C1" s="3046"/>
      <c r="D1" s="3047">
        <f>SUM(I10,I15,I20,I21,I23)</f>
        <v>0</v>
      </c>
      <c r="E1" s="3047"/>
      <c r="F1" s="3047"/>
      <c r="G1" s="3047"/>
      <c r="H1" s="3047"/>
      <c r="I1" s="3048"/>
    </row>
    <row r="2" spans="1:9">
      <c r="A2" s="3034" t="s">
        <v>1025</v>
      </c>
      <c r="B2" s="3035" t="s">
        <v>974</v>
      </c>
      <c r="C2" s="3035"/>
      <c r="D2" s="1387" t="s">
        <v>975</v>
      </c>
      <c r="E2" s="1387" t="s">
        <v>976</v>
      </c>
      <c r="F2" s="1387" t="s">
        <v>977</v>
      </c>
      <c r="G2" s="1387" t="s">
        <v>978</v>
      </c>
      <c r="H2" s="1387" t="s">
        <v>979</v>
      </c>
      <c r="I2" s="1388" t="s">
        <v>980</v>
      </c>
    </row>
    <row r="3" spans="1:9">
      <c r="A3" s="3034"/>
      <c r="B3" s="3035" t="s">
        <v>981</v>
      </c>
      <c r="C3" s="3035"/>
      <c r="D3" s="1389"/>
      <c r="E3" s="1387"/>
      <c r="F3" s="1390"/>
      <c r="G3" s="1390"/>
      <c r="H3" s="1391"/>
      <c r="I3" s="1392">
        <f>ROUND(D3*E3*F3*G3*H3/10000,0)</f>
        <v>0</v>
      </c>
    </row>
    <row r="4" spans="1:9">
      <c r="A4" s="3034"/>
      <c r="B4" s="3035" t="s">
        <v>982</v>
      </c>
      <c r="C4" s="3035"/>
      <c r="D4" s="1389"/>
      <c r="E4" s="1387"/>
      <c r="F4" s="1390"/>
      <c r="G4" s="1390"/>
      <c r="H4" s="1391"/>
      <c r="I4" s="1392">
        <f t="shared" ref="I4:I9" si="0">ROUND(D4*E4*F4*G4*H4/10000,0)</f>
        <v>0</v>
      </c>
    </row>
    <row r="5" spans="1:9">
      <c r="A5" s="3034"/>
      <c r="B5" s="3035" t="s">
        <v>983</v>
      </c>
      <c r="C5" s="3035"/>
      <c r="D5" s="1389"/>
      <c r="E5" s="1387"/>
      <c r="F5" s="1390"/>
      <c r="G5" s="1390"/>
      <c r="H5" s="1391"/>
      <c r="I5" s="1392">
        <f t="shared" si="0"/>
        <v>0</v>
      </c>
    </row>
    <row r="6" spans="1:9">
      <c r="A6" s="3034"/>
      <c r="B6" s="3035" t="s">
        <v>984</v>
      </c>
      <c r="C6" s="3035"/>
      <c r="D6" s="1389"/>
      <c r="E6" s="1387"/>
      <c r="F6" s="1390"/>
      <c r="G6" s="1390"/>
      <c r="H6" s="1391"/>
      <c r="I6" s="1392">
        <f t="shared" si="0"/>
        <v>0</v>
      </c>
    </row>
    <row r="7" spans="1:9">
      <c r="A7" s="3034"/>
      <c r="B7" s="3035" t="s">
        <v>985</v>
      </c>
      <c r="C7" s="3035"/>
      <c r="D7" s="1389"/>
      <c r="E7" s="1387"/>
      <c r="F7" s="1390"/>
      <c r="G7" s="1390"/>
      <c r="H7" s="1391"/>
      <c r="I7" s="1392">
        <f t="shared" si="0"/>
        <v>0</v>
      </c>
    </row>
    <row r="8" spans="1:9">
      <c r="A8" s="3034"/>
      <c r="B8" s="3035" t="s">
        <v>986</v>
      </c>
      <c r="C8" s="3035"/>
      <c r="D8" s="1389"/>
      <c r="E8" s="1387"/>
      <c r="F8" s="1390"/>
      <c r="G8" s="1390"/>
      <c r="H8" s="1391"/>
      <c r="I8" s="1392">
        <f t="shared" si="0"/>
        <v>0</v>
      </c>
    </row>
    <row r="9" spans="1:9">
      <c r="A9" s="3034"/>
      <c r="B9" s="3035" t="s">
        <v>987</v>
      </c>
      <c r="C9" s="3035"/>
      <c r="D9" s="1389"/>
      <c r="E9" s="1387"/>
      <c r="F9" s="1390"/>
      <c r="G9" s="1390"/>
      <c r="H9" s="1391"/>
      <c r="I9" s="1392">
        <f t="shared" si="0"/>
        <v>0</v>
      </c>
    </row>
    <row r="10" spans="1:9">
      <c r="A10" s="3034"/>
      <c r="B10" s="3036" t="s">
        <v>988</v>
      </c>
      <c r="C10" s="3036"/>
      <c r="D10" s="1393">
        <v>527</v>
      </c>
      <c r="E10" s="1393" t="e">
        <f>ROUND(D1*10000/D10/H9,0)</f>
        <v>#DIV/0!</v>
      </c>
      <c r="F10" s="1394"/>
      <c r="G10" s="1394"/>
      <c r="H10" s="1395"/>
      <c r="I10" s="1396">
        <f>SUM(I3:I9)</f>
        <v>0</v>
      </c>
    </row>
    <row r="11" spans="1:9" ht="14.25">
      <c r="A11" s="3034" t="s">
        <v>1026</v>
      </c>
      <c r="B11" s="3035" t="s">
        <v>989</v>
      </c>
      <c r="C11" s="3035"/>
      <c r="D11" s="1389" t="s">
        <v>990</v>
      </c>
      <c r="E11" s="1389" t="s">
        <v>991</v>
      </c>
      <c r="F11" s="1390" t="s">
        <v>992</v>
      </c>
      <c r="G11" s="1390" t="s">
        <v>979</v>
      </c>
      <c r="H11" s="1397" t="s">
        <v>993</v>
      </c>
      <c r="I11" s="1388" t="s">
        <v>980</v>
      </c>
    </row>
    <row r="12" spans="1:9">
      <c r="A12" s="3034"/>
      <c r="B12" s="3035" t="s">
        <v>994</v>
      </c>
      <c r="C12" s="3035"/>
      <c r="D12" s="1389"/>
      <c r="E12" s="1389"/>
      <c r="F12" s="1390"/>
      <c r="G12" s="1391"/>
      <c r="H12" s="1398"/>
      <c r="I12" s="1388">
        <f>ROUND(D12*E12*F12*G12/10000,0)</f>
        <v>0</v>
      </c>
    </row>
    <row r="13" spans="1:9">
      <c r="A13" s="3034"/>
      <c r="B13" s="3035" t="s">
        <v>995</v>
      </c>
      <c r="C13" s="3035"/>
      <c r="D13" s="1389"/>
      <c r="E13" s="1389"/>
      <c r="F13" s="1390"/>
      <c r="G13" s="1391"/>
      <c r="H13" s="1398"/>
      <c r="I13" s="1388">
        <f>ROUND(D13*E13*F13*G13/10000,0)</f>
        <v>0</v>
      </c>
    </row>
    <row r="14" spans="1:9">
      <c r="A14" s="3034"/>
      <c r="B14" s="3035" t="s">
        <v>996</v>
      </c>
      <c r="C14" s="3035"/>
      <c r="D14" s="1389"/>
      <c r="E14" s="1389"/>
      <c r="F14" s="1390"/>
      <c r="G14" s="1391"/>
      <c r="H14" s="1398"/>
      <c r="I14" s="1388">
        <f>ROUND(D14*E14*F14*G14/10000,0)</f>
        <v>0</v>
      </c>
    </row>
    <row r="15" spans="1:9">
      <c r="A15" s="3034"/>
      <c r="B15" s="3036" t="s">
        <v>988</v>
      </c>
      <c r="C15" s="3036"/>
      <c r="D15" s="1393"/>
      <c r="E15" s="1393">
        <f>SUM(E12:E14)</f>
        <v>0</v>
      </c>
      <c r="F15" s="1394"/>
      <c r="G15" s="1391"/>
      <c r="H15" s="1398"/>
      <c r="I15" s="1399">
        <f>SUM(I12:I14)</f>
        <v>0</v>
      </c>
    </row>
    <row r="16" spans="1:9" ht="24">
      <c r="A16" s="3034" t="s">
        <v>1027</v>
      </c>
      <c r="B16" s="3035" t="s">
        <v>997</v>
      </c>
      <c r="C16" s="3035"/>
      <c r="D16" s="1389" t="s">
        <v>975</v>
      </c>
      <c r="E16" s="1400" t="s">
        <v>998</v>
      </c>
      <c r="F16" s="1390" t="s">
        <v>999</v>
      </c>
      <c r="G16" s="1391" t="s">
        <v>979</v>
      </c>
      <c r="H16" s="1397" t="s">
        <v>993</v>
      </c>
      <c r="I16" s="1388" t="s">
        <v>980</v>
      </c>
    </row>
    <row r="17" spans="1:9" ht="14.25">
      <c r="A17" s="3034"/>
      <c r="B17" s="3035" t="s">
        <v>1000</v>
      </c>
      <c r="C17" s="3035"/>
      <c r="D17" s="1389"/>
      <c r="E17" s="1389"/>
      <c r="F17" s="1390"/>
      <c r="G17" s="1391"/>
      <c r="H17" s="1401"/>
      <c r="I17" s="1402">
        <f>ROUND(D17*E17*F17*G17/10000,0)</f>
        <v>0</v>
      </c>
    </row>
    <row r="18" spans="1:9" ht="14.25">
      <c r="A18" s="3034"/>
      <c r="B18" s="3035" t="s">
        <v>1001</v>
      </c>
      <c r="C18" s="3035"/>
      <c r="D18" s="1389"/>
      <c r="E18" s="1389"/>
      <c r="F18" s="1390"/>
      <c r="G18" s="1391"/>
      <c r="H18" s="1401"/>
      <c r="I18" s="1402">
        <f>ROUND(D18*E18*F18*G18/10000,0)</f>
        <v>0</v>
      </c>
    </row>
    <row r="19" spans="1:9" ht="14.25">
      <c r="A19" s="3034"/>
      <c r="B19" s="3035" t="s">
        <v>1002</v>
      </c>
      <c r="C19" s="3035"/>
      <c r="D19" s="1389"/>
      <c r="E19" s="1389"/>
      <c r="F19" s="1390"/>
      <c r="G19" s="1391"/>
      <c r="H19" s="1401"/>
      <c r="I19" s="1402">
        <f>ROUND(D19*E19*F19*G19/10000,0)</f>
        <v>0</v>
      </c>
    </row>
    <row r="20" spans="1:9">
      <c r="A20" s="3034"/>
      <c r="B20" s="3036" t="s">
        <v>988</v>
      </c>
      <c r="C20" s="3036"/>
      <c r="D20" s="1393">
        <f>SUM(D17:D19)</f>
        <v>0</v>
      </c>
      <c r="E20" s="1393"/>
      <c r="F20" s="1394"/>
      <c r="G20" s="1391"/>
      <c r="H20" s="1398"/>
      <c r="I20" s="1399">
        <f>SUM(I17:I19)</f>
        <v>0</v>
      </c>
    </row>
    <row r="21" spans="1:9">
      <c r="A21" s="3034" t="s">
        <v>1028</v>
      </c>
      <c r="B21" s="3037"/>
      <c r="C21" s="3037"/>
      <c r="D21" s="3037"/>
      <c r="E21" s="3037"/>
      <c r="F21" s="3037"/>
      <c r="G21" s="3037"/>
      <c r="H21" s="1403">
        <v>0.1</v>
      </c>
      <c r="I21" s="1396">
        <f>ROUND(I10*H21,0)</f>
        <v>0</v>
      </c>
    </row>
    <row r="22" spans="1:9" ht="14.25">
      <c r="A22" s="3038" t="s">
        <v>1029</v>
      </c>
      <c r="B22" s="3039"/>
      <c r="C22" s="3040"/>
      <c r="D22" s="1404" t="s">
        <v>1003</v>
      </c>
      <c r="E22" s="1404" t="s">
        <v>1004</v>
      </c>
      <c r="F22" s="1405" t="s">
        <v>979</v>
      </c>
      <c r="G22" s="1405" t="s">
        <v>1005</v>
      </c>
      <c r="H22" s="1397" t="s">
        <v>993</v>
      </c>
      <c r="I22" s="1388" t="s">
        <v>980</v>
      </c>
    </row>
    <row r="23" spans="1:9" ht="14.25" thickBot="1">
      <c r="A23" s="3041"/>
      <c r="B23" s="3042"/>
      <c r="C23" s="3043"/>
      <c r="D23" s="1406"/>
      <c r="E23" s="1406"/>
      <c r="F23" s="1406"/>
      <c r="G23" s="1407"/>
      <c r="H23" s="1408"/>
      <c r="I23" s="1409">
        <f>ROUND(E23*D23*F23*(1-G23)/10000,0)</f>
        <v>0</v>
      </c>
    </row>
    <row r="26" spans="1:9">
      <c r="A26" s="1410" t="s">
        <v>1006</v>
      </c>
      <c r="B26" s="1410"/>
      <c r="C26" s="1410"/>
      <c r="D26" s="1410"/>
      <c r="E26" s="3031">
        <f>C27-C30-C31-C32</f>
        <v>0</v>
      </c>
      <c r="F26" s="3031"/>
      <c r="G26" s="3031"/>
      <c r="H26" s="1827" t="s">
        <v>1219</v>
      </c>
    </row>
    <row r="27" spans="1:9">
      <c r="A27" s="1411">
        <v>1</v>
      </c>
      <c r="B27" s="1412" t="s">
        <v>1007</v>
      </c>
      <c r="C27" s="1412">
        <f>C28+C29</f>
        <v>0</v>
      </c>
      <c r="D27" s="1412"/>
      <c r="E27" s="3032"/>
      <c r="F27" s="3032"/>
      <c r="G27" s="3032"/>
    </row>
    <row r="28" spans="1:9">
      <c r="A28" s="1413" t="s">
        <v>1008</v>
      </c>
      <c r="B28" s="1412" t="s">
        <v>1009</v>
      </c>
      <c r="C28" s="1412"/>
      <c r="D28" s="1412"/>
      <c r="E28" s="3032"/>
      <c r="F28" s="3032"/>
      <c r="G28" s="3032"/>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3"/>
      <c r="F32" s="3033"/>
      <c r="G32" s="3033"/>
    </row>
    <row r="33" spans="1:7" hidden="1">
      <c r="A33" s="3028" t="s">
        <v>1018</v>
      </c>
      <c r="B33" s="3029"/>
      <c r="C33" s="3029"/>
      <c r="D33" s="3030"/>
      <c r="E33" s="3031"/>
      <c r="F33" s="3031"/>
      <c r="G33" s="3031"/>
    </row>
    <row r="34" spans="1:7" hidden="1">
      <c r="A34" s="1415">
        <v>1</v>
      </c>
      <c r="B34" s="1412" t="s">
        <v>1019</v>
      </c>
      <c r="C34" s="1412"/>
      <c r="D34" s="1412"/>
      <c r="E34" s="3032"/>
      <c r="F34" s="3032"/>
      <c r="G34" s="3032"/>
    </row>
    <row r="35" spans="1:7" hidden="1">
      <c r="A35" s="1415">
        <v>2</v>
      </c>
      <c r="B35" s="1412" t="s">
        <v>1020</v>
      </c>
      <c r="C35" s="1412"/>
      <c r="D35" s="1412"/>
      <c r="E35" s="3032"/>
      <c r="F35" s="3032"/>
      <c r="G35" s="3032"/>
    </row>
    <row r="36" spans="1:7" hidden="1">
      <c r="A36" s="1415">
        <v>3</v>
      </c>
      <c r="B36" s="1412" t="s">
        <v>1021</v>
      </c>
      <c r="C36" s="1412"/>
      <c r="D36" s="1412"/>
      <c r="E36" s="3032"/>
      <c r="F36" s="3032"/>
      <c r="G36" s="3032"/>
    </row>
    <row r="37" spans="1:7" hidden="1">
      <c r="A37" s="1415">
        <v>4</v>
      </c>
      <c r="B37" s="1412" t="s">
        <v>1022</v>
      </c>
      <c r="C37" s="1412"/>
      <c r="D37" s="1412"/>
      <c r="E37" s="3032"/>
      <c r="F37" s="3032"/>
      <c r="G37" s="3032"/>
    </row>
    <row r="38" spans="1:7" hidden="1">
      <c r="A38" s="3028" t="s">
        <v>1023</v>
      </c>
      <c r="B38" s="3029"/>
      <c r="C38" s="3029"/>
      <c r="D38" s="3030"/>
      <c r="E38" s="3031"/>
      <c r="F38" s="3031"/>
      <c r="G38" s="303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2296</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2297</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2298</v>
      </c>
      <c r="B3" s="334" t="e">
        <f>B24</f>
        <v>#DIV/0!</v>
      </c>
      <c r="C3" s="1182" t="s">
        <v>2299</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2300</v>
      </c>
      <c r="C4" s="3052" t="s">
        <v>2301</v>
      </c>
      <c r="D4" s="3053"/>
      <c r="E4" s="3053"/>
      <c r="F4" s="3053"/>
      <c r="G4" s="3053"/>
      <c r="H4" s="3053"/>
      <c r="I4" s="3053"/>
      <c r="J4" s="3053"/>
      <c r="K4" s="3053"/>
      <c r="L4" s="3053"/>
      <c r="M4" s="3053"/>
      <c r="N4" s="3053"/>
      <c r="O4" s="3053"/>
      <c r="P4" s="3053"/>
      <c r="Q4" s="3053"/>
      <c r="R4" s="3053"/>
      <c r="S4" s="3054"/>
      <c r="T4" s="678" t="s">
        <v>2302</v>
      </c>
      <c r="U4" s="1311"/>
      <c r="V4" s="1311"/>
      <c r="X4" s="1311"/>
      <c r="Y4" s="1311"/>
    </row>
    <row r="5" spans="1:44" s="692" customFormat="1">
      <c r="A5" s="1321"/>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2304</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2305</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2306</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2307</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2308</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2309</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2310</v>
      </c>
      <c r="B20" s="2368" t="s">
        <v>2311</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2312</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2313</v>
      </c>
      <c r="B23" s="308">
        <f>IF(F23="——",IF(C23="万元",T25,S25),IF(C23="万元",T25-H23,S25-H23))</f>
        <v>0</v>
      </c>
      <c r="C23" s="2370" t="str">
        <f>'数据-取费表'!B3</f>
        <v>元</v>
      </c>
      <c r="D23" s="84"/>
      <c r="E23" s="84"/>
      <c r="F23" s="2371" t="s">
        <v>1253</v>
      </c>
      <c r="G23" s="1878"/>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2314</v>
      </c>
      <c r="B24" s="308" t="e">
        <f>R25</f>
        <v>#DIV/0!</v>
      </c>
      <c r="C24" s="1143"/>
      <c r="D24" s="84"/>
      <c r="E24" s="84"/>
      <c r="F24" s="84"/>
      <c r="G24" s="84"/>
      <c r="H24" s="84"/>
      <c r="I24" s="84"/>
      <c r="J24" s="84"/>
      <c r="K24" s="84"/>
      <c r="L24" s="84"/>
      <c r="M24" s="84"/>
      <c r="N24" s="84"/>
      <c r="O24" s="84"/>
      <c r="P24" s="84"/>
      <c r="Q24" s="84"/>
      <c r="R24" s="769"/>
      <c r="S24" s="14" t="s">
        <v>2315</v>
      </c>
      <c r="T24" s="1895" t="s">
        <v>2316</v>
      </c>
      <c r="U24" s="2373" t="s">
        <v>2317</v>
      </c>
      <c r="V24" s="1341"/>
      <c r="W24" s="2374" t="s">
        <v>2318</v>
      </c>
      <c r="X24" s="2373" t="s">
        <v>2319</v>
      </c>
      <c r="Y24" s="1341"/>
      <c r="Z24" s="2375" t="s">
        <v>2318</v>
      </c>
    </row>
    <row r="25" spans="1:45">
      <c r="A25" s="334" t="s">
        <v>2320</v>
      </c>
      <c r="B25" s="14">
        <f>SUM(B27:B10000)</f>
        <v>0</v>
      </c>
      <c r="C25" s="3049" t="s">
        <v>45</v>
      </c>
      <c r="D25" s="3050"/>
      <c r="E25" s="3050"/>
      <c r="F25" s="3050"/>
      <c r="G25" s="3050"/>
      <c r="H25" s="3050"/>
      <c r="I25" s="3050"/>
      <c r="J25" s="3050"/>
      <c r="K25" s="3050"/>
      <c r="L25" s="3050"/>
      <c r="M25" s="3050"/>
      <c r="N25" s="3050"/>
      <c r="O25" s="3050"/>
      <c r="P25" s="3050"/>
      <c r="Q25" s="305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1" t="s">
        <v>2326</v>
      </c>
      <c r="V26" s="2377" t="s">
        <v>2327</v>
      </c>
      <c r="W26" s="2378" t="s">
        <v>2328</v>
      </c>
      <c r="X26" s="1881" t="s">
        <v>2326</v>
      </c>
      <c r="Y26" s="2377" t="s">
        <v>2327</v>
      </c>
      <c r="Z26" s="2378"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2331</v>
      </c>
      <c r="C1" s="1724"/>
      <c r="D1" s="2379"/>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2" customFormat="1" ht="28.5" customHeight="1" thickTop="1">
      <c r="A2" s="1725" t="s">
        <v>2000</v>
      </c>
      <c r="B2" s="1723" t="e">
        <f ca="1">IF(D2="——",IF(C2="元",ROUND(C49*D3,0),ROUND(C49*D3/10000,0)),IF(C2="元",ROUND(C49*D3,0),ROUND(C49*D3/10000,0))-E2)</f>
        <v>#DIV/0!</v>
      </c>
      <c r="C2" s="163" t="str">
        <f>'数据-取费表'!B3</f>
        <v>元</v>
      </c>
      <c r="D2" s="2382"/>
      <c r="E2" s="1841"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2001</v>
      </c>
      <c r="B3" s="378" t="e">
        <f ca="1">ROUND(IF(D2="——",C49,IF(C2="万元",B2*10000/D3,B2/D3)),0)</f>
        <v>#DIV/0!</v>
      </c>
      <c r="C3" s="379" t="s">
        <v>2333</v>
      </c>
      <c r="D3" s="378">
        <f>IF(C1="仅计算典型户型",'数据-取费表'!E5,'数据-取费表'!B5)</f>
        <v>218.48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6"/>
    </row>
    <row r="4" spans="1:29" ht="15">
      <c r="A4" s="380" t="s">
        <v>2334</v>
      </c>
      <c r="B4" s="381"/>
      <c r="C4" s="3008" t="s">
        <v>2335</v>
      </c>
      <c r="D4" s="3009"/>
      <c r="E4" s="3010" t="s">
        <v>2336</v>
      </c>
      <c r="F4" s="3011"/>
      <c r="G4" s="3008" t="s">
        <v>2337</v>
      </c>
      <c r="H4" s="3009"/>
      <c r="I4" s="3008" t="s">
        <v>2338</v>
      </c>
      <c r="J4" s="3009"/>
      <c r="K4" s="2393"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5" t="s">
        <v>2337</v>
      </c>
      <c r="AC4" s="3005" t="s">
        <v>2338</v>
      </c>
    </row>
    <row r="5" spans="1:29" ht="15">
      <c r="A5" s="383"/>
      <c r="B5" s="384"/>
      <c r="C5" s="3023" t="s">
        <v>2341</v>
      </c>
      <c r="D5" s="3020"/>
      <c r="E5" s="3017" t="s">
        <v>2342</v>
      </c>
      <c r="F5" s="3018"/>
      <c r="G5" s="3023" t="s">
        <v>2343</v>
      </c>
      <c r="H5" s="3020"/>
      <c r="I5" s="3023" t="s">
        <v>2344</v>
      </c>
      <c r="J5" s="3020"/>
      <c r="K5" s="23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23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5"/>
      <c r="L7" s="1244"/>
      <c r="M7" s="1245"/>
      <c r="N7" s="1245"/>
      <c r="O7" s="1245"/>
      <c r="P7" s="2992" t="s">
        <v>2348</v>
      </c>
      <c r="Q7" s="3000"/>
      <c r="R7" s="749" t="s">
        <v>34</v>
      </c>
      <c r="S7" s="750">
        <f t="shared" ref="S7:S15" si="0">F7</f>
        <v>0</v>
      </c>
      <c r="T7" s="749" t="s">
        <v>34</v>
      </c>
      <c r="U7" s="750">
        <f t="shared" ref="U7:U15" si="1">H7</f>
        <v>0</v>
      </c>
      <c r="V7" s="749" t="s">
        <v>34</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2992" t="s">
        <v>2351</v>
      </c>
      <c r="Q8" s="2993"/>
      <c r="R8" s="749" t="s">
        <v>34</v>
      </c>
      <c r="S8" s="750">
        <f t="shared" si="0"/>
        <v>0</v>
      </c>
      <c r="T8" s="749" t="s">
        <v>34</v>
      </c>
      <c r="U8" s="750">
        <f t="shared" si="1"/>
        <v>0</v>
      </c>
      <c r="V8" s="749" t="s">
        <v>34</v>
      </c>
      <c r="W8" s="750">
        <f t="shared" si="2"/>
        <v>0</v>
      </c>
      <c r="X8" s="751"/>
      <c r="Y8" s="2992" t="s">
        <v>2351</v>
      </c>
      <c r="Z8" s="2993"/>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6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3"/>
      <c r="Q11" s="1885" t="str">
        <f t="shared" si="6"/>
        <v>容积率</v>
      </c>
      <c r="R11" s="749" t="s">
        <v>28</v>
      </c>
      <c r="S11" s="750" t="e">
        <f t="shared" si="0"/>
        <v>#N/A</v>
      </c>
      <c r="T11" s="749" t="s">
        <v>28</v>
      </c>
      <c r="U11" s="750" t="e">
        <f t="shared" si="1"/>
        <v>#N/A</v>
      </c>
      <c r="V11" s="749" t="s">
        <v>28</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63"/>
      <c r="Q12" s="1885">
        <f t="shared" si="6"/>
        <v>111</v>
      </c>
      <c r="R12" s="749" t="s">
        <v>28</v>
      </c>
      <c r="S12" s="750">
        <f t="shared" si="0"/>
        <v>100</v>
      </c>
      <c r="T12" s="749" t="s">
        <v>28</v>
      </c>
      <c r="U12" s="750">
        <f t="shared" si="1"/>
        <v>100</v>
      </c>
      <c r="V12" s="749" t="s">
        <v>28</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63"/>
      <c r="Q13" s="1885">
        <f t="shared" si="6"/>
        <v>111</v>
      </c>
      <c r="R13" s="749" t="s">
        <v>28</v>
      </c>
      <c r="S13" s="750">
        <f t="shared" si="0"/>
        <v>100</v>
      </c>
      <c r="T13" s="749" t="s">
        <v>28</v>
      </c>
      <c r="U13" s="750">
        <f t="shared" si="1"/>
        <v>100</v>
      </c>
      <c r="V13" s="749" t="s">
        <v>28</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63"/>
      <c r="Q14" s="1885">
        <f t="shared" si="6"/>
        <v>111</v>
      </c>
      <c r="R14" s="749" t="s">
        <v>28</v>
      </c>
      <c r="S14" s="750">
        <f t="shared" si="0"/>
        <v>100</v>
      </c>
      <c r="T14" s="749" t="s">
        <v>28</v>
      </c>
      <c r="U14" s="750">
        <f t="shared" si="1"/>
        <v>100</v>
      </c>
      <c r="V14" s="749" t="s">
        <v>28</v>
      </c>
      <c r="W14" s="750">
        <f t="shared" si="2"/>
        <v>100</v>
      </c>
      <c r="X14" s="751"/>
      <c r="Y14" s="2843"/>
      <c r="Z14" s="23">
        <f t="shared" si="7"/>
        <v>111</v>
      </c>
      <c r="AA14" s="752">
        <f t="shared" si="3"/>
        <v>1</v>
      </c>
      <c r="AB14" s="752">
        <f t="shared" si="4"/>
        <v>1</v>
      </c>
      <c r="AC14" s="752">
        <f t="shared" si="5"/>
        <v>1</v>
      </c>
    </row>
    <row r="15" spans="1:29" ht="15">
      <c r="A15" s="419" t="s">
        <v>2358</v>
      </c>
      <c r="B15" s="26" t="s">
        <v>1734</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8" t="s">
        <v>2359</v>
      </c>
      <c r="Q15" s="1897" t="str">
        <f t="shared" si="6"/>
        <v>居住社区成熟度</v>
      </c>
      <c r="R15" s="753" t="s">
        <v>28</v>
      </c>
      <c r="S15" s="754">
        <f t="shared" si="0"/>
        <v>100</v>
      </c>
      <c r="T15" s="753" t="s">
        <v>28</v>
      </c>
      <c r="U15" s="754">
        <f t="shared" si="1"/>
        <v>100</v>
      </c>
      <c r="V15" s="753" t="s">
        <v>28</v>
      </c>
      <c r="W15" s="754">
        <f t="shared" si="2"/>
        <v>100</v>
      </c>
      <c r="X15" s="1898"/>
      <c r="Y15" s="3003" t="s">
        <v>2359</v>
      </c>
      <c r="Z15" s="1900" t="str">
        <f t="shared" si="7"/>
        <v>居住社区成熟度</v>
      </c>
      <c r="AA15" s="1901">
        <f t="shared" si="3"/>
        <v>1</v>
      </c>
      <c r="AB15" s="1901">
        <f t="shared" si="4"/>
        <v>1</v>
      </c>
      <c r="AC15" s="1901">
        <f t="shared" si="5"/>
        <v>1</v>
      </c>
    </row>
    <row r="16" spans="1:29" ht="15">
      <c r="A16" s="408"/>
      <c r="B16" s="425"/>
      <c r="C16" s="426"/>
      <c r="D16" s="427"/>
      <c r="E16" s="428"/>
      <c r="F16" s="429"/>
      <c r="G16" s="2402"/>
      <c r="H16" s="430"/>
      <c r="I16" s="428"/>
      <c r="J16" s="427"/>
      <c r="K16" s="2403"/>
      <c r="L16" s="1252"/>
      <c r="M16" s="1243"/>
      <c r="N16" s="1243"/>
      <c r="O16" s="1243"/>
      <c r="P16" s="3059"/>
      <c r="Q16" s="1897"/>
      <c r="R16" s="753"/>
      <c r="S16" s="754"/>
      <c r="T16" s="753"/>
      <c r="U16" s="754"/>
      <c r="V16" s="753"/>
      <c r="W16" s="754"/>
      <c r="X16" s="1898"/>
      <c r="Y16" s="3004"/>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9"/>
      <c r="Q17" s="1897" t="str">
        <f>B17</f>
        <v>交通便捷度</v>
      </c>
      <c r="R17" s="753" t="s">
        <v>28</v>
      </c>
      <c r="S17" s="754">
        <f>F17</f>
        <v>100</v>
      </c>
      <c r="T17" s="753" t="s">
        <v>28</v>
      </c>
      <c r="U17" s="754">
        <f>H17</f>
        <v>100</v>
      </c>
      <c r="V17" s="753" t="s">
        <v>28</v>
      </c>
      <c r="W17" s="754">
        <f>J17</f>
        <v>100</v>
      </c>
      <c r="X17" s="1898"/>
      <c r="Y17" s="300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2403"/>
      <c r="L18" s="1252"/>
      <c r="M18" s="1243"/>
      <c r="N18" s="1243"/>
      <c r="O18" s="1243"/>
      <c r="P18" s="3059"/>
      <c r="Q18" s="1897"/>
      <c r="R18" s="753"/>
      <c r="S18" s="754"/>
      <c r="T18" s="753"/>
      <c r="U18" s="754"/>
      <c r="V18" s="753"/>
      <c r="W18" s="754"/>
      <c r="X18" s="1898"/>
      <c r="Y18" s="3004"/>
      <c r="Z18" s="1900"/>
      <c r="AA18" s="1901">
        <v>1</v>
      </c>
      <c r="AB18" s="1901">
        <v>1</v>
      </c>
      <c r="AC18" s="1901">
        <v>1</v>
      </c>
    </row>
    <row r="19" spans="1:29" ht="15">
      <c r="A19" s="408"/>
      <c r="B19" s="431" t="s">
        <v>1741</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9"/>
      <c r="Q19" s="1897" t="str">
        <f>B19</f>
        <v>公共配套设施</v>
      </c>
      <c r="R19" s="753" t="s">
        <v>28</v>
      </c>
      <c r="S19" s="754">
        <f>F19</f>
        <v>100</v>
      </c>
      <c r="T19" s="753" t="s">
        <v>28</v>
      </c>
      <c r="U19" s="754">
        <f>H19</f>
        <v>100</v>
      </c>
      <c r="V19" s="753" t="s">
        <v>28</v>
      </c>
      <c r="W19" s="754">
        <f>J19</f>
        <v>100</v>
      </c>
      <c r="X19" s="1898"/>
      <c r="Y19" s="300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2403"/>
      <c r="L20" s="1252"/>
      <c r="M20" s="1243"/>
      <c r="N20" s="1243"/>
      <c r="O20" s="1243"/>
      <c r="P20" s="3059"/>
      <c r="Q20" s="1897"/>
      <c r="R20" s="753"/>
      <c r="S20" s="754"/>
      <c r="T20" s="753"/>
      <c r="U20" s="754"/>
      <c r="V20" s="753"/>
      <c r="W20" s="754"/>
      <c r="X20" s="1898"/>
      <c r="Y20" s="3004"/>
      <c r="Z20" s="1900"/>
      <c r="AA20" s="1901">
        <v>1</v>
      </c>
      <c r="AB20" s="1901">
        <v>1</v>
      </c>
      <c r="AC20" s="1901">
        <v>1</v>
      </c>
    </row>
    <row r="21" spans="1:29" ht="15">
      <c r="A21" s="408"/>
      <c r="B21" s="2406" t="s">
        <v>1744</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9"/>
      <c r="Q21" s="1897" t="str">
        <f>B21</f>
        <v>基础设施水平</v>
      </c>
      <c r="R21" s="753" t="s">
        <v>28</v>
      </c>
      <c r="S21" s="754">
        <f>F21</f>
        <v>100</v>
      </c>
      <c r="T21" s="753" t="s">
        <v>28</v>
      </c>
      <c r="U21" s="754">
        <f>H21</f>
        <v>100</v>
      </c>
      <c r="V21" s="753" t="s">
        <v>28</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2407"/>
      <c r="L22" s="1252"/>
      <c r="M22" s="1243"/>
      <c r="N22" s="1243"/>
      <c r="O22" s="1243"/>
      <c r="P22" s="3059"/>
      <c r="Q22" s="1897"/>
      <c r="R22" s="753"/>
      <c r="S22" s="754"/>
      <c r="T22" s="753"/>
      <c r="U22" s="754"/>
      <c r="V22" s="753"/>
      <c r="W22" s="754"/>
      <c r="X22" s="1898"/>
      <c r="Y22" s="3004"/>
      <c r="Z22" s="1900"/>
      <c r="AA22" s="1901">
        <v>1</v>
      </c>
      <c r="AB22" s="1901">
        <v>1</v>
      </c>
      <c r="AC22" s="1901">
        <v>1</v>
      </c>
    </row>
    <row r="23" spans="1:29" ht="15">
      <c r="A23" s="408"/>
      <c r="B23" s="431" t="s">
        <v>1748</v>
      </c>
      <c r="C23" s="2404"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9"/>
      <c r="Q23" s="1897" t="str">
        <f>B23</f>
        <v>自然及人文环境</v>
      </c>
      <c r="R23" s="753" t="s">
        <v>28</v>
      </c>
      <c r="S23" s="754">
        <f>F23</f>
        <v>100</v>
      </c>
      <c r="T23" s="753" t="s">
        <v>28</v>
      </c>
      <c r="U23" s="754">
        <f>H23</f>
        <v>100</v>
      </c>
      <c r="V23" s="753" t="s">
        <v>28</v>
      </c>
      <c r="W23" s="754">
        <f>J23</f>
        <v>100</v>
      </c>
      <c r="X23" s="1898"/>
      <c r="Y23" s="300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2403"/>
      <c r="L24" s="1252"/>
      <c r="M24" s="1243"/>
      <c r="N24" s="1243"/>
      <c r="O24" s="1243"/>
      <c r="P24" s="3059"/>
      <c r="Q24" s="1897"/>
      <c r="R24" s="753"/>
      <c r="S24" s="754"/>
      <c r="T24" s="753"/>
      <c r="U24" s="754"/>
      <c r="V24" s="753"/>
      <c r="W24" s="754"/>
      <c r="X24" s="1898"/>
      <c r="Y24" s="3004"/>
      <c r="Z24" s="1900"/>
      <c r="AA24" s="1901">
        <v>1</v>
      </c>
      <c r="AB24" s="1901">
        <v>1</v>
      </c>
      <c r="AC24" s="1901">
        <v>1</v>
      </c>
    </row>
    <row r="25" spans="1:29" ht="15">
      <c r="A25" s="408"/>
      <c r="B25" s="402" t="s">
        <v>2360</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59"/>
      <c r="Q25" s="1897" t="str">
        <f t="shared" ref="Q25:Q46" si="11">B25</f>
        <v>楼层-1</v>
      </c>
      <c r="R25" s="753" t="s">
        <v>28</v>
      </c>
      <c r="S25" s="754">
        <f>F25</f>
        <v>100</v>
      </c>
      <c r="T25" s="753" t="s">
        <v>28</v>
      </c>
      <c r="U25" s="754">
        <f>H25</f>
        <v>100</v>
      </c>
      <c r="V25" s="753" t="s">
        <v>28</v>
      </c>
      <c r="W25" s="754">
        <f>J25</f>
        <v>100</v>
      </c>
      <c r="X25" s="1898"/>
      <c r="Y25" s="3004"/>
      <c r="Z25" s="1900" t="str">
        <f>Q25</f>
        <v>楼层-1</v>
      </c>
      <c r="AA25" s="1901">
        <f t="shared" si="3"/>
        <v>1</v>
      </c>
      <c r="AB25" s="1901">
        <f t="shared" si="4"/>
        <v>1</v>
      </c>
      <c r="AC25" s="1901">
        <f t="shared" si="5"/>
        <v>1</v>
      </c>
    </row>
    <row r="26" spans="1:29" ht="15">
      <c r="A26" s="408"/>
      <c r="B26" s="402" t="s">
        <v>2361</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59"/>
      <c r="Q26" s="1897" t="str">
        <f t="shared" si="11"/>
        <v>朝向</v>
      </c>
      <c r="R26" s="753" t="s">
        <v>28</v>
      </c>
      <c r="S26" s="754">
        <f>F26</f>
        <v>100</v>
      </c>
      <c r="T26" s="753" t="s">
        <v>28</v>
      </c>
      <c r="U26" s="754">
        <f>H26</f>
        <v>100</v>
      </c>
      <c r="V26" s="753" t="s">
        <v>28</v>
      </c>
      <c r="W26" s="754">
        <f>J26</f>
        <v>100</v>
      </c>
      <c r="X26" s="1898"/>
      <c r="Y26" s="3004"/>
      <c r="Z26" s="1900" t="str">
        <f>Q26</f>
        <v>朝向</v>
      </c>
      <c r="AA26" s="1901">
        <f t="shared" si="3"/>
        <v>1</v>
      </c>
      <c r="AB26" s="1901">
        <f t="shared" si="4"/>
        <v>1</v>
      </c>
      <c r="AC26" s="1901">
        <f t="shared" si="5"/>
        <v>1</v>
      </c>
    </row>
    <row r="27" spans="1:29" s="35" customFormat="1" ht="15">
      <c r="A27" s="411"/>
      <c r="B27" s="2397" t="s">
        <v>2362</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59"/>
      <c r="Q27" s="1885" t="str">
        <f t="shared" si="11"/>
        <v>道路级别</v>
      </c>
      <c r="R27" s="749" t="s">
        <v>28</v>
      </c>
      <c r="S27" s="750">
        <f>F27</f>
        <v>100</v>
      </c>
      <c r="T27" s="749" t="s">
        <v>28</v>
      </c>
      <c r="U27" s="750">
        <f>H27</f>
        <v>100</v>
      </c>
      <c r="V27" s="749" t="s">
        <v>28</v>
      </c>
      <c r="W27" s="750">
        <f>J27</f>
        <v>100</v>
      </c>
      <c r="X27" s="751"/>
      <c r="Y27" s="3004"/>
      <c r="Z27" s="23" t="str">
        <f>Q27</f>
        <v>道路级别</v>
      </c>
      <c r="AA27" s="1901">
        <f>D27/F27</f>
        <v>1</v>
      </c>
      <c r="AB27" s="1901">
        <f>D27/H27</f>
        <v>1</v>
      </c>
      <c r="AC27" s="1901">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59"/>
      <c r="Q28" s="1897">
        <f t="shared" si="11"/>
        <v>111</v>
      </c>
      <c r="R28" s="753" t="s">
        <v>28</v>
      </c>
      <c r="S28" s="754">
        <f t="shared" ref="S28:S46" si="12">F28</f>
        <v>100</v>
      </c>
      <c r="T28" s="753" t="s">
        <v>28</v>
      </c>
      <c r="U28" s="754">
        <f t="shared" ref="U28:U46" si="13">H28</f>
        <v>100</v>
      </c>
      <c r="V28" s="753" t="s">
        <v>28</v>
      </c>
      <c r="W28" s="754">
        <f t="shared" ref="W28:W46" si="14">J28</f>
        <v>100</v>
      </c>
      <c r="X28" s="1898"/>
      <c r="Y28" s="3004"/>
      <c r="Z28" s="1900">
        <f t="shared" ref="Z28:Z46" si="15">Q28</f>
        <v>111</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59"/>
      <c r="Q29" s="1897">
        <f t="shared" si="11"/>
        <v>111</v>
      </c>
      <c r="R29" s="753" t="s">
        <v>28</v>
      </c>
      <c r="S29" s="754">
        <f t="shared" si="12"/>
        <v>100</v>
      </c>
      <c r="T29" s="753" t="s">
        <v>28</v>
      </c>
      <c r="U29" s="754">
        <f t="shared" si="13"/>
        <v>100</v>
      </c>
      <c r="V29" s="753" t="s">
        <v>28</v>
      </c>
      <c r="W29" s="754">
        <f t="shared" si="14"/>
        <v>100</v>
      </c>
      <c r="X29" s="1898"/>
      <c r="Y29" s="300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59"/>
      <c r="Q30" s="1897">
        <f t="shared" si="11"/>
        <v>111</v>
      </c>
      <c r="R30" s="753" t="s">
        <v>28</v>
      </c>
      <c r="S30" s="754">
        <f t="shared" si="12"/>
        <v>100</v>
      </c>
      <c r="T30" s="753" t="s">
        <v>28</v>
      </c>
      <c r="U30" s="754">
        <f t="shared" si="13"/>
        <v>100</v>
      </c>
      <c r="V30" s="753" t="s">
        <v>28</v>
      </c>
      <c r="W30" s="754">
        <f t="shared" si="14"/>
        <v>100</v>
      </c>
      <c r="X30" s="1898"/>
      <c r="Y30" s="3004"/>
      <c r="Z30" s="1900">
        <f t="shared" si="15"/>
        <v>111</v>
      </c>
      <c r="AA30" s="1901">
        <f t="shared" si="3"/>
        <v>1</v>
      </c>
      <c r="AB30" s="1901">
        <f t="shared" si="4"/>
        <v>1</v>
      </c>
      <c r="AC30" s="1901">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59"/>
      <c r="Q31" s="1897">
        <f t="shared" si="11"/>
        <v>111</v>
      </c>
      <c r="R31" s="753" t="s">
        <v>28</v>
      </c>
      <c r="S31" s="754">
        <f t="shared" si="12"/>
        <v>100</v>
      </c>
      <c r="T31" s="753" t="s">
        <v>28</v>
      </c>
      <c r="U31" s="754">
        <f t="shared" si="13"/>
        <v>100</v>
      </c>
      <c r="V31" s="753" t="s">
        <v>28</v>
      </c>
      <c r="W31" s="754">
        <f t="shared" si="14"/>
        <v>100</v>
      </c>
      <c r="X31" s="1898"/>
      <c r="Y31" s="3004"/>
      <c r="Z31" s="1900">
        <f t="shared" si="15"/>
        <v>111</v>
      </c>
      <c r="AA31" s="1901">
        <f t="shared" si="3"/>
        <v>1</v>
      </c>
      <c r="AB31" s="1901">
        <f t="shared" si="4"/>
        <v>1</v>
      </c>
      <c r="AC31" s="1901">
        <f t="shared" si="5"/>
        <v>1</v>
      </c>
    </row>
    <row r="32" spans="1:29" ht="15">
      <c r="A32" s="419" t="s">
        <v>2363</v>
      </c>
      <c r="B32" s="28" t="s">
        <v>2364</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60" t="s">
        <v>2365</v>
      </c>
      <c r="Q32" s="1897" t="str">
        <f t="shared" si="11"/>
        <v>建筑类型</v>
      </c>
      <c r="R32" s="753" t="s">
        <v>28</v>
      </c>
      <c r="S32" s="754">
        <f t="shared" si="12"/>
        <v>100</v>
      </c>
      <c r="T32" s="753" t="s">
        <v>28</v>
      </c>
      <c r="U32" s="754">
        <f t="shared" si="13"/>
        <v>100</v>
      </c>
      <c r="V32" s="753" t="s">
        <v>28</v>
      </c>
      <c r="W32" s="754">
        <f t="shared" si="14"/>
        <v>100</v>
      </c>
      <c r="X32" s="1898"/>
      <c r="Y32" s="2990" t="s">
        <v>2365</v>
      </c>
      <c r="Z32" s="1900" t="str">
        <f t="shared" si="15"/>
        <v>建筑类型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61"/>
      <c r="Q33" s="755" t="str">
        <f t="shared" si="11"/>
        <v>项目建筑规模</v>
      </c>
      <c r="R33" s="756" t="s">
        <v>28</v>
      </c>
      <c r="S33" s="757" t="e">
        <f t="shared" si="12"/>
        <v>#N/A</v>
      </c>
      <c r="T33" s="756" t="s">
        <v>28</v>
      </c>
      <c r="U33" s="757" t="e">
        <f t="shared" si="13"/>
        <v>#N/A</v>
      </c>
      <c r="V33" s="756" t="s">
        <v>28</v>
      </c>
      <c r="W33" s="757" t="e">
        <f t="shared" si="14"/>
        <v>#N/A</v>
      </c>
      <c r="X33" s="758"/>
      <c r="Y33" s="2990"/>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61"/>
      <c r="Q34" s="1897" t="str">
        <f t="shared" si="11"/>
        <v>建筑结构</v>
      </c>
      <c r="R34" s="753" t="s">
        <v>28</v>
      </c>
      <c r="S34" s="754">
        <f t="shared" si="12"/>
        <v>100</v>
      </c>
      <c r="T34" s="753" t="s">
        <v>28</v>
      </c>
      <c r="U34" s="754">
        <f t="shared" si="13"/>
        <v>100</v>
      </c>
      <c r="V34" s="753" t="s">
        <v>28</v>
      </c>
      <c r="W34" s="754">
        <f t="shared" si="14"/>
        <v>100</v>
      </c>
      <c r="X34" s="1898"/>
      <c r="Y34" s="2990"/>
      <c r="Z34" s="1900" t="str">
        <f t="shared" si="15"/>
        <v>建筑结构</v>
      </c>
      <c r="AA34" s="1901">
        <f t="shared" si="3"/>
        <v>1</v>
      </c>
      <c r="AB34" s="1901">
        <f t="shared" si="4"/>
        <v>1</v>
      </c>
      <c r="AC34" s="1901">
        <f t="shared" si="5"/>
        <v>1</v>
      </c>
    </row>
    <row r="35" spans="1:29" ht="15">
      <c r="A35" s="453"/>
      <c r="B35" s="402" t="s">
        <v>2368</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61"/>
      <c r="Q35" s="1897" t="str">
        <f t="shared" si="11"/>
        <v>建筑品质</v>
      </c>
      <c r="R35" s="753" t="s">
        <v>28</v>
      </c>
      <c r="S35" s="754">
        <f t="shared" si="12"/>
        <v>100</v>
      </c>
      <c r="T35" s="753" t="s">
        <v>28</v>
      </c>
      <c r="U35" s="754">
        <f t="shared" si="13"/>
        <v>100</v>
      </c>
      <c r="V35" s="753" t="s">
        <v>28</v>
      </c>
      <c r="W35" s="754">
        <f t="shared" si="14"/>
        <v>100</v>
      </c>
      <c r="X35" s="1898"/>
      <c r="Y35" s="2990"/>
      <c r="Z35" s="1900" t="str">
        <f t="shared" si="15"/>
        <v>建筑品质</v>
      </c>
      <c r="AA35" s="1901">
        <f t="shared" si="3"/>
        <v>1</v>
      </c>
      <c r="AB35" s="1901">
        <f t="shared" si="4"/>
        <v>1</v>
      </c>
      <c r="AC35" s="1901">
        <f t="shared" si="5"/>
        <v>1</v>
      </c>
    </row>
    <row r="36" spans="1:29" ht="15">
      <c r="A36" s="453"/>
      <c r="B36" s="402" t="s">
        <v>2369</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61"/>
      <c r="Q36" s="1897" t="str">
        <f t="shared" si="11"/>
        <v>公共部分装修</v>
      </c>
      <c r="R36" s="753" t="s">
        <v>28</v>
      </c>
      <c r="S36" s="754">
        <f t="shared" si="12"/>
        <v>100</v>
      </c>
      <c r="T36" s="753" t="s">
        <v>28</v>
      </c>
      <c r="U36" s="754">
        <f t="shared" si="13"/>
        <v>100</v>
      </c>
      <c r="V36" s="753" t="s">
        <v>28</v>
      </c>
      <c r="W36" s="754">
        <f t="shared" si="14"/>
        <v>100</v>
      </c>
      <c r="X36" s="1898"/>
      <c r="Y36" s="2990"/>
      <c r="Z36" s="1900" t="str">
        <f t="shared" si="15"/>
        <v>公共部分装修</v>
      </c>
      <c r="AA36" s="1901">
        <f t="shared" si="3"/>
        <v>1</v>
      </c>
      <c r="AB36" s="1901">
        <f t="shared" si="4"/>
        <v>1</v>
      </c>
      <c r="AC36" s="1901">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61"/>
      <c r="Q37" s="1885" t="str">
        <f t="shared" si="11"/>
        <v>成新度</v>
      </c>
      <c r="R37" s="749" t="s">
        <v>28</v>
      </c>
      <c r="S37" s="750" t="e">
        <f t="shared" si="12"/>
        <v>#N/A</v>
      </c>
      <c r="T37" s="749" t="s">
        <v>28</v>
      </c>
      <c r="U37" s="750" t="e">
        <f t="shared" si="13"/>
        <v>#N/A</v>
      </c>
      <c r="V37" s="749" t="s">
        <v>28</v>
      </c>
      <c r="W37" s="750" t="e">
        <f t="shared" si="14"/>
        <v>#N/A</v>
      </c>
      <c r="X37" s="751"/>
      <c r="Y37" s="2990"/>
      <c r="Z37" s="23" t="str">
        <f t="shared" si="15"/>
        <v>成新度</v>
      </c>
      <c r="AA37" s="752" t="e">
        <f t="shared" si="3"/>
        <v>#N/A</v>
      </c>
      <c r="AB37" s="752" t="e">
        <f t="shared" si="4"/>
        <v>#N/A</v>
      </c>
      <c r="AC37" s="752" t="e">
        <f t="shared" si="5"/>
        <v>#N/A</v>
      </c>
    </row>
    <row r="38" spans="1:29" ht="15">
      <c r="A38" s="453"/>
      <c r="B38" s="402" t="s">
        <v>2371</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61" t="s">
        <v>2365</v>
      </c>
      <c r="Q38" s="1897" t="str">
        <f t="shared" si="11"/>
        <v>物业管理</v>
      </c>
      <c r="R38" s="753" t="s">
        <v>28</v>
      </c>
      <c r="S38" s="754">
        <f t="shared" si="12"/>
        <v>100</v>
      </c>
      <c r="T38" s="753" t="s">
        <v>28</v>
      </c>
      <c r="U38" s="754">
        <f t="shared" si="13"/>
        <v>100</v>
      </c>
      <c r="V38" s="753" t="s">
        <v>28</v>
      </c>
      <c r="W38" s="754">
        <f t="shared" si="14"/>
        <v>100</v>
      </c>
      <c r="X38" s="1898"/>
      <c r="Y38" s="2990" t="s">
        <v>2365</v>
      </c>
      <c r="Z38" s="1900" t="str">
        <f t="shared" si="15"/>
        <v>物业管理</v>
      </c>
      <c r="AA38" s="1901">
        <f t="shared" si="3"/>
        <v>1</v>
      </c>
      <c r="AB38" s="1901">
        <f t="shared" si="4"/>
        <v>1</v>
      </c>
      <c r="AC38" s="1901">
        <f t="shared" si="5"/>
        <v>1</v>
      </c>
    </row>
    <row r="39" spans="1:29" ht="15">
      <c r="A39" s="453"/>
      <c r="B39" s="402" t="s">
        <v>2372</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61"/>
      <c r="Q39" s="1897" t="str">
        <f t="shared" si="11"/>
        <v>市政基础设施</v>
      </c>
      <c r="R39" s="753" t="s">
        <v>28</v>
      </c>
      <c r="S39" s="754">
        <f t="shared" si="12"/>
        <v>100</v>
      </c>
      <c r="T39" s="753" t="s">
        <v>28</v>
      </c>
      <c r="U39" s="754">
        <f t="shared" si="13"/>
        <v>100</v>
      </c>
      <c r="V39" s="753" t="s">
        <v>28</v>
      </c>
      <c r="W39" s="754">
        <f t="shared" si="14"/>
        <v>100</v>
      </c>
      <c r="X39" s="1898"/>
      <c r="Y39" s="2990"/>
      <c r="Z39" s="1900" t="str">
        <f t="shared" si="15"/>
        <v>市政基础设施</v>
      </c>
      <c r="AA39" s="1901">
        <f t="shared" si="3"/>
        <v>1</v>
      </c>
      <c r="AB39" s="1901">
        <f t="shared" si="4"/>
        <v>1</v>
      </c>
      <c r="AC39" s="1901">
        <f t="shared" si="5"/>
        <v>1</v>
      </c>
    </row>
    <row r="40" spans="1:29" ht="15">
      <c r="A40" s="453"/>
      <c r="B40" s="402" t="s">
        <v>2373</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61"/>
      <c r="Q40" s="1897" t="str">
        <f t="shared" si="11"/>
        <v>房型</v>
      </c>
      <c r="R40" s="753" t="s">
        <v>28</v>
      </c>
      <c r="S40" s="754">
        <f t="shared" si="12"/>
        <v>100</v>
      </c>
      <c r="T40" s="753" t="s">
        <v>28</v>
      </c>
      <c r="U40" s="754">
        <f t="shared" si="13"/>
        <v>100</v>
      </c>
      <c r="V40" s="753" t="s">
        <v>28</v>
      </c>
      <c r="W40" s="754">
        <f t="shared" si="14"/>
        <v>100</v>
      </c>
      <c r="X40" s="1898"/>
      <c r="Y40" s="2990"/>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61"/>
      <c r="Q41" s="755" t="str">
        <f t="shared" si="11"/>
        <v>单套/主力户型建筑面积</v>
      </c>
      <c r="R41" s="756" t="s">
        <v>28</v>
      </c>
      <c r="S41" s="757">
        <f t="shared" si="12"/>
        <v>100</v>
      </c>
      <c r="T41" s="756" t="s">
        <v>28</v>
      </c>
      <c r="U41" s="757">
        <f t="shared" si="13"/>
        <v>100</v>
      </c>
      <c r="V41" s="756" t="s">
        <v>28</v>
      </c>
      <c r="W41" s="757">
        <f t="shared" si="14"/>
        <v>100</v>
      </c>
      <c r="X41" s="758"/>
      <c r="Y41" s="2990"/>
      <c r="Z41" s="759" t="str">
        <f t="shared" si="15"/>
        <v>单套/主力户型建筑面积</v>
      </c>
      <c r="AA41" s="1901">
        <f t="shared" si="3"/>
        <v>1</v>
      </c>
      <c r="AB41" s="1901">
        <f t="shared" si="4"/>
        <v>1</v>
      </c>
      <c r="AC41" s="1901">
        <f t="shared" si="5"/>
        <v>1</v>
      </c>
    </row>
    <row r="42" spans="1:29" ht="15">
      <c r="A42" s="453"/>
      <c r="B42" s="402" t="s">
        <v>2375</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61"/>
      <c r="Q42" s="1897" t="str">
        <f t="shared" si="11"/>
        <v>内部装修</v>
      </c>
      <c r="R42" s="753" t="s">
        <v>28</v>
      </c>
      <c r="S42" s="754">
        <f t="shared" si="12"/>
        <v>100</v>
      </c>
      <c r="T42" s="753" t="s">
        <v>28</v>
      </c>
      <c r="U42" s="754">
        <f t="shared" si="13"/>
        <v>100</v>
      </c>
      <c r="V42" s="753" t="s">
        <v>28</v>
      </c>
      <c r="W42" s="754">
        <f t="shared" si="14"/>
        <v>100</v>
      </c>
      <c r="X42" s="1898"/>
      <c r="Y42" s="2990"/>
      <c r="Z42" s="1900" t="str">
        <f t="shared" si="15"/>
        <v>内部装修</v>
      </c>
      <c r="AA42" s="1901">
        <f t="shared" si="3"/>
        <v>1</v>
      </c>
      <c r="AB42" s="1901">
        <f t="shared" si="4"/>
        <v>1</v>
      </c>
      <c r="AC42" s="1901">
        <f t="shared" si="5"/>
        <v>1</v>
      </c>
    </row>
    <row r="43" spans="1:29" ht="15">
      <c r="A43" s="453"/>
      <c r="B43" s="402" t="s">
        <v>2376</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61"/>
      <c r="Q43" s="1897" t="str">
        <f t="shared" si="11"/>
        <v>内部装修维护情况</v>
      </c>
      <c r="R43" s="753" t="s">
        <v>28</v>
      </c>
      <c r="S43" s="754">
        <f t="shared" si="12"/>
        <v>100</v>
      </c>
      <c r="T43" s="753" t="s">
        <v>28</v>
      </c>
      <c r="U43" s="754">
        <f t="shared" si="13"/>
        <v>100</v>
      </c>
      <c r="V43" s="753" t="s">
        <v>28</v>
      </c>
      <c r="W43" s="754">
        <f t="shared" si="14"/>
        <v>100</v>
      </c>
      <c r="X43" s="1898"/>
      <c r="Y43" s="299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61"/>
      <c r="Q44" s="1885">
        <f t="shared" si="11"/>
        <v>111</v>
      </c>
      <c r="R44" s="749" t="s">
        <v>28</v>
      </c>
      <c r="S44" s="750">
        <f t="shared" si="12"/>
        <v>100</v>
      </c>
      <c r="T44" s="749" t="s">
        <v>28</v>
      </c>
      <c r="U44" s="750">
        <f t="shared" si="13"/>
        <v>100</v>
      </c>
      <c r="V44" s="749" t="s">
        <v>28</v>
      </c>
      <c r="W44" s="750">
        <f t="shared" si="14"/>
        <v>100</v>
      </c>
      <c r="X44" s="751"/>
      <c r="Y44" s="299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61"/>
      <c r="Q45" s="1897">
        <f t="shared" si="11"/>
        <v>111</v>
      </c>
      <c r="R45" s="753" t="s">
        <v>28</v>
      </c>
      <c r="S45" s="754">
        <f t="shared" si="12"/>
        <v>100</v>
      </c>
      <c r="T45" s="753" t="s">
        <v>28</v>
      </c>
      <c r="U45" s="754">
        <f t="shared" si="13"/>
        <v>100</v>
      </c>
      <c r="V45" s="753" t="s">
        <v>28</v>
      </c>
      <c r="W45" s="754">
        <f t="shared" si="14"/>
        <v>100</v>
      </c>
      <c r="X45" s="1898"/>
      <c r="Y45" s="2990"/>
      <c r="Z45" s="1900">
        <f t="shared" si="15"/>
        <v>111</v>
      </c>
      <c r="AA45" s="1901">
        <f t="shared" si="3"/>
        <v>1</v>
      </c>
      <c r="AB45" s="1901">
        <f t="shared" si="4"/>
        <v>1</v>
      </c>
      <c r="AC45" s="1901">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62"/>
      <c r="Q46" s="1897">
        <f t="shared" si="11"/>
        <v>111</v>
      </c>
      <c r="R46" s="753" t="s">
        <v>27</v>
      </c>
      <c r="S46" s="754">
        <f t="shared" si="12"/>
        <v>100</v>
      </c>
      <c r="T46" s="753" t="s">
        <v>27</v>
      </c>
      <c r="U46" s="754">
        <f t="shared" si="13"/>
        <v>100</v>
      </c>
      <c r="V46" s="753" t="s">
        <v>27</v>
      </c>
      <c r="W46" s="754">
        <f t="shared" si="14"/>
        <v>100</v>
      </c>
      <c r="X46" s="1898"/>
      <c r="Y46" s="2991"/>
      <c r="Z46" s="1900">
        <f t="shared" si="15"/>
        <v>111</v>
      </c>
      <c r="AA46" s="1901">
        <f t="shared" si="3"/>
        <v>1</v>
      </c>
      <c r="AB46" s="1901">
        <f t="shared" si="4"/>
        <v>1</v>
      </c>
      <c r="AC46" s="1901">
        <f t="shared" si="5"/>
        <v>1</v>
      </c>
    </row>
    <row r="47" spans="1:29" ht="15">
      <c r="A47" s="460" t="s">
        <v>2377</v>
      </c>
      <c r="B47" s="461"/>
      <c r="C47" s="1500" t="s">
        <v>26</v>
      </c>
      <c r="D47" s="1501"/>
      <c r="E47" s="1502"/>
      <c r="F47" s="1503"/>
      <c r="G47" s="1504"/>
      <c r="H47" s="1505"/>
      <c r="I47" s="1502"/>
      <c r="J47" s="1505"/>
      <c r="K47" s="2415"/>
      <c r="L47" s="1255"/>
      <c r="M47" s="1256"/>
      <c r="N47" s="1243"/>
      <c r="O47" s="1256"/>
      <c r="P47" s="2983" t="str">
        <f>A47</f>
        <v>成交单价（元/平方米）</v>
      </c>
      <c r="Q47" s="2983"/>
      <c r="R47" s="2984">
        <f>E47</f>
        <v>0</v>
      </c>
      <c r="S47" s="2984"/>
      <c r="T47" s="2984">
        <f>G47</f>
        <v>0</v>
      </c>
      <c r="U47" s="2984"/>
      <c r="V47" s="2984">
        <f>I47</f>
        <v>0</v>
      </c>
      <c r="W47" s="2984"/>
      <c r="X47" s="738"/>
      <c r="Y47" s="760"/>
      <c r="Z47" s="738"/>
      <c r="AA47" s="738"/>
      <c r="AB47" s="738"/>
      <c r="AC47" s="738"/>
    </row>
    <row r="48" spans="1:29" ht="15.75" thickBot="1">
      <c r="A48" s="467" t="s">
        <v>2378</v>
      </c>
      <c r="B48" s="468"/>
      <c r="C48" s="1506" t="e">
        <f>R49</f>
        <v>#DIV/0!</v>
      </c>
      <c r="D48" s="1507"/>
      <c r="E48" s="1508" t="e">
        <f>R48</f>
        <v>#DIV/0!</v>
      </c>
      <c r="F48" s="1508"/>
      <c r="G48" s="1506" t="e">
        <f>T48</f>
        <v>#DIV/0!</v>
      </c>
      <c r="H48" s="1507"/>
      <c r="I48" s="1508" t="e">
        <f>V48</f>
        <v>#DIV/0!</v>
      </c>
      <c r="J48" s="1507"/>
      <c r="K48" s="2416"/>
      <c r="L48" s="1255"/>
      <c r="M48" s="1256"/>
      <c r="N48" s="1256"/>
      <c r="O48" s="1256"/>
      <c r="P48" s="2983" t="str">
        <f>A48</f>
        <v>比较价值（元/平方米）</v>
      </c>
      <c r="Q48" s="2983"/>
      <c r="R48" s="2984" t="e">
        <f>IF(E1="售价",ROUND(PRODUCT(R47,AA7:AA46),0),ROUND(PRODUCT(R47,AA7:AA46),1))</f>
        <v>#DIV/0!</v>
      </c>
      <c r="S48" s="2984"/>
      <c r="T48" s="3055" t="e">
        <f>IF(E1="售价",ROUND(PRODUCT(T47,AB7:AB46),0),ROUND(PRODUCT(T47,AB7:AB46),1))</f>
        <v>#DIV/0!</v>
      </c>
      <c r="U48" s="3056"/>
      <c r="V48" s="2984" t="e">
        <f>IF(E1="售价",ROUND(PRODUCT(V47,AC7:AC46),0),ROUND(PRODUCT(V47,AC7:AC46),1))</f>
        <v>#DIV/0!</v>
      </c>
      <c r="W48" s="2984"/>
      <c r="X48" s="738"/>
      <c r="Y48" s="738"/>
      <c r="Z48" s="738"/>
      <c r="AA48" s="738"/>
      <c r="AB48" s="738"/>
      <c r="AC48" s="738"/>
    </row>
    <row r="49" spans="1:29" ht="15.75" thickBot="1">
      <c r="A49" s="473" t="s">
        <v>2379</v>
      </c>
      <c r="B49" s="474"/>
      <c r="C49" s="1509" t="e">
        <f>R49</f>
        <v>#DIV/0!</v>
      </c>
      <c r="D49" s="1510"/>
      <c r="E49" s="1510"/>
      <c r="F49" s="1510"/>
      <c r="G49" s="1510"/>
      <c r="H49" s="1510"/>
      <c r="I49" s="1510"/>
      <c r="J49" s="1510"/>
      <c r="K49" s="2417"/>
      <c r="L49" s="1255"/>
      <c r="M49" s="1256"/>
      <c r="N49" s="1256"/>
      <c r="O49" s="1256"/>
      <c r="P49" s="3057" t="str">
        <f>A49</f>
        <v>估价对象XX用房的比较价值（楼面单价，元/平方米）</v>
      </c>
      <c r="Q49" s="2982"/>
      <c r="R49" s="2986" t="e">
        <f>IF(E1="售价",ROUND(AVERAGE(R48:V48),0),ROUND(AVERAGE(R48:V48),1))</f>
        <v>#DIV/0!</v>
      </c>
      <c r="S49" s="2986"/>
      <c r="T49" s="2986"/>
      <c r="U49" s="2986"/>
      <c r="V49" s="2986"/>
      <c r="W49" s="298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2383</v>
      </c>
      <c r="B57" s="738"/>
      <c r="C57" s="743"/>
      <c r="D57" s="743"/>
      <c r="E57" s="743"/>
      <c r="F57" s="744"/>
      <c r="G57" s="744"/>
      <c r="H57" s="743"/>
      <c r="I57" s="743"/>
      <c r="J57" s="743"/>
      <c r="K57" s="745"/>
      <c r="L57" s="746"/>
      <c r="M57" s="743"/>
      <c r="N57" s="743"/>
      <c r="O57" s="743"/>
      <c r="P57" s="2420"/>
      <c r="Q57" s="485"/>
    </row>
    <row r="58" spans="1:29" s="489" customFormat="1" ht="15">
      <c r="A58" s="486" t="s">
        <v>2384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2386</v>
      </c>
      <c r="B61" s="491"/>
      <c r="C61" s="503" t="s">
        <v>2387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1744</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2410</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2411</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2363</v>
      </c>
      <c r="B100" s="509" t="s">
        <v>2412</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2415</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2416</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2418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2419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2420</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2374</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2423</v>
      </c>
    </row>
    <row r="137" spans="1:17" ht="15">
      <c r="B137" s="2432" t="s">
        <v>2424</v>
      </c>
      <c r="C137" s="2433"/>
      <c r="D137" s="2433"/>
      <c r="E137" s="2433"/>
      <c r="F137" s="2433"/>
      <c r="G137" s="2434"/>
      <c r="H137" s="2435"/>
      <c r="I137" s="2436" t="s">
        <v>2425</v>
      </c>
      <c r="J137" s="2433"/>
      <c r="K137" s="2437"/>
    </row>
    <row r="138" spans="1:17" ht="15">
      <c r="B138" s="2438"/>
      <c r="C138" s="62" t="s">
        <v>2426</v>
      </c>
      <c r="D138" s="62" t="s">
        <v>2427</v>
      </c>
      <c r="E138" s="2439" t="s">
        <v>2428</v>
      </c>
      <c r="F138" s="2440" t="s">
        <v>2429</v>
      </c>
      <c r="G138" s="62" t="s">
        <v>2427</v>
      </c>
      <c r="H138" s="63" t="s">
        <v>2428</v>
      </c>
      <c r="I138" s="2441"/>
      <c r="J138" s="62" t="s">
        <v>2430</v>
      </c>
      <c r="K138" s="63" t="s">
        <v>2431</v>
      </c>
    </row>
    <row r="139" spans="1:17" ht="15">
      <c r="B139" s="1124">
        <v>6</v>
      </c>
      <c r="C139" s="1132">
        <v>96</v>
      </c>
      <c r="D139" s="2442" t="s">
        <v>2432</v>
      </c>
      <c r="E139" s="1133">
        <v>100</v>
      </c>
      <c r="F139" s="1134">
        <v>102.5</v>
      </c>
      <c r="G139" s="2442" t="s">
        <v>2432</v>
      </c>
      <c r="H139" s="1135">
        <v>105</v>
      </c>
      <c r="I139" s="2443" t="s">
        <v>2433</v>
      </c>
      <c r="J139" s="1132">
        <v>20</v>
      </c>
      <c r="K139" s="1126">
        <f>C145/(J139-2)</f>
        <v>4.0555555555555553E-3</v>
      </c>
    </row>
    <row r="140" spans="1:17" ht="15">
      <c r="B140" s="1125">
        <v>5</v>
      </c>
      <c r="C140" s="1136">
        <v>100</v>
      </c>
      <c r="D140" s="1136"/>
      <c r="E140" s="1137"/>
      <c r="F140" s="1138">
        <v>102</v>
      </c>
      <c r="G140" s="1136"/>
      <c r="H140" s="1139"/>
      <c r="I140" s="2444" t="s">
        <v>2434</v>
      </c>
      <c r="J140" s="217">
        <f>ROUNDUP((J139-1)/2,0)</f>
        <v>10</v>
      </c>
      <c r="K140" s="1127">
        <v>100</v>
      </c>
    </row>
    <row r="141" spans="1:17" ht="15">
      <c r="B141" s="1125">
        <v>4</v>
      </c>
      <c r="C141" s="1136">
        <v>102</v>
      </c>
      <c r="D141" s="1136"/>
      <c r="E141" s="1137"/>
      <c r="F141" s="1138">
        <v>101.5</v>
      </c>
      <c r="G141" s="1136"/>
      <c r="H141" s="1139"/>
      <c r="I141" s="2444" t="s">
        <v>2435</v>
      </c>
      <c r="J141" s="217">
        <v>1</v>
      </c>
      <c r="K141" s="1128">
        <f>ROUND(100+(J141-J140)*K139*100,1)</f>
        <v>96.4</v>
      </c>
    </row>
    <row r="142" spans="1:17" ht="15">
      <c r="B142" s="1125">
        <v>3</v>
      </c>
      <c r="C142" s="1136">
        <v>103</v>
      </c>
      <c r="D142" s="1136"/>
      <c r="E142" s="1137"/>
      <c r="F142" s="1138">
        <v>101</v>
      </c>
      <c r="G142" s="1136"/>
      <c r="H142" s="1139"/>
      <c r="I142" s="2444" t="s">
        <v>2436</v>
      </c>
      <c r="J142" s="217">
        <f>J139</f>
        <v>20</v>
      </c>
      <c r="K142" s="1141">
        <v>95</v>
      </c>
    </row>
    <row r="143" spans="1:17" ht="15">
      <c r="B143" s="1125">
        <v>2</v>
      </c>
      <c r="C143" s="1136">
        <v>100</v>
      </c>
      <c r="D143" s="1136"/>
      <c r="E143" s="1137"/>
      <c r="F143" s="1138">
        <v>100.5</v>
      </c>
      <c r="G143" s="1136"/>
      <c r="H143" s="1139"/>
      <c r="I143" s="2444" t="s">
        <v>2437</v>
      </c>
      <c r="J143" s="1136">
        <v>15</v>
      </c>
      <c r="K143" s="1128">
        <f>ROUND(100+(J143-J140)*K139*100,1)</f>
        <v>102</v>
      </c>
    </row>
    <row r="144" spans="1:17" ht="15">
      <c r="B144" s="1125">
        <v>1</v>
      </c>
      <c r="C144" s="1136">
        <v>98</v>
      </c>
      <c r="D144" s="2445" t="s">
        <v>2438</v>
      </c>
      <c r="E144" s="1137">
        <v>102</v>
      </c>
      <c r="F144" s="1140">
        <v>100</v>
      </c>
      <c r="G144" s="2445" t="s">
        <v>2438</v>
      </c>
      <c r="H144" s="1139">
        <v>105</v>
      </c>
      <c r="I144" s="2444" t="s">
        <v>2437</v>
      </c>
      <c r="J144" s="1136">
        <v>18</v>
      </c>
      <c r="K144" s="1128">
        <f>ROUND(100+(J144-J140)*K139*100,1)</f>
        <v>103.2</v>
      </c>
    </row>
    <row r="145" spans="2:11" ht="15.75" thickBot="1">
      <c r="B145" s="2446" t="s">
        <v>2439</v>
      </c>
      <c r="C145" s="1130">
        <f>ROUND(MAX(C139:C144)/MIN(C139:C144)-1,3)</f>
        <v>7.2999999999999995E-2</v>
      </c>
      <c r="D145" s="1131"/>
      <c r="E145" s="1131"/>
      <c r="F145" s="2447" t="s">
        <v>2440</v>
      </c>
      <c r="G145" s="2448"/>
      <c r="H145" s="2449"/>
      <c r="I145" s="2450" t="s">
        <v>2437</v>
      </c>
      <c r="J145" s="1142">
        <v>8</v>
      </c>
      <c r="K145" s="1129">
        <f>ROUND(100+(J145-J140)*K139*100,1)</f>
        <v>99.2</v>
      </c>
    </row>
    <row r="147" spans="2:11">
      <c r="B147" s="2431" t="s">
        <v>2441</v>
      </c>
    </row>
    <row r="148" spans="2:11">
      <c r="B148" s="2431"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2443</v>
      </c>
      <c r="C1" s="1724"/>
      <c r="D1" s="2451"/>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2333</v>
      </c>
      <c r="D3" s="378">
        <f>IF(C1="仅计算典型户型",'数据-取费表'!E5,'数据-取费表'!B5)</f>
        <v>218.48</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1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1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16"/>
      <c r="AC6" s="3007"/>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3"/>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2358</v>
      </c>
      <c r="B15" s="26" t="s">
        <v>2444</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8" t="s">
        <v>2359</v>
      </c>
      <c r="Q15" s="1897" t="str">
        <f t="shared" si="6"/>
        <v>商业繁华度</v>
      </c>
      <c r="R15" s="753" t="s">
        <v>25</v>
      </c>
      <c r="S15" s="754">
        <f t="shared" si="0"/>
        <v>100</v>
      </c>
      <c r="T15" s="753" t="s">
        <v>25</v>
      </c>
      <c r="U15" s="754">
        <f t="shared" si="1"/>
        <v>100</v>
      </c>
      <c r="V15" s="753" t="s">
        <v>25</v>
      </c>
      <c r="W15" s="754">
        <f t="shared" si="2"/>
        <v>100</v>
      </c>
      <c r="X15" s="1898"/>
      <c r="Y15" s="3003" t="s">
        <v>2359</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9"/>
      <c r="Q16" s="1897"/>
      <c r="R16" s="753"/>
      <c r="S16" s="754"/>
      <c r="T16" s="753"/>
      <c r="U16" s="754"/>
      <c r="V16" s="753"/>
      <c r="W16" s="754"/>
      <c r="X16" s="1898"/>
      <c r="Y16" s="3004"/>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9"/>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43"/>
      <c r="P18" s="3059"/>
      <c r="Q18" s="1897"/>
      <c r="R18" s="753"/>
      <c r="S18" s="754"/>
      <c r="T18" s="753"/>
      <c r="U18" s="754"/>
      <c r="V18" s="753"/>
      <c r="W18" s="754"/>
      <c r="X18" s="1898"/>
      <c r="Y18" s="3004"/>
      <c r="Z18" s="1900"/>
      <c r="AA18" s="1901">
        <v>1</v>
      </c>
      <c r="AB18" s="1901">
        <v>1</v>
      </c>
      <c r="AC18" s="1901">
        <v>1</v>
      </c>
    </row>
    <row r="19" spans="1:29" ht="15">
      <c r="A19" s="408"/>
      <c r="B19" s="431" t="s">
        <v>2445</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9"/>
      <c r="Q19" s="1897" t="str">
        <f>B19</f>
        <v>公共配套设施</v>
      </c>
      <c r="R19" s="753" t="s">
        <v>25</v>
      </c>
      <c r="S19" s="754">
        <f>F19</f>
        <v>100</v>
      </c>
      <c r="T19" s="753" t="s">
        <v>25</v>
      </c>
      <c r="U19" s="754">
        <f>H19</f>
        <v>100</v>
      </c>
      <c r="V19" s="753" t="s">
        <v>25</v>
      </c>
      <c r="W19" s="754">
        <f>J19</f>
        <v>100</v>
      </c>
      <c r="X19" s="1898"/>
      <c r="Y19" s="300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599"/>
      <c r="L20" s="1252"/>
      <c r="M20" s="1243"/>
      <c r="N20" s="1243"/>
      <c r="O20" s="1243"/>
      <c r="P20" s="3059"/>
      <c r="Q20" s="1897"/>
      <c r="R20" s="753"/>
      <c r="S20" s="754"/>
      <c r="T20" s="753"/>
      <c r="U20" s="754"/>
      <c r="V20" s="753"/>
      <c r="W20" s="754"/>
      <c r="X20" s="1898"/>
      <c r="Y20" s="3004"/>
      <c r="Z20" s="1900"/>
      <c r="AA20" s="1901">
        <v>1</v>
      </c>
      <c r="AB20" s="1901">
        <v>1</v>
      </c>
      <c r="AC20" s="1901">
        <v>1</v>
      </c>
    </row>
    <row r="21" spans="1:29" ht="15">
      <c r="A21" s="408"/>
      <c r="B21" s="2406" t="s">
        <v>2446</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9"/>
      <c r="Q21" s="1897" t="str">
        <f>B21</f>
        <v>基础设施水平</v>
      </c>
      <c r="R21" s="753" t="s">
        <v>25</v>
      </c>
      <c r="S21" s="754">
        <f>F21</f>
        <v>100</v>
      </c>
      <c r="T21" s="753" t="s">
        <v>25</v>
      </c>
      <c r="U21" s="754">
        <f>H21</f>
        <v>100</v>
      </c>
      <c r="V21" s="753" t="s">
        <v>25</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43"/>
      <c r="P22" s="3059"/>
      <c r="Q22" s="1897"/>
      <c r="R22" s="753"/>
      <c r="S22" s="754"/>
      <c r="T22" s="753"/>
      <c r="U22" s="754"/>
      <c r="V22" s="753"/>
      <c r="W22" s="754"/>
      <c r="X22" s="1898"/>
      <c r="Y22" s="3004"/>
      <c r="Z22" s="1900"/>
      <c r="AA22" s="1901">
        <v>1</v>
      </c>
      <c r="AB22" s="1901">
        <v>1</v>
      </c>
      <c r="AC22" s="1901">
        <v>1</v>
      </c>
    </row>
    <row r="23" spans="1:29" ht="15">
      <c r="A23" s="408"/>
      <c r="B23" s="431" t="s">
        <v>1748</v>
      </c>
      <c r="C23" s="2455"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9"/>
      <c r="Q23" s="1897" t="str">
        <f>B23</f>
        <v>自然及人文环境</v>
      </c>
      <c r="R23" s="753" t="s">
        <v>25</v>
      </c>
      <c r="S23" s="754">
        <f>F23</f>
        <v>100</v>
      </c>
      <c r="T23" s="753" t="s">
        <v>25</v>
      </c>
      <c r="U23" s="754">
        <f>H23</f>
        <v>100</v>
      </c>
      <c r="V23" s="753" t="s">
        <v>25</v>
      </c>
      <c r="W23" s="754">
        <f>J23</f>
        <v>100</v>
      </c>
      <c r="X23" s="1898"/>
      <c r="Y23" s="300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599"/>
      <c r="L24" s="1252"/>
      <c r="M24" s="1243"/>
      <c r="N24" s="1243"/>
      <c r="O24" s="1243"/>
      <c r="P24" s="3059"/>
      <c r="Q24" s="1897"/>
      <c r="R24" s="753"/>
      <c r="S24" s="754"/>
      <c r="T24" s="753"/>
      <c r="U24" s="754"/>
      <c r="V24" s="753"/>
      <c r="W24" s="754"/>
      <c r="X24" s="1898"/>
      <c r="Y24" s="3004"/>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9"/>
      <c r="Q25" s="1897" t="str">
        <f t="shared" ref="Q25:Q46" si="11">B25</f>
        <v>临街状况</v>
      </c>
      <c r="R25" s="753" t="s">
        <v>25</v>
      </c>
      <c r="S25" s="754">
        <f>F25</f>
        <v>100</v>
      </c>
      <c r="T25" s="753" t="s">
        <v>25</v>
      </c>
      <c r="U25" s="754">
        <f>H25</f>
        <v>100</v>
      </c>
      <c r="V25" s="753" t="s">
        <v>25</v>
      </c>
      <c r="W25" s="754">
        <f>J25</f>
        <v>100</v>
      </c>
      <c r="X25" s="1898"/>
      <c r="Y25" s="3004"/>
      <c r="Z25" s="1900" t="str">
        <f>Q25</f>
        <v>临街状况</v>
      </c>
      <c r="AA25" s="1901">
        <f t="shared" si="3"/>
        <v>1</v>
      </c>
      <c r="AB25" s="1901">
        <f t="shared" si="4"/>
        <v>1</v>
      </c>
      <c r="AC25" s="1901">
        <f t="shared" si="5"/>
        <v>1</v>
      </c>
    </row>
    <row r="26" spans="1:29" ht="15">
      <c r="A26" s="408"/>
      <c r="B26" s="2410" t="s">
        <v>2448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9"/>
      <c r="Q26" s="1897" t="str">
        <f t="shared" si="11"/>
        <v>平面位置/可视性</v>
      </c>
      <c r="R26" s="753" t="s">
        <v>25</v>
      </c>
      <c r="S26" s="754">
        <f>F26</f>
        <v>100</v>
      </c>
      <c r="T26" s="753" t="s">
        <v>25</v>
      </c>
      <c r="U26" s="754">
        <f>H26</f>
        <v>100</v>
      </c>
      <c r="V26" s="753" t="s">
        <v>25</v>
      </c>
      <c r="W26" s="754">
        <f>J26</f>
        <v>100</v>
      </c>
      <c r="X26" s="1898"/>
      <c r="Y26" s="3004"/>
      <c r="Z26" s="1900" t="str">
        <f>Q26</f>
        <v>平面位置/可视性</v>
      </c>
      <c r="AA26" s="1901">
        <f t="shared" si="3"/>
        <v>1</v>
      </c>
      <c r="AB26" s="1901">
        <f t="shared" si="4"/>
        <v>1</v>
      </c>
      <c r="AC26" s="1901">
        <f t="shared" si="5"/>
        <v>1</v>
      </c>
    </row>
    <row r="27" spans="1:29" s="35" customFormat="1" ht="15">
      <c r="A27" s="411"/>
      <c r="B27" s="431" t="s">
        <v>2449</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59"/>
      <c r="Q27" s="1885" t="str">
        <f t="shared" si="11"/>
        <v>人流量</v>
      </c>
      <c r="R27" s="749" t="s">
        <v>25</v>
      </c>
      <c r="S27" s="750">
        <f>F27</f>
        <v>100</v>
      </c>
      <c r="T27" s="749" t="s">
        <v>25</v>
      </c>
      <c r="U27" s="750">
        <f>H27</f>
        <v>100</v>
      </c>
      <c r="V27" s="749" t="s">
        <v>25</v>
      </c>
      <c r="W27" s="750">
        <f>J27</f>
        <v>100</v>
      </c>
      <c r="X27" s="751"/>
      <c r="Y27" s="3004"/>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9"/>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04"/>
      <c r="Z28" s="1900" t="str">
        <f t="shared" ref="Z28:Z46" si="15">Q28</f>
        <v>楼层</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9"/>
      <c r="Q29" s="1897">
        <f t="shared" si="11"/>
        <v>111</v>
      </c>
      <c r="R29" s="753" t="s">
        <v>25</v>
      </c>
      <c r="S29" s="754">
        <f t="shared" si="12"/>
        <v>100</v>
      </c>
      <c r="T29" s="753" t="s">
        <v>25</v>
      </c>
      <c r="U29" s="754">
        <f t="shared" si="13"/>
        <v>100</v>
      </c>
      <c r="V29" s="753" t="s">
        <v>25</v>
      </c>
      <c r="W29" s="754">
        <f t="shared" si="14"/>
        <v>100</v>
      </c>
      <c r="X29" s="1898"/>
      <c r="Y29" s="300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9"/>
      <c r="Q30" s="1897">
        <f t="shared" si="11"/>
        <v>111</v>
      </c>
      <c r="R30" s="753" t="s">
        <v>25</v>
      </c>
      <c r="S30" s="754">
        <f t="shared" si="12"/>
        <v>100</v>
      </c>
      <c r="T30" s="753" t="s">
        <v>25</v>
      </c>
      <c r="U30" s="754">
        <f t="shared" si="13"/>
        <v>100</v>
      </c>
      <c r="V30" s="753" t="s">
        <v>25</v>
      </c>
      <c r="W30" s="754">
        <f t="shared" si="14"/>
        <v>100</v>
      </c>
      <c r="X30" s="1898"/>
      <c r="Y30" s="3004"/>
      <c r="Z30" s="1900">
        <f t="shared" si="15"/>
        <v>111</v>
      </c>
      <c r="AA30" s="1901">
        <f t="shared" si="3"/>
        <v>1</v>
      </c>
      <c r="AB30" s="1901">
        <f t="shared" si="4"/>
        <v>1</v>
      </c>
      <c r="AC30" s="1901">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9"/>
      <c r="Q31" s="1897">
        <f t="shared" si="11"/>
        <v>111</v>
      </c>
      <c r="R31" s="753" t="s">
        <v>25</v>
      </c>
      <c r="S31" s="754">
        <f t="shared" si="12"/>
        <v>100</v>
      </c>
      <c r="T31" s="753" t="s">
        <v>25</v>
      </c>
      <c r="U31" s="754">
        <f t="shared" si="13"/>
        <v>100</v>
      </c>
      <c r="V31" s="753" t="s">
        <v>25</v>
      </c>
      <c r="W31" s="754">
        <f t="shared" si="14"/>
        <v>100</v>
      </c>
      <c r="X31" s="1898"/>
      <c r="Y31" s="3004"/>
      <c r="Z31" s="1900">
        <f t="shared" si="15"/>
        <v>111</v>
      </c>
      <c r="AA31" s="1901">
        <f t="shared" si="3"/>
        <v>1</v>
      </c>
      <c r="AB31" s="1901">
        <f t="shared" si="4"/>
        <v>1</v>
      </c>
      <c r="AC31" s="1901">
        <f t="shared" si="5"/>
        <v>1</v>
      </c>
    </row>
    <row r="32" spans="1:29" ht="15">
      <c r="A32" s="419" t="s">
        <v>2363</v>
      </c>
      <c r="B32" s="28" t="s">
        <v>2451</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60" t="s">
        <v>2365</v>
      </c>
      <c r="Q32" s="1897" t="str">
        <f t="shared" si="11"/>
        <v>商业类型</v>
      </c>
      <c r="R32" s="753" t="s">
        <v>25</v>
      </c>
      <c r="S32" s="754">
        <f t="shared" si="12"/>
        <v>100</v>
      </c>
      <c r="T32" s="753" t="s">
        <v>25</v>
      </c>
      <c r="U32" s="754">
        <f t="shared" si="13"/>
        <v>100</v>
      </c>
      <c r="V32" s="753" t="s">
        <v>25</v>
      </c>
      <c r="W32" s="754">
        <f t="shared" si="14"/>
        <v>100</v>
      </c>
      <c r="X32" s="1898"/>
      <c r="Y32" s="2990"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61"/>
      <c r="Q33" s="755" t="str">
        <f t="shared" si="11"/>
        <v>项目建筑规模</v>
      </c>
      <c r="R33" s="756" t="s">
        <v>25</v>
      </c>
      <c r="S33" s="757" t="e">
        <f t="shared" si="12"/>
        <v>#N/A</v>
      </c>
      <c r="T33" s="756" t="s">
        <v>25</v>
      </c>
      <c r="U33" s="757" t="e">
        <f t="shared" si="13"/>
        <v>#N/A</v>
      </c>
      <c r="V33" s="756" t="s">
        <v>25</v>
      </c>
      <c r="W33" s="757" t="e">
        <f t="shared" si="14"/>
        <v>#N/A</v>
      </c>
      <c r="X33" s="758"/>
      <c r="Y33" s="2990"/>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61"/>
      <c r="Q34" s="1897" t="str">
        <f t="shared" si="11"/>
        <v>建筑结构</v>
      </c>
      <c r="R34" s="753" t="s">
        <v>25</v>
      </c>
      <c r="S34" s="754">
        <f t="shared" si="12"/>
        <v>100</v>
      </c>
      <c r="T34" s="753" t="s">
        <v>25</v>
      </c>
      <c r="U34" s="754">
        <f t="shared" si="13"/>
        <v>100</v>
      </c>
      <c r="V34" s="753" t="s">
        <v>25</v>
      </c>
      <c r="W34" s="754">
        <f t="shared" si="14"/>
        <v>100</v>
      </c>
      <c r="X34" s="1898"/>
      <c r="Y34" s="2990"/>
      <c r="Z34" s="1900" t="str">
        <f t="shared" si="15"/>
        <v>建筑结构</v>
      </c>
      <c r="AA34" s="1901">
        <f t="shared" si="3"/>
        <v>1</v>
      </c>
      <c r="AB34" s="1901">
        <f t="shared" si="4"/>
        <v>1</v>
      </c>
      <c r="AC34" s="1901">
        <f t="shared" si="5"/>
        <v>1</v>
      </c>
    </row>
    <row r="35" spans="1:29" ht="15">
      <c r="A35" s="453"/>
      <c r="B35" s="402" t="s">
        <v>2452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61"/>
      <c r="Q35" s="1897" t="str">
        <f t="shared" si="11"/>
        <v>公共部分装修</v>
      </c>
      <c r="R35" s="753" t="s">
        <v>25</v>
      </c>
      <c r="S35" s="754">
        <f t="shared" si="12"/>
        <v>100</v>
      </c>
      <c r="T35" s="753" t="s">
        <v>25</v>
      </c>
      <c r="U35" s="754">
        <f t="shared" si="13"/>
        <v>100</v>
      </c>
      <c r="V35" s="753" t="s">
        <v>25</v>
      </c>
      <c r="W35" s="754">
        <f t="shared" si="14"/>
        <v>100</v>
      </c>
      <c r="X35" s="1898"/>
      <c r="Y35" s="2990"/>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61"/>
      <c r="Q36" s="1897" t="str">
        <f t="shared" si="11"/>
        <v>成新度</v>
      </c>
      <c r="R36" s="753" t="s">
        <v>25</v>
      </c>
      <c r="S36" s="754" t="e">
        <f t="shared" si="12"/>
        <v>#N/A</v>
      </c>
      <c r="T36" s="753" t="s">
        <v>25</v>
      </c>
      <c r="U36" s="754" t="e">
        <f t="shared" si="13"/>
        <v>#N/A</v>
      </c>
      <c r="V36" s="753" t="s">
        <v>25</v>
      </c>
      <c r="W36" s="754" t="e">
        <f t="shared" si="14"/>
        <v>#N/A</v>
      </c>
      <c r="X36" s="1898"/>
      <c r="Y36" s="2990"/>
      <c r="Z36" s="1900" t="str">
        <f t="shared" si="15"/>
        <v>成新度</v>
      </c>
      <c r="AA36" s="1901" t="e">
        <f t="shared" si="3"/>
        <v>#N/A</v>
      </c>
      <c r="AB36" s="1901" t="e">
        <f t="shared" si="4"/>
        <v>#N/A</v>
      </c>
      <c r="AC36" s="1901" t="e">
        <f t="shared" si="5"/>
        <v>#N/A</v>
      </c>
    </row>
    <row r="37" spans="1:29" s="35" customFormat="1" ht="15">
      <c r="A37" s="454"/>
      <c r="B37" s="402" t="s">
        <v>2454</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61"/>
      <c r="Q37" s="1885" t="str">
        <f t="shared" si="11"/>
        <v>市政基础设施</v>
      </c>
      <c r="R37" s="749" t="s">
        <v>25</v>
      </c>
      <c r="S37" s="750">
        <f t="shared" si="12"/>
        <v>100</v>
      </c>
      <c r="T37" s="749" t="s">
        <v>25</v>
      </c>
      <c r="U37" s="750">
        <f t="shared" si="13"/>
        <v>100</v>
      </c>
      <c r="V37" s="749" t="s">
        <v>25</v>
      </c>
      <c r="W37" s="750">
        <f t="shared" si="14"/>
        <v>100</v>
      </c>
      <c r="X37" s="751"/>
      <c r="Y37" s="2990"/>
      <c r="Z37" s="23" t="str">
        <f t="shared" si="15"/>
        <v>市政基础设施</v>
      </c>
      <c r="AA37" s="752">
        <f t="shared" si="3"/>
        <v>1</v>
      </c>
      <c r="AB37" s="752">
        <f t="shared" si="4"/>
        <v>1</v>
      </c>
      <c r="AC37" s="752">
        <f t="shared" si="5"/>
        <v>1</v>
      </c>
    </row>
    <row r="38" spans="1:29" ht="15">
      <c r="A38" s="453"/>
      <c r="B38" s="402" t="s">
        <v>2455</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61" t="s">
        <v>2365</v>
      </c>
      <c r="Q38" s="1897" t="str">
        <f t="shared" si="11"/>
        <v>业态</v>
      </c>
      <c r="R38" s="753" t="s">
        <v>25</v>
      </c>
      <c r="S38" s="754">
        <f t="shared" si="12"/>
        <v>100</v>
      </c>
      <c r="T38" s="753" t="s">
        <v>25</v>
      </c>
      <c r="U38" s="754">
        <f t="shared" si="13"/>
        <v>100</v>
      </c>
      <c r="V38" s="753" t="s">
        <v>25</v>
      </c>
      <c r="W38" s="754">
        <f t="shared" si="14"/>
        <v>100</v>
      </c>
      <c r="X38" s="1898"/>
      <c r="Y38" s="2990" t="s">
        <v>2365</v>
      </c>
      <c r="Z38" s="1900" t="str">
        <f t="shared" si="15"/>
        <v>业态</v>
      </c>
      <c r="AA38" s="1901">
        <f t="shared" si="3"/>
        <v>1</v>
      </c>
      <c r="AB38" s="1901">
        <f t="shared" si="4"/>
        <v>1</v>
      </c>
      <c r="AC38" s="1901">
        <f t="shared" si="5"/>
        <v>1</v>
      </c>
    </row>
    <row r="39" spans="1:29" ht="15">
      <c r="A39" s="453"/>
      <c r="B39" s="402" t="s">
        <v>2456</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61"/>
      <c r="Q39" s="1897" t="str">
        <f t="shared" si="11"/>
        <v>层高</v>
      </c>
      <c r="R39" s="753" t="s">
        <v>25</v>
      </c>
      <c r="S39" s="754">
        <f t="shared" si="12"/>
        <v>100</v>
      </c>
      <c r="T39" s="753" t="s">
        <v>25</v>
      </c>
      <c r="U39" s="754">
        <f t="shared" si="13"/>
        <v>100</v>
      </c>
      <c r="V39" s="753" t="s">
        <v>25</v>
      </c>
      <c r="W39" s="754">
        <f t="shared" si="14"/>
        <v>100</v>
      </c>
      <c r="X39" s="1898"/>
      <c r="Y39" s="2990"/>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61"/>
      <c r="Q40" s="1897" t="str">
        <f t="shared" si="11"/>
        <v>单套建筑面积</v>
      </c>
      <c r="R40" s="753" t="s">
        <v>25</v>
      </c>
      <c r="S40" s="754">
        <f t="shared" si="12"/>
        <v>100</v>
      </c>
      <c r="T40" s="753" t="s">
        <v>25</v>
      </c>
      <c r="U40" s="754">
        <f t="shared" si="13"/>
        <v>100</v>
      </c>
      <c r="V40" s="753" t="s">
        <v>25</v>
      </c>
      <c r="W40" s="754">
        <f t="shared" si="14"/>
        <v>100</v>
      </c>
      <c r="X40" s="1898"/>
      <c r="Y40" s="2990"/>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61"/>
      <c r="Q41" s="755" t="str">
        <f t="shared" si="11"/>
        <v>进深比</v>
      </c>
      <c r="R41" s="756" t="s">
        <v>25</v>
      </c>
      <c r="S41" s="757">
        <f t="shared" si="12"/>
        <v>100</v>
      </c>
      <c r="T41" s="756" t="s">
        <v>25</v>
      </c>
      <c r="U41" s="757">
        <f t="shared" si="13"/>
        <v>100</v>
      </c>
      <c r="V41" s="756" t="s">
        <v>25</v>
      </c>
      <c r="W41" s="757">
        <f t="shared" si="14"/>
        <v>100</v>
      </c>
      <c r="X41" s="758"/>
      <c r="Y41" s="2990"/>
      <c r="Z41" s="759" t="str">
        <f t="shared" si="15"/>
        <v>进深比</v>
      </c>
      <c r="AA41" s="1901">
        <f t="shared" si="3"/>
        <v>1</v>
      </c>
      <c r="AB41" s="1901">
        <f t="shared" si="4"/>
        <v>1</v>
      </c>
      <c r="AC41" s="1901">
        <f t="shared" si="5"/>
        <v>1</v>
      </c>
    </row>
    <row r="42" spans="1:29" ht="15">
      <c r="A42" s="453"/>
      <c r="B42" s="402" t="s">
        <v>2459</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61"/>
      <c r="Q42" s="1897" t="str">
        <f t="shared" si="11"/>
        <v>内部装修</v>
      </c>
      <c r="R42" s="753" t="s">
        <v>25</v>
      </c>
      <c r="S42" s="754">
        <f t="shared" si="12"/>
        <v>100</v>
      </c>
      <c r="T42" s="753" t="s">
        <v>25</v>
      </c>
      <c r="U42" s="754">
        <f t="shared" si="13"/>
        <v>100</v>
      </c>
      <c r="V42" s="753" t="s">
        <v>25</v>
      </c>
      <c r="W42" s="754">
        <f t="shared" si="14"/>
        <v>100</v>
      </c>
      <c r="X42" s="1898"/>
      <c r="Y42" s="2990"/>
      <c r="Z42" s="1900" t="str">
        <f t="shared" si="15"/>
        <v>内部装修</v>
      </c>
      <c r="AA42" s="1901">
        <f t="shared" si="3"/>
        <v>1</v>
      </c>
      <c r="AB42" s="1901">
        <f t="shared" si="4"/>
        <v>1</v>
      </c>
      <c r="AC42" s="1901">
        <f t="shared" si="5"/>
        <v>1</v>
      </c>
    </row>
    <row r="43" spans="1:29" ht="15">
      <c r="A43" s="453"/>
      <c r="B43" s="402" t="s">
        <v>2376</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61"/>
      <c r="Q43" s="1897" t="str">
        <f t="shared" si="11"/>
        <v>内部装修维护情况</v>
      </c>
      <c r="R43" s="753" t="s">
        <v>25</v>
      </c>
      <c r="S43" s="754">
        <f t="shared" si="12"/>
        <v>100</v>
      </c>
      <c r="T43" s="753" t="s">
        <v>25</v>
      </c>
      <c r="U43" s="754">
        <f t="shared" si="13"/>
        <v>100</v>
      </c>
      <c r="V43" s="753" t="s">
        <v>25</v>
      </c>
      <c r="W43" s="754">
        <f t="shared" si="14"/>
        <v>100</v>
      </c>
      <c r="X43" s="1898"/>
      <c r="Y43" s="299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61"/>
      <c r="Q44" s="1885">
        <f t="shared" si="11"/>
        <v>111</v>
      </c>
      <c r="R44" s="749" t="s">
        <v>25</v>
      </c>
      <c r="S44" s="750">
        <f t="shared" si="12"/>
        <v>100</v>
      </c>
      <c r="T44" s="749" t="s">
        <v>25</v>
      </c>
      <c r="U44" s="750">
        <f t="shared" si="13"/>
        <v>100</v>
      </c>
      <c r="V44" s="749" t="s">
        <v>25</v>
      </c>
      <c r="W44" s="750">
        <f t="shared" si="14"/>
        <v>100</v>
      </c>
      <c r="X44" s="751"/>
      <c r="Y44" s="299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61"/>
      <c r="Q45" s="1897">
        <f t="shared" si="11"/>
        <v>111</v>
      </c>
      <c r="R45" s="753" t="s">
        <v>25</v>
      </c>
      <c r="S45" s="754">
        <f t="shared" si="12"/>
        <v>100</v>
      </c>
      <c r="T45" s="753" t="s">
        <v>25</v>
      </c>
      <c r="U45" s="754">
        <f t="shared" si="13"/>
        <v>100</v>
      </c>
      <c r="V45" s="753" t="s">
        <v>25</v>
      </c>
      <c r="W45" s="754">
        <f t="shared" si="14"/>
        <v>100</v>
      </c>
      <c r="X45" s="1898"/>
      <c r="Y45" s="2990"/>
      <c r="Z45" s="1900">
        <f t="shared" si="15"/>
        <v>111</v>
      </c>
      <c r="AA45" s="1901">
        <f t="shared" si="3"/>
        <v>1</v>
      </c>
      <c r="AB45" s="1901">
        <f t="shared" si="4"/>
        <v>1</v>
      </c>
      <c r="AC45" s="1901">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2"/>
      <c r="Q46" s="1897">
        <f t="shared" si="11"/>
        <v>111</v>
      </c>
      <c r="R46" s="753" t="s">
        <v>25</v>
      </c>
      <c r="S46" s="754">
        <f t="shared" si="12"/>
        <v>100</v>
      </c>
      <c r="T46" s="753" t="s">
        <v>25</v>
      </c>
      <c r="U46" s="754">
        <f t="shared" si="13"/>
        <v>100</v>
      </c>
      <c r="V46" s="753" t="s">
        <v>25</v>
      </c>
      <c r="W46" s="754">
        <f t="shared" si="14"/>
        <v>100</v>
      </c>
      <c r="X46" s="1898"/>
      <c r="Y46" s="2991"/>
      <c r="Z46" s="1900">
        <f t="shared" si="15"/>
        <v>111</v>
      </c>
      <c r="AA46" s="1901">
        <f t="shared" si="3"/>
        <v>1</v>
      </c>
      <c r="AB46" s="1901">
        <f t="shared" si="4"/>
        <v>1</v>
      </c>
      <c r="AC46" s="1901">
        <f t="shared" si="5"/>
        <v>1</v>
      </c>
    </row>
    <row r="47" spans="1:29" ht="15">
      <c r="A47" s="460" t="s">
        <v>2377</v>
      </c>
      <c r="B47" s="461"/>
      <c r="C47" s="1500" t="s">
        <v>1</v>
      </c>
      <c r="D47" s="1501"/>
      <c r="E47" s="1502"/>
      <c r="F47" s="1503"/>
      <c r="G47" s="1504"/>
      <c r="H47" s="1505"/>
      <c r="I47" s="1502"/>
      <c r="J47" s="1505"/>
      <c r="K47" s="762"/>
      <c r="L47" s="1255"/>
      <c r="M47" s="1256"/>
      <c r="N47" s="1243"/>
      <c r="O47" s="1256"/>
      <c r="P47" s="2983" t="str">
        <f>A47</f>
        <v>成交单价（元/平方米）</v>
      </c>
      <c r="Q47" s="2983"/>
      <c r="R47" s="2984">
        <f>E47</f>
        <v>0</v>
      </c>
      <c r="S47" s="2984"/>
      <c r="T47" s="2984">
        <f>G47</f>
        <v>0</v>
      </c>
      <c r="U47" s="2984"/>
      <c r="V47" s="2984">
        <f>I47</f>
        <v>0</v>
      </c>
      <c r="W47" s="2984"/>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5"/>
      <c r="M48" s="1256"/>
      <c r="N48" s="1243"/>
      <c r="O48" s="1256"/>
      <c r="P48" s="2983" t="str">
        <f>A48</f>
        <v>比较价值（元/平方米）</v>
      </c>
      <c r="Q48" s="2983"/>
      <c r="R48" s="2984" t="e">
        <f>IF(E1="售价",ROUND(PRODUCT(R47,AA7:AA46),0),ROUND(PRODUCT(R47,AA7:AA46),1))</f>
        <v>#DIV/0!</v>
      </c>
      <c r="S48" s="2984"/>
      <c r="T48" s="2984" t="e">
        <f>IF(E1="售价",ROUND(PRODUCT(T47,AB7:AB46),0),ROUND(PRODUCT(T47,AB7:AB46),1))</f>
        <v>#DIV/0!</v>
      </c>
      <c r="U48" s="2984"/>
      <c r="V48" s="2984" t="e">
        <f>IF(E1="售价",ROUND(PRODUCT(V47,AC7:AC46),0),ROUND(PRODUCT(V47,AC7:AC46),1))</f>
        <v>#DIV/0!</v>
      </c>
      <c r="W48" s="2984"/>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5"/>
      <c r="M49" s="1256"/>
      <c r="N49" s="1243"/>
      <c r="O49" s="1256"/>
      <c r="P49" s="3057" t="str">
        <f>A49</f>
        <v>估价对象XX用房的比较价值（楼面单价，元/平方米）</v>
      </c>
      <c r="Q49" s="2982"/>
      <c r="R49" s="2986" t="e">
        <f>IF(E1="售价",ROUND(AVERAGE(R48:V48),0),ROUND(AVERAGE(R48:V48),1))</f>
        <v>#DIV/0!</v>
      </c>
      <c r="S49" s="2986"/>
      <c r="T49" s="2986"/>
      <c r="U49" s="2986"/>
      <c r="V49" s="2986"/>
      <c r="W49" s="298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2465</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2347</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2349</v>
      </c>
      <c r="B61" s="491"/>
      <c r="C61" s="503" t="s">
        <v>2350</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2466</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2363</v>
      </c>
      <c r="B100" s="509" t="s">
        <v>2467</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2416</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2419</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2468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2469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2470</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2471</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2489</v>
      </c>
      <c r="C1" s="1724"/>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2" t="s">
        <v>2351</v>
      </c>
      <c r="Q8" s="2993"/>
      <c r="R8" s="749" t="s">
        <v>25</v>
      </c>
      <c r="S8" s="750">
        <f t="shared" si="0"/>
        <v>100</v>
      </c>
      <c r="T8" s="749" t="s">
        <v>25</v>
      </c>
      <c r="U8" s="750">
        <f t="shared" si="1"/>
        <v>100</v>
      </c>
      <c r="V8" s="749" t="s">
        <v>25</v>
      </c>
      <c r="W8" s="750">
        <f t="shared" si="2"/>
        <v>100</v>
      </c>
      <c r="X8" s="751"/>
      <c r="Y8" s="2992" t="s">
        <v>2351</v>
      </c>
      <c r="Z8" s="2993"/>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8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8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2983"/>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2358</v>
      </c>
      <c r="B15" s="26" t="s">
        <v>2490</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3" t="s">
        <v>2359</v>
      </c>
      <c r="Q15" s="1897" t="str">
        <f t="shared" si="6"/>
        <v>产业集聚程度</v>
      </c>
      <c r="R15" s="753" t="s">
        <v>25</v>
      </c>
      <c r="S15" s="754">
        <f t="shared" si="0"/>
        <v>100</v>
      </c>
      <c r="T15" s="753" t="s">
        <v>25</v>
      </c>
      <c r="U15" s="754">
        <f t="shared" si="1"/>
        <v>100</v>
      </c>
      <c r="V15" s="753" t="s">
        <v>25</v>
      </c>
      <c r="W15" s="754">
        <f t="shared" si="2"/>
        <v>100</v>
      </c>
      <c r="X15" s="1898"/>
      <c r="Y15" s="3003" t="s">
        <v>2359</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04"/>
      <c r="Q16" s="1897"/>
      <c r="R16" s="753"/>
      <c r="S16" s="754"/>
      <c r="T16" s="753"/>
      <c r="U16" s="754"/>
      <c r="V16" s="753"/>
      <c r="W16" s="754"/>
      <c r="X16" s="1898"/>
      <c r="Y16" s="3004"/>
      <c r="Z16" s="1900"/>
      <c r="AA16" s="1901">
        <v>1</v>
      </c>
      <c r="AB16" s="1901">
        <v>1</v>
      </c>
      <c r="AC16" s="1901">
        <v>1</v>
      </c>
    </row>
    <row r="17" spans="1:29" ht="85.5">
      <c r="A17" s="408"/>
      <c r="B17" s="431" t="s">
        <v>1743</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4"/>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51"/>
      <c r="P18" s="3004"/>
      <c r="Q18" s="1897"/>
      <c r="R18" s="753"/>
      <c r="S18" s="754"/>
      <c r="T18" s="753"/>
      <c r="U18" s="754"/>
      <c r="V18" s="753"/>
      <c r="W18" s="754"/>
      <c r="X18" s="1898"/>
      <c r="Y18" s="3004"/>
      <c r="Z18" s="1900"/>
      <c r="AA18" s="1901">
        <v>1</v>
      </c>
      <c r="AB18" s="1901">
        <v>1</v>
      </c>
      <c r="AC18" s="1901">
        <v>1</v>
      </c>
    </row>
    <row r="19" spans="1:29" ht="42.75">
      <c r="A19" s="408"/>
      <c r="B19" s="615" t="s">
        <v>2474</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4"/>
      <c r="Q19" s="1897" t="str">
        <f>B19</f>
        <v>公共配套设施</v>
      </c>
      <c r="R19" s="753" t="s">
        <v>25</v>
      </c>
      <c r="S19" s="754">
        <f>F19</f>
        <v>100</v>
      </c>
      <c r="T19" s="753" t="s">
        <v>25</v>
      </c>
      <c r="U19" s="754">
        <f>H19</f>
        <v>100</v>
      </c>
      <c r="V19" s="753" t="s">
        <v>25</v>
      </c>
      <c r="W19" s="754">
        <f>J19</f>
        <v>100</v>
      </c>
      <c r="X19" s="1898"/>
      <c r="Y19" s="3004"/>
      <c r="Z19" s="1900" t="str">
        <f>Q19</f>
        <v>公共配套设施</v>
      </c>
      <c r="AA19" s="1901">
        <f t="shared" si="3"/>
        <v>1</v>
      </c>
      <c r="AB19" s="1901">
        <f t="shared" si="4"/>
        <v>1</v>
      </c>
      <c r="AC19" s="1901">
        <f t="shared" si="5"/>
        <v>1</v>
      </c>
    </row>
    <row r="20" spans="1:29" ht="15">
      <c r="A20" s="408"/>
      <c r="B20" s="616"/>
      <c r="C20" s="426"/>
      <c r="D20" s="427"/>
      <c r="E20" s="428"/>
      <c r="F20" s="429"/>
      <c r="G20" s="2402"/>
      <c r="H20" s="427"/>
      <c r="I20" s="428"/>
      <c r="J20" s="427"/>
      <c r="K20" s="599"/>
      <c r="L20" s="1252"/>
      <c r="M20" s="1243"/>
      <c r="N20" s="1243"/>
      <c r="O20" s="1251"/>
      <c r="P20" s="3004"/>
      <c r="Q20" s="1897"/>
      <c r="R20" s="753"/>
      <c r="S20" s="754"/>
      <c r="T20" s="753"/>
      <c r="U20" s="754"/>
      <c r="V20" s="753"/>
      <c r="W20" s="754"/>
      <c r="X20" s="1898"/>
      <c r="Y20" s="3004"/>
      <c r="Z20" s="1900"/>
      <c r="AA20" s="1901">
        <v>1</v>
      </c>
      <c r="AB20" s="1901">
        <v>1</v>
      </c>
      <c r="AC20" s="1901">
        <v>1</v>
      </c>
    </row>
    <row r="21" spans="1:29" ht="28.5">
      <c r="A21" s="408"/>
      <c r="B21" s="617" t="s">
        <v>2475</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4"/>
      <c r="Q21" s="1897" t="str">
        <f>B21</f>
        <v>基础设施水平</v>
      </c>
      <c r="R21" s="753" t="s">
        <v>25</v>
      </c>
      <c r="S21" s="754">
        <f>F21</f>
        <v>100</v>
      </c>
      <c r="T21" s="753" t="s">
        <v>25</v>
      </c>
      <c r="U21" s="754">
        <f>H21</f>
        <v>100</v>
      </c>
      <c r="V21" s="753" t="s">
        <v>25</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51"/>
      <c r="P22" s="3004"/>
      <c r="Q22" s="1897"/>
      <c r="R22" s="753"/>
      <c r="S22" s="754"/>
      <c r="T22" s="753"/>
      <c r="U22" s="754"/>
      <c r="V22" s="753"/>
      <c r="W22" s="754"/>
      <c r="X22" s="1898"/>
      <c r="Y22" s="3004"/>
      <c r="Z22" s="1900"/>
      <c r="AA22" s="1901">
        <v>1</v>
      </c>
      <c r="AB22" s="1901">
        <v>1</v>
      </c>
      <c r="AC22" s="1901">
        <v>1</v>
      </c>
    </row>
    <row r="23" spans="1:29" ht="71.25">
      <c r="A23" s="408"/>
      <c r="B23" s="431" t="s">
        <v>2476</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4"/>
      <c r="Q23" s="1897" t="str">
        <f>B23</f>
        <v>环境质量</v>
      </c>
      <c r="R23" s="753" t="s">
        <v>25</v>
      </c>
      <c r="S23" s="754">
        <f>F23</f>
        <v>100</v>
      </c>
      <c r="T23" s="753" t="s">
        <v>25</v>
      </c>
      <c r="U23" s="754">
        <f>H23</f>
        <v>100</v>
      </c>
      <c r="V23" s="753" t="s">
        <v>25</v>
      </c>
      <c r="W23" s="754">
        <f>J23</f>
        <v>100</v>
      </c>
      <c r="X23" s="1898"/>
      <c r="Y23" s="3004"/>
      <c r="Z23" s="1900" t="str">
        <f>Q23</f>
        <v>环境质量</v>
      </c>
      <c r="AA23" s="1901">
        <f t="shared" si="3"/>
        <v>1</v>
      </c>
      <c r="AB23" s="1901">
        <f t="shared" si="4"/>
        <v>1</v>
      </c>
      <c r="AC23" s="1901">
        <f t="shared" si="5"/>
        <v>1</v>
      </c>
    </row>
    <row r="24" spans="1:29" ht="15">
      <c r="A24" s="408"/>
      <c r="B24" s="2406"/>
      <c r="C24" s="426"/>
      <c r="D24" s="427"/>
      <c r="E24" s="428"/>
      <c r="F24" s="429"/>
      <c r="G24" s="2402"/>
      <c r="H24" s="427"/>
      <c r="I24" s="428"/>
      <c r="J24" s="427"/>
      <c r="K24" s="599"/>
      <c r="L24" s="1252"/>
      <c r="M24" s="1243"/>
      <c r="N24" s="1243"/>
      <c r="O24" s="1251"/>
      <c r="P24" s="3004"/>
      <c r="Q24" s="1897"/>
      <c r="R24" s="753"/>
      <c r="S24" s="754"/>
      <c r="T24" s="753"/>
      <c r="U24" s="754"/>
      <c r="V24" s="753"/>
      <c r="W24" s="754"/>
      <c r="X24" s="1898"/>
      <c r="Y24" s="3004"/>
      <c r="Z24" s="1900"/>
      <c r="AA24" s="1901">
        <v>1</v>
      </c>
      <c r="AB24" s="1901">
        <v>1</v>
      </c>
      <c r="AC24" s="1901">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4"/>
      <c r="Q25" s="1897">
        <f>B25</f>
        <v>111</v>
      </c>
      <c r="R25" s="753" t="s">
        <v>25</v>
      </c>
      <c r="S25" s="754">
        <f>F25</f>
        <v>100</v>
      </c>
      <c r="T25" s="753" t="s">
        <v>25</v>
      </c>
      <c r="U25" s="754">
        <f>H25</f>
        <v>100</v>
      </c>
      <c r="V25" s="753" t="s">
        <v>25</v>
      </c>
      <c r="W25" s="754">
        <f>J25</f>
        <v>100</v>
      </c>
      <c r="X25" s="1898"/>
      <c r="Y25" s="3004"/>
      <c r="Z25" s="1900">
        <f>Q25</f>
        <v>111</v>
      </c>
      <c r="AA25" s="1901">
        <f t="shared" si="3"/>
        <v>1</v>
      </c>
      <c r="AB25" s="1901">
        <f t="shared" si="4"/>
        <v>1</v>
      </c>
      <c r="AC25" s="1901">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4"/>
      <c r="Q26" s="1897">
        <f t="shared" ref="Q26:Q40" si="11">B26</f>
        <v>111</v>
      </c>
      <c r="R26" s="753" t="s">
        <v>25</v>
      </c>
      <c r="S26" s="754">
        <f>F26</f>
        <v>100</v>
      </c>
      <c r="T26" s="753" t="s">
        <v>25</v>
      </c>
      <c r="U26" s="754">
        <f>H26</f>
        <v>100</v>
      </c>
      <c r="V26" s="753" t="s">
        <v>25</v>
      </c>
      <c r="W26" s="754">
        <f>J26</f>
        <v>100</v>
      </c>
      <c r="X26" s="1898"/>
      <c r="Y26" s="3004"/>
      <c r="Z26" s="1900">
        <f>Q26</f>
        <v>111</v>
      </c>
      <c r="AA26" s="1901">
        <f t="shared" si="3"/>
        <v>1</v>
      </c>
      <c r="AB26" s="1901">
        <f t="shared" si="4"/>
        <v>1</v>
      </c>
      <c r="AC26" s="1901">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4"/>
      <c r="Q27" s="1885">
        <f t="shared" si="11"/>
        <v>111</v>
      </c>
      <c r="R27" s="749" t="s">
        <v>25</v>
      </c>
      <c r="S27" s="750">
        <f>F27</f>
        <v>100</v>
      </c>
      <c r="T27" s="749" t="s">
        <v>25</v>
      </c>
      <c r="U27" s="750">
        <f>H27</f>
        <v>100</v>
      </c>
      <c r="V27" s="749" t="s">
        <v>25</v>
      </c>
      <c r="W27" s="750">
        <f>J27</f>
        <v>100</v>
      </c>
      <c r="X27" s="751"/>
      <c r="Y27" s="3004"/>
      <c r="Z27" s="23">
        <f>Q27</f>
        <v>111</v>
      </c>
      <c r="AA27" s="1901">
        <f>D27/F27</f>
        <v>1</v>
      </c>
      <c r="AB27" s="1901">
        <f>D27/H27</f>
        <v>1</v>
      </c>
      <c r="AC27" s="1901">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4"/>
      <c r="Q28" s="1897">
        <f t="shared" si="11"/>
        <v>111</v>
      </c>
      <c r="R28" s="753" t="s">
        <v>25</v>
      </c>
      <c r="S28" s="754">
        <f t="shared" ref="S28:S40" si="12">F28</f>
        <v>100</v>
      </c>
      <c r="T28" s="753" t="s">
        <v>25</v>
      </c>
      <c r="U28" s="754">
        <f t="shared" ref="U28:U40" si="13">H28</f>
        <v>100</v>
      </c>
      <c r="V28" s="753" t="s">
        <v>25</v>
      </c>
      <c r="W28" s="754">
        <f t="shared" ref="W28:W40" si="14">J28</f>
        <v>100</v>
      </c>
      <c r="X28" s="1898"/>
      <c r="Y28" s="3004"/>
      <c r="Z28" s="1900">
        <f t="shared" ref="Z28:Z40" si="15">Q28</f>
        <v>111</v>
      </c>
      <c r="AA28" s="1901">
        <f t="shared" si="3"/>
        <v>1</v>
      </c>
      <c r="AB28" s="1901">
        <f t="shared" si="4"/>
        <v>1</v>
      </c>
      <c r="AC28" s="1901">
        <f t="shared" si="5"/>
        <v>1</v>
      </c>
    </row>
    <row r="29" spans="1:29" ht="15">
      <c r="A29" s="447" t="s">
        <v>2363</v>
      </c>
      <c r="B29" s="28" t="s">
        <v>2479</v>
      </c>
      <c r="C29" s="2471" t="s">
        <v>2491</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7" t="s">
        <v>2365</v>
      </c>
      <c r="Q29" s="1897" t="str">
        <f t="shared" si="11"/>
        <v>建筑类型</v>
      </c>
      <c r="R29" s="753" t="s">
        <v>25</v>
      </c>
      <c r="S29" s="754">
        <f t="shared" si="12"/>
        <v>100</v>
      </c>
      <c r="T29" s="753" t="s">
        <v>25</v>
      </c>
      <c r="U29" s="754">
        <f t="shared" si="13"/>
        <v>100</v>
      </c>
      <c r="V29" s="753" t="s">
        <v>25</v>
      </c>
      <c r="W29" s="754">
        <f t="shared" si="14"/>
        <v>100</v>
      </c>
      <c r="X29" s="1898"/>
      <c r="Y29" s="2990"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90"/>
      <c r="Q30" s="755" t="str">
        <f t="shared" si="11"/>
        <v>项目建筑规模</v>
      </c>
      <c r="R30" s="756" t="s">
        <v>25</v>
      </c>
      <c r="S30" s="757" t="e">
        <f t="shared" si="12"/>
        <v>#N/A</v>
      </c>
      <c r="T30" s="756" t="s">
        <v>25</v>
      </c>
      <c r="U30" s="757" t="e">
        <f t="shared" si="13"/>
        <v>#N/A</v>
      </c>
      <c r="V30" s="756" t="s">
        <v>25</v>
      </c>
      <c r="W30" s="757" t="e">
        <f t="shared" si="14"/>
        <v>#N/A</v>
      </c>
      <c r="X30" s="758"/>
      <c r="Y30" s="2990"/>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90"/>
      <c r="Q31" s="1897" t="str">
        <f t="shared" si="11"/>
        <v>建筑结构</v>
      </c>
      <c r="R31" s="753" t="s">
        <v>25</v>
      </c>
      <c r="S31" s="754">
        <f t="shared" si="12"/>
        <v>100</v>
      </c>
      <c r="T31" s="753" t="s">
        <v>25</v>
      </c>
      <c r="U31" s="754">
        <f t="shared" si="13"/>
        <v>100</v>
      </c>
      <c r="V31" s="753" t="s">
        <v>25</v>
      </c>
      <c r="W31" s="754">
        <f t="shared" si="14"/>
        <v>100</v>
      </c>
      <c r="X31" s="1898"/>
      <c r="Y31" s="2990"/>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90"/>
      <c r="Q32" s="1897" t="str">
        <f t="shared" si="11"/>
        <v>公共部分装修</v>
      </c>
      <c r="R32" s="753" t="s">
        <v>25</v>
      </c>
      <c r="S32" s="754">
        <f t="shared" si="12"/>
        <v>100</v>
      </c>
      <c r="T32" s="753" t="s">
        <v>25</v>
      </c>
      <c r="U32" s="754">
        <f t="shared" si="13"/>
        <v>100</v>
      </c>
      <c r="V32" s="753" t="s">
        <v>25</v>
      </c>
      <c r="W32" s="754">
        <f t="shared" si="14"/>
        <v>100</v>
      </c>
      <c r="X32" s="1898"/>
      <c r="Y32" s="2990"/>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90"/>
      <c r="Q33" s="1897" t="str">
        <f t="shared" si="11"/>
        <v>成新度</v>
      </c>
      <c r="R33" s="753" t="s">
        <v>25</v>
      </c>
      <c r="S33" s="754" t="e">
        <f t="shared" si="12"/>
        <v>#N/A</v>
      </c>
      <c r="T33" s="753" t="s">
        <v>25</v>
      </c>
      <c r="U33" s="754" t="e">
        <f t="shared" si="13"/>
        <v>#N/A</v>
      </c>
      <c r="V33" s="753" t="s">
        <v>25</v>
      </c>
      <c r="W33" s="754" t="e">
        <f t="shared" si="14"/>
        <v>#N/A</v>
      </c>
      <c r="X33" s="1898"/>
      <c r="Y33" s="2990"/>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90"/>
      <c r="Q34" s="1885" t="str">
        <f t="shared" si="11"/>
        <v>物业管理</v>
      </c>
      <c r="R34" s="749" t="s">
        <v>25</v>
      </c>
      <c r="S34" s="750">
        <f t="shared" si="12"/>
        <v>100</v>
      </c>
      <c r="T34" s="749" t="s">
        <v>25</v>
      </c>
      <c r="U34" s="750">
        <f t="shared" si="13"/>
        <v>100</v>
      </c>
      <c r="V34" s="749" t="s">
        <v>25</v>
      </c>
      <c r="W34" s="750">
        <f t="shared" si="14"/>
        <v>100</v>
      </c>
      <c r="X34" s="751"/>
      <c r="Y34" s="2990"/>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90" t="s">
        <v>2365</v>
      </c>
      <c r="Q35" s="1897" t="str">
        <f t="shared" si="11"/>
        <v>市政基础设施</v>
      </c>
      <c r="R35" s="753" t="s">
        <v>25</v>
      </c>
      <c r="S35" s="754">
        <f t="shared" si="12"/>
        <v>100</v>
      </c>
      <c r="T35" s="753" t="s">
        <v>25</v>
      </c>
      <c r="U35" s="754">
        <f t="shared" si="13"/>
        <v>100</v>
      </c>
      <c r="V35" s="753" t="s">
        <v>25</v>
      </c>
      <c r="W35" s="754">
        <f t="shared" si="14"/>
        <v>100</v>
      </c>
      <c r="X35" s="1898"/>
      <c r="Y35" s="2990"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90"/>
      <c r="Q36" s="1897" t="str">
        <f t="shared" si="11"/>
        <v>内部装修</v>
      </c>
      <c r="R36" s="753" t="s">
        <v>25</v>
      </c>
      <c r="S36" s="754">
        <f t="shared" si="12"/>
        <v>100</v>
      </c>
      <c r="T36" s="753" t="s">
        <v>25</v>
      </c>
      <c r="U36" s="754">
        <f t="shared" si="13"/>
        <v>100</v>
      </c>
      <c r="V36" s="753" t="s">
        <v>25</v>
      </c>
      <c r="W36" s="754">
        <f t="shared" si="14"/>
        <v>100</v>
      </c>
      <c r="X36" s="1898"/>
      <c r="Y36" s="2990"/>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90"/>
      <c r="Q37" s="1897" t="str">
        <f t="shared" si="11"/>
        <v>内部装修状况</v>
      </c>
      <c r="R37" s="753" t="s">
        <v>25</v>
      </c>
      <c r="S37" s="754">
        <f t="shared" si="12"/>
        <v>0</v>
      </c>
      <c r="T37" s="753" t="s">
        <v>25</v>
      </c>
      <c r="U37" s="754">
        <f t="shared" si="13"/>
        <v>0</v>
      </c>
      <c r="V37" s="753" t="s">
        <v>25</v>
      </c>
      <c r="W37" s="754">
        <f t="shared" si="14"/>
        <v>0</v>
      </c>
      <c r="X37" s="1898"/>
      <c r="Y37" s="2990"/>
      <c r="Z37" s="1900" t="str">
        <f t="shared" si="15"/>
        <v>内部装修状况</v>
      </c>
      <c r="AA37" s="1901" t="e">
        <f t="shared" si="3"/>
        <v>#DIV/0!</v>
      </c>
      <c r="AB37" s="1901" t="e">
        <f t="shared" si="4"/>
        <v>#DIV/0!</v>
      </c>
      <c r="AC37" s="1901"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90"/>
      <c r="Q38" s="755">
        <f t="shared" si="11"/>
        <v>111</v>
      </c>
      <c r="R38" s="756" t="s">
        <v>25</v>
      </c>
      <c r="S38" s="757">
        <f t="shared" si="12"/>
        <v>100</v>
      </c>
      <c r="T38" s="756" t="s">
        <v>25</v>
      </c>
      <c r="U38" s="757">
        <f t="shared" si="13"/>
        <v>100</v>
      </c>
      <c r="V38" s="756" t="s">
        <v>25</v>
      </c>
      <c r="W38" s="757">
        <f t="shared" si="14"/>
        <v>100</v>
      </c>
      <c r="X38" s="758"/>
      <c r="Y38" s="2990"/>
      <c r="Z38" s="759">
        <f t="shared" si="15"/>
        <v>111</v>
      </c>
      <c r="AA38" s="1901">
        <f t="shared" si="3"/>
        <v>1</v>
      </c>
      <c r="AB38" s="1901">
        <f t="shared" si="4"/>
        <v>1</v>
      </c>
      <c r="AC38" s="1901">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90"/>
      <c r="Q39" s="1897">
        <f t="shared" si="11"/>
        <v>111</v>
      </c>
      <c r="R39" s="753" t="s">
        <v>25</v>
      </c>
      <c r="S39" s="754">
        <f t="shared" si="12"/>
        <v>100</v>
      </c>
      <c r="T39" s="753" t="s">
        <v>25</v>
      </c>
      <c r="U39" s="754">
        <f t="shared" si="13"/>
        <v>100</v>
      </c>
      <c r="V39" s="753" t="s">
        <v>25</v>
      </c>
      <c r="W39" s="754">
        <f t="shared" si="14"/>
        <v>100</v>
      </c>
      <c r="X39" s="1898"/>
      <c r="Y39" s="2990"/>
      <c r="Z39" s="1900">
        <f t="shared" si="15"/>
        <v>111</v>
      </c>
      <c r="AA39" s="1901">
        <f t="shared" si="3"/>
        <v>1</v>
      </c>
      <c r="AB39" s="1901">
        <f t="shared" si="4"/>
        <v>1</v>
      </c>
      <c r="AC39" s="1901">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91"/>
      <c r="Q40" s="1897">
        <f t="shared" si="11"/>
        <v>111</v>
      </c>
      <c r="R40" s="753" t="s">
        <v>25</v>
      </c>
      <c r="S40" s="754">
        <f t="shared" si="12"/>
        <v>100</v>
      </c>
      <c r="T40" s="753" t="s">
        <v>25</v>
      </c>
      <c r="U40" s="754">
        <f t="shared" si="13"/>
        <v>100</v>
      </c>
      <c r="V40" s="753" t="s">
        <v>25</v>
      </c>
      <c r="W40" s="754">
        <f t="shared" si="14"/>
        <v>100</v>
      </c>
      <c r="X40" s="1898"/>
      <c r="Y40" s="2991"/>
      <c r="Z40" s="1900">
        <f t="shared" si="15"/>
        <v>111</v>
      </c>
      <c r="AA40" s="1901">
        <f t="shared" si="3"/>
        <v>1</v>
      </c>
      <c r="AB40" s="1901">
        <f t="shared" si="4"/>
        <v>1</v>
      </c>
      <c r="AC40" s="1901">
        <f t="shared" si="5"/>
        <v>1</v>
      </c>
    </row>
    <row r="41" spans="1:29" ht="15">
      <c r="A41" s="460" t="s">
        <v>2377</v>
      </c>
      <c r="B41" s="461"/>
      <c r="C41" s="1500" t="s">
        <v>1</v>
      </c>
      <c r="D41" s="1501"/>
      <c r="E41" s="1502"/>
      <c r="F41" s="1503"/>
      <c r="G41" s="1504"/>
      <c r="H41" s="1505"/>
      <c r="I41" s="1502"/>
      <c r="J41" s="1505"/>
      <c r="K41" s="762"/>
      <c r="L41" s="1255"/>
      <c r="M41" s="1256"/>
      <c r="N41" s="1243"/>
      <c r="O41" s="1256"/>
      <c r="P41" s="2983" t="str">
        <f>A41</f>
        <v>成交单价（元/平方米）</v>
      </c>
      <c r="Q41" s="2983"/>
      <c r="R41" s="2984">
        <f>E41</f>
        <v>0</v>
      </c>
      <c r="S41" s="2984"/>
      <c r="T41" s="2984">
        <f>G41</f>
        <v>0</v>
      </c>
      <c r="U41" s="2984"/>
      <c r="V41" s="2984">
        <f>I41</f>
        <v>0</v>
      </c>
      <c r="W41" s="2984"/>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5"/>
      <c r="M42" s="1256"/>
      <c r="N42" s="1243"/>
      <c r="O42" s="1256"/>
      <c r="P42" s="2983" t="str">
        <f>A42</f>
        <v>比较价值（元/平方米）</v>
      </c>
      <c r="Q42" s="2983"/>
      <c r="R42" s="2984" t="e">
        <f>IF(E1="售价",ROUND(PRODUCT(R41,AA7:AA40),0),ROUND(PRODUCT(R41,AA7:AA40),1))</f>
        <v>#DIV/0!</v>
      </c>
      <c r="S42" s="2984"/>
      <c r="T42" s="2984" t="e">
        <f>IF(E1="售价",ROUND(PRODUCT(T41,AB7:AB40),0),ROUND(PRODUCT(T41,AB7:AB40),1))</f>
        <v>#DIV/0!</v>
      </c>
      <c r="U42" s="2984"/>
      <c r="V42" s="2984" t="e">
        <f>IF(E1="售价",ROUND(PRODUCT(V41,AC7:AC40),0),ROUND(PRODUCT(V41,AC7:AC40),1))</f>
        <v>#DIV/0!</v>
      </c>
      <c r="W42" s="2984"/>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5"/>
      <c r="M43" s="1256"/>
      <c r="N43" s="1256"/>
      <c r="O43" s="1256"/>
      <c r="P43" s="3057" t="str">
        <f>A43</f>
        <v>估价对象XX用房的比较价值（楼面单价，元/平方米）</v>
      </c>
      <c r="Q43" s="2982"/>
      <c r="R43" s="2986" t="e">
        <f>IF(E1="售价",ROUND(AVERAGE(R42:V42),0),ROUND(AVERAGE(R42:V42),1))</f>
        <v>#DIV/0!</v>
      </c>
      <c r="S43" s="2986"/>
      <c r="T43" s="2986"/>
      <c r="U43" s="2986"/>
      <c r="V43" s="2986"/>
      <c r="W43" s="298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2388</v>
      </c>
      <c r="B57" s="509" t="s">
        <v>2353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2363</v>
      </c>
      <c r="B88" s="509" t="s">
        <v>2412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28"/>
      <c r="E1" s="2380"/>
      <c r="F1" s="1729" t="s">
        <v>2332</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2333</v>
      </c>
      <c r="D3" s="378">
        <f>IF(C1="仅计算典型户型",'数据-取费表'!E5,'数据-取费表'!B5)</f>
        <v>218.48</v>
      </c>
      <c r="E3" s="1091" t="s">
        <v>2501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512"/>
      <c r="M4" s="425"/>
      <c r="N4" s="425"/>
      <c r="O4" s="425"/>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512"/>
      <c r="M5" s="425"/>
      <c r="N5" s="425"/>
      <c r="O5" s="425"/>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512"/>
      <c r="M6" s="425"/>
      <c r="N6" s="425"/>
      <c r="O6" s="425"/>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2" t="s">
        <v>2348</v>
      </c>
      <c r="Q7" s="3000"/>
      <c r="R7" s="749" t="s">
        <v>25</v>
      </c>
      <c r="S7" s="750">
        <f t="shared" ref="S7:S14" si="0">F7</f>
        <v>0</v>
      </c>
      <c r="T7" s="749" t="s">
        <v>25</v>
      </c>
      <c r="U7" s="750">
        <f t="shared" ref="U7:U14" si="1">H7</f>
        <v>0</v>
      </c>
      <c r="V7" s="749" t="s">
        <v>25</v>
      </c>
      <c r="W7" s="750">
        <f t="shared" ref="W7:W14"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2" t="s">
        <v>2351</v>
      </c>
      <c r="Q8" s="2993"/>
      <c r="R8" s="749" t="s">
        <v>25</v>
      </c>
      <c r="S8" s="750">
        <f t="shared" si="0"/>
        <v>0</v>
      </c>
      <c r="T8" s="749" t="s">
        <v>25</v>
      </c>
      <c r="U8" s="750">
        <f t="shared" si="1"/>
        <v>0</v>
      </c>
      <c r="V8" s="749" t="s">
        <v>25</v>
      </c>
      <c r="W8" s="750">
        <f t="shared" si="2"/>
        <v>0</v>
      </c>
      <c r="X8" s="751"/>
      <c r="Y8" s="2992" t="s">
        <v>2351</v>
      </c>
      <c r="Z8" s="2993"/>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83" t="s">
        <v>2354</v>
      </c>
      <c r="Q9" s="1885" t="str">
        <f t="shared" ref="Q9:Q14" si="6">B9</f>
        <v>用途</v>
      </c>
      <c r="R9" s="749" t="s">
        <v>25</v>
      </c>
      <c r="S9" s="750">
        <f t="shared" si="0"/>
        <v>100</v>
      </c>
      <c r="T9" s="749" t="s">
        <v>25</v>
      </c>
      <c r="U9" s="750">
        <f t="shared" si="1"/>
        <v>100</v>
      </c>
      <c r="V9" s="749" t="s">
        <v>25</v>
      </c>
      <c r="W9" s="750">
        <f t="shared" si="2"/>
        <v>100</v>
      </c>
      <c r="X9" s="751"/>
      <c r="Y9" s="2843"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83"/>
      <c r="Q11" s="1885">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
      <c r="A14" s="380" t="s">
        <v>2358</v>
      </c>
      <c r="B14" s="613" t="s">
        <v>2502</v>
      </c>
      <c r="C14" s="1478" t="str">
        <f>IF(B1="工业",估价对象房地状况!G4,估价对象房地状况!C6)</f>
        <v>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03" t="s">
        <v>2359</v>
      </c>
      <c r="Q14" s="1897" t="str">
        <f t="shared" si="6"/>
        <v>交通便捷度</v>
      </c>
      <c r="R14" s="753" t="s">
        <v>25</v>
      </c>
      <c r="S14" s="754">
        <f t="shared" si="0"/>
        <v>100</v>
      </c>
      <c r="T14" s="753" t="s">
        <v>25</v>
      </c>
      <c r="U14" s="754">
        <f t="shared" si="1"/>
        <v>100</v>
      </c>
      <c r="V14" s="753" t="s">
        <v>25</v>
      </c>
      <c r="W14" s="754">
        <f t="shared" si="2"/>
        <v>100</v>
      </c>
      <c r="X14" s="1898"/>
      <c r="Y14" s="3003" t="s">
        <v>2359</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04"/>
      <c r="Q15" s="1897"/>
      <c r="R15" s="753"/>
      <c r="S15" s="754"/>
      <c r="T15" s="753"/>
      <c r="U15" s="754"/>
      <c r="V15" s="753"/>
      <c r="W15" s="754"/>
      <c r="X15" s="1898"/>
      <c r="Y15" s="3004"/>
      <c r="Z15" s="1900"/>
      <c r="AA15" s="1901">
        <v>1</v>
      </c>
      <c r="AB15" s="1901">
        <v>1</v>
      </c>
      <c r="AC15" s="1901">
        <v>1</v>
      </c>
    </row>
    <row r="16" spans="1:29" ht="15">
      <c r="A16" s="383"/>
      <c r="B16" s="615" t="s">
        <v>2474</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04"/>
      <c r="Q16" s="1897" t="str">
        <f>B16</f>
        <v>公共配套设施</v>
      </c>
      <c r="R16" s="753" t="s">
        <v>25</v>
      </c>
      <c r="S16" s="754">
        <f>F16</f>
        <v>100</v>
      </c>
      <c r="T16" s="753" t="s">
        <v>25</v>
      </c>
      <c r="U16" s="754">
        <f>H16</f>
        <v>100</v>
      </c>
      <c r="V16" s="753" t="s">
        <v>25</v>
      </c>
      <c r="W16" s="754">
        <f>J16</f>
        <v>100</v>
      </c>
      <c r="X16" s="1898"/>
      <c r="Y16" s="3004"/>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04"/>
      <c r="Q17" s="1897"/>
      <c r="R17" s="753"/>
      <c r="S17" s="754"/>
      <c r="T17" s="753"/>
      <c r="U17" s="754"/>
      <c r="V17" s="753"/>
      <c r="W17" s="754"/>
      <c r="X17" s="1898"/>
      <c r="Y17" s="3004"/>
      <c r="Z17" s="1900"/>
      <c r="AA17" s="1901">
        <v>1</v>
      </c>
      <c r="AB17" s="1901">
        <v>1</v>
      </c>
      <c r="AC17" s="1901">
        <v>1</v>
      </c>
    </row>
    <row r="18" spans="1:29" ht="15">
      <c r="A18" s="383"/>
      <c r="B18" s="617" t="s">
        <v>2475</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04"/>
      <c r="Q18" s="1897" t="str">
        <f>B18</f>
        <v>基础设施水平</v>
      </c>
      <c r="R18" s="753" t="s">
        <v>25</v>
      </c>
      <c r="S18" s="754">
        <f>F18</f>
        <v>100</v>
      </c>
      <c r="T18" s="753" t="s">
        <v>25</v>
      </c>
      <c r="U18" s="754">
        <f>H18</f>
        <v>100</v>
      </c>
      <c r="V18" s="753" t="s">
        <v>25</v>
      </c>
      <c r="W18" s="754">
        <f>J18</f>
        <v>100</v>
      </c>
      <c r="X18" s="1898"/>
      <c r="Y18" s="3004"/>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04"/>
      <c r="Q19" s="1897"/>
      <c r="R19" s="753"/>
      <c r="S19" s="754"/>
      <c r="T19" s="753"/>
      <c r="U19" s="754"/>
      <c r="V19" s="753"/>
      <c r="W19" s="754"/>
      <c r="X19" s="1898"/>
      <c r="Y19" s="3004"/>
      <c r="Z19" s="1900"/>
      <c r="AA19" s="1901">
        <v>1</v>
      </c>
      <c r="AB19" s="1901">
        <v>1</v>
      </c>
      <c r="AC19" s="1901">
        <v>1</v>
      </c>
    </row>
    <row r="20" spans="1:29" ht="15">
      <c r="A20" s="383"/>
      <c r="B20" s="615" t="s">
        <v>2503</v>
      </c>
      <c r="C20" s="1480" t="str">
        <f>IF(B1="工业",估价对象房地状况!G7,估价对象房地状况!C9)</f>
        <v>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04"/>
      <c r="Q20" s="1897" t="str">
        <f>B20</f>
        <v>自然及人文环境</v>
      </c>
      <c r="R20" s="753" t="s">
        <v>25</v>
      </c>
      <c r="S20" s="754">
        <f>F20</f>
        <v>100</v>
      </c>
      <c r="T20" s="753" t="s">
        <v>25</v>
      </c>
      <c r="U20" s="754">
        <f>H20</f>
        <v>100</v>
      </c>
      <c r="V20" s="753" t="s">
        <v>25</v>
      </c>
      <c r="W20" s="754">
        <f>J20</f>
        <v>100</v>
      </c>
      <c r="X20" s="1898"/>
      <c r="Y20" s="3004"/>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04"/>
      <c r="Q21" s="1897"/>
      <c r="R21" s="753"/>
      <c r="S21" s="754"/>
      <c r="T21" s="753"/>
      <c r="U21" s="754"/>
      <c r="V21" s="753"/>
      <c r="W21" s="754"/>
      <c r="X21" s="1898"/>
      <c r="Y21" s="3004"/>
      <c r="Z21" s="1900"/>
      <c r="AA21" s="1901">
        <v>1</v>
      </c>
      <c r="AB21" s="1901">
        <v>1</v>
      </c>
      <c r="AC21" s="1901">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04"/>
      <c r="Q22" s="1897" t="str">
        <f>B22</f>
        <v>楼层</v>
      </c>
      <c r="R22" s="753" t="s">
        <v>25</v>
      </c>
      <c r="S22" s="754">
        <f>F22</f>
        <v>100</v>
      </c>
      <c r="T22" s="753" t="s">
        <v>25</v>
      </c>
      <c r="U22" s="754">
        <f>H22</f>
        <v>100</v>
      </c>
      <c r="V22" s="753" t="s">
        <v>25</v>
      </c>
      <c r="W22" s="754">
        <f>J22</f>
        <v>100</v>
      </c>
      <c r="X22" s="1898"/>
      <c r="Y22" s="3004"/>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04"/>
      <c r="Q23" s="1897">
        <f>B23</f>
        <v>111</v>
      </c>
      <c r="R23" s="753" t="s">
        <v>25</v>
      </c>
      <c r="S23" s="754">
        <f>F23</f>
        <v>100</v>
      </c>
      <c r="T23" s="753" t="s">
        <v>25</v>
      </c>
      <c r="U23" s="754">
        <f>H23</f>
        <v>100</v>
      </c>
      <c r="V23" s="753" t="s">
        <v>25</v>
      </c>
      <c r="W23" s="754">
        <f>J23</f>
        <v>100</v>
      </c>
      <c r="X23" s="1898"/>
      <c r="Y23" s="3004"/>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04"/>
      <c r="Q24" s="1897">
        <f t="shared" ref="Q24:Q36" si="11">B24</f>
        <v>111</v>
      </c>
      <c r="R24" s="753" t="s">
        <v>25</v>
      </c>
      <c r="S24" s="754">
        <f>F24</f>
        <v>100</v>
      </c>
      <c r="T24" s="753" t="s">
        <v>25</v>
      </c>
      <c r="U24" s="754">
        <f>H24</f>
        <v>100</v>
      </c>
      <c r="V24" s="753" t="s">
        <v>25</v>
      </c>
      <c r="W24" s="754">
        <f>J24</f>
        <v>100</v>
      </c>
      <c r="X24" s="1898"/>
      <c r="Y24" s="3004"/>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4"/>
      <c r="Q25" s="1885">
        <f t="shared" si="11"/>
        <v>111</v>
      </c>
      <c r="R25" s="749" t="s">
        <v>25</v>
      </c>
      <c r="S25" s="750">
        <f>F25</f>
        <v>100</v>
      </c>
      <c r="T25" s="749" t="s">
        <v>25</v>
      </c>
      <c r="U25" s="750">
        <f>H25</f>
        <v>100</v>
      </c>
      <c r="V25" s="749" t="s">
        <v>25</v>
      </c>
      <c r="W25" s="750">
        <f>J25</f>
        <v>100</v>
      </c>
      <c r="X25" s="751"/>
      <c r="Y25" s="3004"/>
      <c r="Z25" s="23">
        <f>Q25</f>
        <v>111</v>
      </c>
      <c r="AA25" s="1901">
        <f>D25/F25</f>
        <v>1</v>
      </c>
      <c r="AB25" s="1901">
        <f>D25/H25</f>
        <v>1</v>
      </c>
      <c r="AC25" s="1901">
        <f>D25/J25</f>
        <v>1</v>
      </c>
    </row>
    <row r="26" spans="1:29" ht="15">
      <c r="A26" s="635" t="s">
        <v>2363</v>
      </c>
      <c r="B26" s="27" t="s">
        <v>2505</v>
      </c>
      <c r="C26" s="2479"/>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7"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90"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90"/>
      <c r="Q27" s="755" t="str">
        <f t="shared" si="11"/>
        <v>项目停车位配比</v>
      </c>
      <c r="R27" s="756" t="s">
        <v>25</v>
      </c>
      <c r="S27" s="757">
        <f t="shared" si="12"/>
        <v>100</v>
      </c>
      <c r="T27" s="756" t="s">
        <v>25</v>
      </c>
      <c r="U27" s="757">
        <f t="shared" si="13"/>
        <v>100</v>
      </c>
      <c r="V27" s="756" t="s">
        <v>25</v>
      </c>
      <c r="W27" s="757">
        <f t="shared" si="14"/>
        <v>100</v>
      </c>
      <c r="X27" s="758"/>
      <c r="Y27" s="2990"/>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90"/>
      <c r="Q28" s="1897" t="str">
        <f t="shared" si="11"/>
        <v>公共部分装修</v>
      </c>
      <c r="R28" s="753" t="s">
        <v>25</v>
      </c>
      <c r="S28" s="754">
        <f t="shared" si="12"/>
        <v>100</v>
      </c>
      <c r="T28" s="753" t="s">
        <v>25</v>
      </c>
      <c r="U28" s="754">
        <f t="shared" si="13"/>
        <v>100</v>
      </c>
      <c r="V28" s="753" t="s">
        <v>25</v>
      </c>
      <c r="W28" s="754">
        <f t="shared" si="14"/>
        <v>100</v>
      </c>
      <c r="X28" s="1898"/>
      <c r="Y28" s="2990"/>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90"/>
      <c r="Q29" s="1897" t="str">
        <f t="shared" si="11"/>
        <v>成新率</v>
      </c>
      <c r="R29" s="753" t="s">
        <v>25</v>
      </c>
      <c r="S29" s="754" t="e">
        <f t="shared" si="12"/>
        <v>#N/A</v>
      </c>
      <c r="T29" s="753" t="s">
        <v>25</v>
      </c>
      <c r="U29" s="754" t="e">
        <f t="shared" si="13"/>
        <v>#N/A</v>
      </c>
      <c r="V29" s="753" t="s">
        <v>25</v>
      </c>
      <c r="W29" s="754" t="e">
        <f t="shared" si="14"/>
        <v>#N/A</v>
      </c>
      <c r="X29" s="1898"/>
      <c r="Y29" s="2990"/>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90"/>
      <c r="Q30" s="1897" t="str">
        <f t="shared" si="11"/>
        <v>物业等级</v>
      </c>
      <c r="R30" s="753" t="s">
        <v>25</v>
      </c>
      <c r="S30" s="754">
        <f t="shared" si="12"/>
        <v>100</v>
      </c>
      <c r="T30" s="753" t="s">
        <v>25</v>
      </c>
      <c r="U30" s="754">
        <f t="shared" si="13"/>
        <v>100</v>
      </c>
      <c r="V30" s="753" t="s">
        <v>25</v>
      </c>
      <c r="W30" s="754">
        <f t="shared" si="14"/>
        <v>100</v>
      </c>
      <c r="X30" s="1898"/>
      <c r="Y30" s="2990"/>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90"/>
      <c r="Q31" s="1885" t="str">
        <f t="shared" si="11"/>
        <v>停车位面积</v>
      </c>
      <c r="R31" s="749" t="s">
        <v>25</v>
      </c>
      <c r="S31" s="750" t="e">
        <f t="shared" si="12"/>
        <v>#N/A</v>
      </c>
      <c r="T31" s="749" t="s">
        <v>25</v>
      </c>
      <c r="U31" s="750" t="e">
        <f t="shared" si="13"/>
        <v>#N/A</v>
      </c>
      <c r="V31" s="749" t="s">
        <v>25</v>
      </c>
      <c r="W31" s="750" t="e">
        <f t="shared" si="14"/>
        <v>#N/A</v>
      </c>
      <c r="X31" s="751"/>
      <c r="Y31" s="2990"/>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90" t="s">
        <v>2365</v>
      </c>
      <c r="Q32" s="1897" t="str">
        <f t="shared" si="11"/>
        <v>车位类型</v>
      </c>
      <c r="R32" s="753" t="s">
        <v>25</v>
      </c>
      <c r="S32" s="754">
        <f t="shared" si="12"/>
        <v>100</v>
      </c>
      <c r="T32" s="753" t="s">
        <v>25</v>
      </c>
      <c r="U32" s="754">
        <f t="shared" si="13"/>
        <v>100</v>
      </c>
      <c r="V32" s="753" t="s">
        <v>25</v>
      </c>
      <c r="W32" s="754">
        <f t="shared" si="14"/>
        <v>100</v>
      </c>
      <c r="X32" s="1898"/>
      <c r="Y32" s="2990"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90"/>
      <c r="Q33" s="1897" t="str">
        <f t="shared" si="11"/>
        <v>是否直接入户</v>
      </c>
      <c r="R33" s="753" t="s">
        <v>25</v>
      </c>
      <c r="S33" s="754">
        <f t="shared" si="12"/>
        <v>100</v>
      </c>
      <c r="T33" s="753" t="s">
        <v>25</v>
      </c>
      <c r="U33" s="754">
        <f t="shared" si="13"/>
        <v>100</v>
      </c>
      <c r="V33" s="753" t="s">
        <v>25</v>
      </c>
      <c r="W33" s="754">
        <f t="shared" si="14"/>
        <v>100</v>
      </c>
      <c r="X33" s="1898"/>
      <c r="Y33" s="299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90"/>
      <c r="Q35" s="755">
        <f t="shared" si="11"/>
        <v>111</v>
      </c>
      <c r="R35" s="756" t="s">
        <v>25</v>
      </c>
      <c r="S35" s="757">
        <f t="shared" si="12"/>
        <v>100</v>
      </c>
      <c r="T35" s="756" t="s">
        <v>25</v>
      </c>
      <c r="U35" s="757">
        <f t="shared" si="13"/>
        <v>100</v>
      </c>
      <c r="V35" s="756" t="s">
        <v>25</v>
      </c>
      <c r="W35" s="757">
        <f t="shared" si="14"/>
        <v>100</v>
      </c>
      <c r="X35" s="758"/>
      <c r="Y35" s="2990"/>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90"/>
      <c r="Q36" s="1897">
        <f t="shared" si="11"/>
        <v>111</v>
      </c>
      <c r="R36" s="753" t="s">
        <v>25</v>
      </c>
      <c r="S36" s="754">
        <f t="shared" si="12"/>
        <v>100</v>
      </c>
      <c r="T36" s="753" t="s">
        <v>25</v>
      </c>
      <c r="U36" s="754">
        <f t="shared" si="13"/>
        <v>100</v>
      </c>
      <c r="V36" s="753" t="s">
        <v>25</v>
      </c>
      <c r="W36" s="754">
        <f t="shared" si="14"/>
        <v>100</v>
      </c>
      <c r="X36" s="1898"/>
      <c r="Y36" s="2990"/>
      <c r="Z36" s="1900">
        <f t="shared" si="15"/>
        <v>111</v>
      </c>
      <c r="AA36" s="1901">
        <f t="shared" si="3"/>
        <v>1</v>
      </c>
      <c r="AB36" s="1901">
        <f t="shared" si="4"/>
        <v>1</v>
      </c>
      <c r="AC36" s="1901">
        <f t="shared" si="5"/>
        <v>1</v>
      </c>
    </row>
    <row r="37" spans="1:29" ht="15">
      <c r="A37" s="460" t="s">
        <v>2513</v>
      </c>
      <c r="B37" s="1092" t="s">
        <v>2514</v>
      </c>
      <c r="C37" s="1500" t="s">
        <v>1</v>
      </c>
      <c r="D37" s="1501"/>
      <c r="E37" s="1502"/>
      <c r="F37" s="1503"/>
      <c r="G37" s="1504"/>
      <c r="H37" s="1505"/>
      <c r="I37" s="1502"/>
      <c r="J37" s="1505"/>
      <c r="K37" s="603"/>
      <c r="L37" s="1523"/>
      <c r="M37" s="738"/>
      <c r="N37" s="425"/>
      <c r="O37" s="738"/>
      <c r="P37" s="2983" t="str">
        <f>A37</f>
        <v>成交单价</v>
      </c>
      <c r="Q37" s="2983"/>
      <c r="R37" s="2984">
        <f>E37</f>
        <v>0</v>
      </c>
      <c r="S37" s="2984"/>
      <c r="T37" s="2984">
        <f>G37</f>
        <v>0</v>
      </c>
      <c r="U37" s="2984"/>
      <c r="V37" s="2984">
        <f>I37</f>
        <v>0</v>
      </c>
      <c r="W37" s="2984"/>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83" t="str">
        <f>A38</f>
        <v>比较价值</v>
      </c>
      <c r="Q38" s="2983"/>
      <c r="R38" s="2984" t="e">
        <f>IF(E1="售价",ROUND(PRODUCT(R37,AA7:AA36),0),ROUND(PRODUCT(R37,AA7:AA36),1))</f>
        <v>#DIV/0!</v>
      </c>
      <c r="S38" s="2984"/>
      <c r="T38" s="2984" t="e">
        <f>IF(E1="售价",ROUND(PRODUCT(T37,AB7:AB36),0),ROUND(PRODUCT(T37,AB7:AB36),1))</f>
        <v>#DIV/0!</v>
      </c>
      <c r="U38" s="2984"/>
      <c r="V38" s="2984" t="e">
        <f>IF(E1="售价",ROUND(PRODUCT(V37,AC7:AC36),0),ROUND(PRODUCT(V37,AC7:AC36),1))</f>
        <v>#DIV/0!</v>
      </c>
      <c r="W38" s="2984"/>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3057" t="str">
        <f>A39</f>
        <v>估价对象XX用房的比较价值（楼面单价，元/平方米）</v>
      </c>
      <c r="Q39" s="2982"/>
      <c r="R39" s="2986" t="e">
        <f>IF(E1="售价",ROUND(AVERAGE(R38:V38),0),ROUND(AVERAGE(R38:V38),1))</f>
        <v>#DIV/0!</v>
      </c>
      <c r="S39" s="2986"/>
      <c r="T39" s="2986"/>
      <c r="U39" s="2986"/>
      <c r="V39" s="2986"/>
      <c r="W39" s="2986"/>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IF(D2="——",IF(C2="元",ROUND(C37*D3,0),ROUND(C37*D3/10000,0)),IF(C2="元",ROUND(C37*D3,0),ROUND(C37*D3/10000,0))-E2)</f>
        <v>#DIV/0!</v>
      </c>
      <c r="C2" s="163" t="str">
        <f>'数据-取费表'!B3</f>
        <v>元</v>
      </c>
      <c r="D2" s="2382"/>
      <c r="E2" s="1736"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2992" t="s">
        <v>2348</v>
      </c>
      <c r="Q7" s="3000"/>
      <c r="R7" s="749" t="s">
        <v>25</v>
      </c>
      <c r="S7" s="750">
        <f t="shared" ref="S7:S14" si="0">F7</f>
        <v>0</v>
      </c>
      <c r="T7" s="749" t="s">
        <v>25</v>
      </c>
      <c r="U7" s="750">
        <f t="shared" ref="U7:U14" si="1">H7</f>
        <v>0</v>
      </c>
      <c r="V7" s="749" t="s">
        <v>25</v>
      </c>
      <c r="W7" s="750">
        <f t="shared" ref="W7:W14"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83" t="s">
        <v>2354</v>
      </c>
      <c r="Q9" s="1885" t="str">
        <f t="shared" ref="Q9:Q14" si="6">B9</f>
        <v>用途</v>
      </c>
      <c r="R9" s="749" t="s">
        <v>25</v>
      </c>
      <c r="S9" s="750">
        <f t="shared" si="0"/>
        <v>100</v>
      </c>
      <c r="T9" s="749" t="s">
        <v>25</v>
      </c>
      <c r="U9" s="750">
        <f t="shared" si="1"/>
        <v>100</v>
      </c>
      <c r="V9" s="749" t="s">
        <v>25</v>
      </c>
      <c r="W9" s="750">
        <f t="shared" si="2"/>
        <v>100</v>
      </c>
      <c r="X9" s="751"/>
      <c r="Y9" s="2843"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83"/>
      <c r="Q11" s="1885">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
      <c r="A14" s="419" t="s">
        <v>2358</v>
      </c>
      <c r="B14" s="26" t="s">
        <v>2502</v>
      </c>
      <c r="C14" s="2477"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3" t="s">
        <v>2359</v>
      </c>
      <c r="Q14" s="1897" t="str">
        <f t="shared" si="6"/>
        <v>交通便捷度</v>
      </c>
      <c r="R14" s="753" t="s">
        <v>25</v>
      </c>
      <c r="S14" s="754">
        <f t="shared" si="0"/>
        <v>100</v>
      </c>
      <c r="T14" s="753" t="s">
        <v>25</v>
      </c>
      <c r="U14" s="754">
        <f t="shared" si="1"/>
        <v>100</v>
      </c>
      <c r="V14" s="753" t="s">
        <v>25</v>
      </c>
      <c r="W14" s="754">
        <f t="shared" si="2"/>
        <v>100</v>
      </c>
      <c r="X14" s="1898"/>
      <c r="Y14" s="3003" t="s">
        <v>2359</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04"/>
      <c r="Q15" s="1897"/>
      <c r="R15" s="753"/>
      <c r="S15" s="754"/>
      <c r="T15" s="753"/>
      <c r="U15" s="754"/>
      <c r="V15" s="753"/>
      <c r="W15" s="754"/>
      <c r="X15" s="1898"/>
      <c r="Y15" s="3004"/>
      <c r="Z15" s="1900"/>
      <c r="AA15" s="1901">
        <v>1</v>
      </c>
      <c r="AB15" s="1901">
        <v>1</v>
      </c>
      <c r="AC15" s="1901">
        <v>1</v>
      </c>
    </row>
    <row r="16" spans="1:29" ht="15">
      <c r="A16" s="408"/>
      <c r="B16" s="615" t="s">
        <v>2474</v>
      </c>
      <c r="C16" s="2404"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4"/>
      <c r="Q16" s="1897" t="str">
        <f>B16</f>
        <v>公共配套设施</v>
      </c>
      <c r="R16" s="753" t="s">
        <v>25</v>
      </c>
      <c r="S16" s="754">
        <f>F16</f>
        <v>100</v>
      </c>
      <c r="T16" s="753" t="s">
        <v>25</v>
      </c>
      <c r="U16" s="754">
        <f>H16</f>
        <v>100</v>
      </c>
      <c r="V16" s="753" t="s">
        <v>25</v>
      </c>
      <c r="W16" s="754">
        <f>J16</f>
        <v>100</v>
      </c>
      <c r="X16" s="1898"/>
      <c r="Y16" s="300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04"/>
      <c r="Q17" s="1897"/>
      <c r="R17" s="753"/>
      <c r="S17" s="754"/>
      <c r="T17" s="753"/>
      <c r="U17" s="754"/>
      <c r="V17" s="753"/>
      <c r="W17" s="754"/>
      <c r="X17" s="1898"/>
      <c r="Y17" s="3004"/>
      <c r="Z17" s="1900"/>
      <c r="AA17" s="1901">
        <v>1</v>
      </c>
      <c r="AB17" s="1901">
        <v>1</v>
      </c>
      <c r="AC17" s="1901">
        <v>1</v>
      </c>
    </row>
    <row r="18" spans="1:29" ht="15">
      <c r="A18" s="408"/>
      <c r="B18" s="617" t="s">
        <v>2475</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4"/>
      <c r="Q18" s="1897" t="str">
        <f>B18</f>
        <v>基础设施水平</v>
      </c>
      <c r="R18" s="753" t="s">
        <v>25</v>
      </c>
      <c r="S18" s="754">
        <f>F18</f>
        <v>100</v>
      </c>
      <c r="T18" s="753" t="s">
        <v>25</v>
      </c>
      <c r="U18" s="754">
        <f>H18</f>
        <v>100</v>
      </c>
      <c r="V18" s="753" t="s">
        <v>25</v>
      </c>
      <c r="W18" s="754">
        <f>J18</f>
        <v>100</v>
      </c>
      <c r="X18" s="1898"/>
      <c r="Y18" s="300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04"/>
      <c r="Q19" s="1897"/>
      <c r="R19" s="753"/>
      <c r="S19" s="754"/>
      <c r="T19" s="753"/>
      <c r="U19" s="754"/>
      <c r="V19" s="753"/>
      <c r="W19" s="754"/>
      <c r="X19" s="1898"/>
      <c r="Y19" s="3004"/>
      <c r="Z19" s="1900"/>
      <c r="AA19" s="1901">
        <v>1</v>
      </c>
      <c r="AB19" s="1901">
        <v>1</v>
      </c>
      <c r="AC19" s="1901">
        <v>1</v>
      </c>
    </row>
    <row r="20" spans="1:29" ht="15">
      <c r="A20" s="408"/>
      <c r="B20" s="431" t="s">
        <v>2503</v>
      </c>
      <c r="C20" s="2404"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4"/>
      <c r="Q20" s="1897" t="str">
        <f>B20</f>
        <v>自然及人文环境</v>
      </c>
      <c r="R20" s="753" t="s">
        <v>25</v>
      </c>
      <c r="S20" s="754">
        <f>F20</f>
        <v>100</v>
      </c>
      <c r="T20" s="753" t="s">
        <v>25</v>
      </c>
      <c r="U20" s="754">
        <f>H20</f>
        <v>100</v>
      </c>
      <c r="V20" s="753" t="s">
        <v>25</v>
      </c>
      <c r="W20" s="754">
        <f>J20</f>
        <v>100</v>
      </c>
      <c r="X20" s="1898"/>
      <c r="Y20" s="300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04"/>
      <c r="Q21" s="1897"/>
      <c r="R21" s="753"/>
      <c r="S21" s="754"/>
      <c r="T21" s="753"/>
      <c r="U21" s="754"/>
      <c r="V21" s="753"/>
      <c r="W21" s="754"/>
      <c r="X21" s="1898"/>
      <c r="Y21" s="3004"/>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4"/>
      <c r="Q22" s="1897" t="str">
        <f>B22</f>
        <v>楼层</v>
      </c>
      <c r="R22" s="753" t="s">
        <v>25</v>
      </c>
      <c r="S22" s="754">
        <f>F22</f>
        <v>100</v>
      </c>
      <c r="T22" s="753" t="s">
        <v>25</v>
      </c>
      <c r="U22" s="754">
        <f>H22</f>
        <v>100</v>
      </c>
      <c r="V22" s="753" t="s">
        <v>25</v>
      </c>
      <c r="W22" s="754">
        <f>J22</f>
        <v>100</v>
      </c>
      <c r="X22" s="1898"/>
      <c r="Y22" s="3004"/>
      <c r="Z22" s="1900" t="str">
        <f>Q22</f>
        <v>楼层</v>
      </c>
      <c r="AA22" s="1901">
        <f t="shared" si="3"/>
        <v>1</v>
      </c>
      <c r="AB22" s="1901">
        <f t="shared" si="4"/>
        <v>1</v>
      </c>
      <c r="AC22" s="1901">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4"/>
      <c r="Q23" s="1897">
        <f>B23</f>
        <v>111</v>
      </c>
      <c r="R23" s="753" t="s">
        <v>25</v>
      </c>
      <c r="S23" s="754">
        <f>F23</f>
        <v>100</v>
      </c>
      <c r="T23" s="753" t="s">
        <v>25</v>
      </c>
      <c r="U23" s="754">
        <f>H23</f>
        <v>100</v>
      </c>
      <c r="V23" s="753" t="s">
        <v>25</v>
      </c>
      <c r="W23" s="754">
        <f>J23</f>
        <v>100</v>
      </c>
      <c r="X23" s="1898"/>
      <c r="Y23" s="3004"/>
      <c r="Z23" s="1900">
        <f>Q23</f>
        <v>111</v>
      </c>
      <c r="AA23" s="1901">
        <f t="shared" si="3"/>
        <v>1</v>
      </c>
      <c r="AB23" s="1901">
        <f t="shared" si="4"/>
        <v>1</v>
      </c>
      <c r="AC23" s="1901">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4"/>
      <c r="Q24" s="1897">
        <f t="shared" ref="Q24:Q34" si="11">B24</f>
        <v>111</v>
      </c>
      <c r="R24" s="753" t="s">
        <v>25</v>
      </c>
      <c r="S24" s="754">
        <f>F24</f>
        <v>100</v>
      </c>
      <c r="T24" s="753" t="s">
        <v>25</v>
      </c>
      <c r="U24" s="754">
        <f>H24</f>
        <v>100</v>
      </c>
      <c r="V24" s="753" t="s">
        <v>25</v>
      </c>
      <c r="W24" s="754">
        <f>J24</f>
        <v>100</v>
      </c>
      <c r="X24" s="1898"/>
      <c r="Y24" s="3004"/>
      <c r="Z24" s="1900">
        <f>Q24</f>
        <v>111</v>
      </c>
      <c r="AA24" s="1901">
        <f t="shared" si="3"/>
        <v>1</v>
      </c>
      <c r="AB24" s="1901">
        <f t="shared" si="4"/>
        <v>1</v>
      </c>
      <c r="AC24" s="1901">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04"/>
      <c r="Q25" s="1885">
        <f t="shared" si="11"/>
        <v>111</v>
      </c>
      <c r="R25" s="749" t="s">
        <v>25</v>
      </c>
      <c r="S25" s="750">
        <f>F25</f>
        <v>100</v>
      </c>
      <c r="T25" s="749" t="s">
        <v>25</v>
      </c>
      <c r="U25" s="750">
        <f>H25</f>
        <v>100</v>
      </c>
      <c r="V25" s="749" t="s">
        <v>25</v>
      </c>
      <c r="W25" s="750">
        <f>J25</f>
        <v>100</v>
      </c>
      <c r="X25" s="751"/>
      <c r="Y25" s="3004"/>
      <c r="Z25" s="23">
        <f>Q25</f>
        <v>111</v>
      </c>
      <c r="AA25" s="1901">
        <f>D25/F25</f>
        <v>1</v>
      </c>
      <c r="AB25" s="1901">
        <f>D25/H25</f>
        <v>1</v>
      </c>
      <c r="AC25" s="1901">
        <f>D25/J25</f>
        <v>1</v>
      </c>
    </row>
    <row r="26" spans="1:29" ht="15">
      <c r="A26" s="447" t="s">
        <v>2363</v>
      </c>
      <c r="B26" s="28" t="s">
        <v>2507</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7"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90"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90"/>
      <c r="Q27" s="755" t="str">
        <f t="shared" si="11"/>
        <v>成新率</v>
      </c>
      <c r="R27" s="756" t="s">
        <v>25</v>
      </c>
      <c r="S27" s="757" t="e">
        <f t="shared" si="12"/>
        <v>#N/A</v>
      </c>
      <c r="T27" s="756" t="s">
        <v>25</v>
      </c>
      <c r="U27" s="757" t="e">
        <f t="shared" si="13"/>
        <v>#N/A</v>
      </c>
      <c r="V27" s="756" t="s">
        <v>25</v>
      </c>
      <c r="W27" s="757" t="e">
        <f t="shared" si="14"/>
        <v>#N/A</v>
      </c>
      <c r="X27" s="758"/>
      <c r="Y27" s="2990"/>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90"/>
      <c r="Q28" s="1897" t="str">
        <f t="shared" si="11"/>
        <v>物业等级</v>
      </c>
      <c r="R28" s="753" t="s">
        <v>25</v>
      </c>
      <c r="S28" s="754">
        <f t="shared" si="12"/>
        <v>100</v>
      </c>
      <c r="T28" s="753" t="s">
        <v>25</v>
      </c>
      <c r="U28" s="754">
        <f t="shared" si="13"/>
        <v>100</v>
      </c>
      <c r="V28" s="753" t="s">
        <v>25</v>
      </c>
      <c r="W28" s="754">
        <f t="shared" si="14"/>
        <v>100</v>
      </c>
      <c r="X28" s="1898"/>
      <c r="Y28" s="2990"/>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90"/>
      <c r="Q29" s="1897" t="str">
        <f t="shared" si="11"/>
        <v>有无电梯</v>
      </c>
      <c r="R29" s="753" t="s">
        <v>25</v>
      </c>
      <c r="S29" s="754">
        <f t="shared" si="12"/>
        <v>100</v>
      </c>
      <c r="T29" s="753" t="s">
        <v>25</v>
      </c>
      <c r="U29" s="754">
        <f t="shared" si="13"/>
        <v>100</v>
      </c>
      <c r="V29" s="753" t="s">
        <v>25</v>
      </c>
      <c r="W29" s="754">
        <f t="shared" si="14"/>
        <v>100</v>
      </c>
      <c r="X29" s="1898"/>
      <c r="Y29" s="2990"/>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90"/>
      <c r="Q30" s="1897" t="str">
        <f t="shared" si="11"/>
        <v>建筑面积</v>
      </c>
      <c r="R30" s="753" t="s">
        <v>25</v>
      </c>
      <c r="S30" s="754" t="e">
        <f t="shared" si="12"/>
        <v>#N/A</v>
      </c>
      <c r="T30" s="753" t="s">
        <v>25</v>
      </c>
      <c r="U30" s="754" t="e">
        <f t="shared" si="13"/>
        <v>#N/A</v>
      </c>
      <c r="V30" s="753" t="s">
        <v>25</v>
      </c>
      <c r="W30" s="754" t="e">
        <f t="shared" si="14"/>
        <v>#N/A</v>
      </c>
      <c r="X30" s="1898"/>
      <c r="Y30" s="2990"/>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90"/>
      <c r="Q31" s="1885" t="str">
        <f t="shared" si="11"/>
        <v>是否封闭</v>
      </c>
      <c r="R31" s="749" t="s">
        <v>25</v>
      </c>
      <c r="S31" s="750">
        <f t="shared" si="12"/>
        <v>100</v>
      </c>
      <c r="T31" s="749" t="s">
        <v>25</v>
      </c>
      <c r="U31" s="750">
        <f t="shared" si="13"/>
        <v>100</v>
      </c>
      <c r="V31" s="749" t="s">
        <v>25</v>
      </c>
      <c r="W31" s="750">
        <f t="shared" si="14"/>
        <v>100</v>
      </c>
      <c r="X31" s="751"/>
      <c r="Y31" s="2990"/>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90" t="s">
        <v>2365</v>
      </c>
      <c r="Q32" s="1897">
        <f t="shared" si="11"/>
        <v>111</v>
      </c>
      <c r="R32" s="753" t="s">
        <v>25</v>
      </c>
      <c r="S32" s="754">
        <f t="shared" si="12"/>
        <v>100</v>
      </c>
      <c r="T32" s="753" t="s">
        <v>25</v>
      </c>
      <c r="U32" s="754">
        <f t="shared" si="13"/>
        <v>100</v>
      </c>
      <c r="V32" s="753" t="s">
        <v>25</v>
      </c>
      <c r="W32" s="754">
        <f t="shared" si="14"/>
        <v>100</v>
      </c>
      <c r="X32" s="1898"/>
      <c r="Y32" s="2990" t="s">
        <v>2365</v>
      </c>
      <c r="Z32" s="1900">
        <f t="shared" si="15"/>
        <v>111</v>
      </c>
      <c r="AA32" s="1901">
        <f t="shared" si="3"/>
        <v>1</v>
      </c>
      <c r="AB32" s="1901">
        <f t="shared" si="4"/>
        <v>1</v>
      </c>
      <c r="AC32" s="1901">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90"/>
      <c r="Q33" s="1897">
        <f t="shared" si="11"/>
        <v>111</v>
      </c>
      <c r="R33" s="753" t="s">
        <v>25</v>
      </c>
      <c r="S33" s="754">
        <f t="shared" si="12"/>
        <v>100</v>
      </c>
      <c r="T33" s="753" t="s">
        <v>25</v>
      </c>
      <c r="U33" s="754">
        <f t="shared" si="13"/>
        <v>100</v>
      </c>
      <c r="V33" s="753" t="s">
        <v>25</v>
      </c>
      <c r="W33" s="754">
        <f t="shared" si="14"/>
        <v>100</v>
      </c>
      <c r="X33" s="1898"/>
      <c r="Y33" s="2990"/>
      <c r="Z33" s="1900">
        <f t="shared" si="15"/>
        <v>111</v>
      </c>
      <c r="AA33" s="1901">
        <f t="shared" si="3"/>
        <v>1</v>
      </c>
      <c r="AB33" s="1901">
        <f t="shared" si="4"/>
        <v>1</v>
      </c>
      <c r="AC33" s="1901">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ht="15">
      <c r="A35" s="460" t="s">
        <v>2377</v>
      </c>
      <c r="B35" s="461"/>
      <c r="C35" s="1500" t="s">
        <v>1</v>
      </c>
      <c r="D35" s="1501"/>
      <c r="E35" s="1502"/>
      <c r="F35" s="1503"/>
      <c r="G35" s="1504"/>
      <c r="H35" s="1505"/>
      <c r="I35" s="1502"/>
      <c r="J35" s="1505"/>
      <c r="K35" s="762"/>
      <c r="L35" s="1255"/>
      <c r="M35" s="1256"/>
      <c r="N35" s="1243"/>
      <c r="O35" s="1256"/>
      <c r="P35" s="2983" t="str">
        <f>A35</f>
        <v>成交单价（元/平方米）</v>
      </c>
      <c r="Q35" s="2983"/>
      <c r="R35" s="2984">
        <f>E35</f>
        <v>0</v>
      </c>
      <c r="S35" s="2984"/>
      <c r="T35" s="2984">
        <f>G35</f>
        <v>0</v>
      </c>
      <c r="U35" s="2984"/>
      <c r="V35" s="2984">
        <f>I35</f>
        <v>0</v>
      </c>
      <c r="W35" s="2984"/>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5"/>
      <c r="M36" s="1256"/>
      <c r="N36" s="1243"/>
      <c r="O36" s="1256"/>
      <c r="P36" s="2983" t="str">
        <f>A36</f>
        <v>比较价值（元/平方米）</v>
      </c>
      <c r="Q36" s="2983"/>
      <c r="R36" s="2984" t="e">
        <f>IF(E1="售价",ROUND(PRODUCT(R35,AA7:AA34),0),ROUND(PRODUCT(R35,AA7:AA34),1))</f>
        <v>#DIV/0!</v>
      </c>
      <c r="S36" s="2984"/>
      <c r="T36" s="2984" t="e">
        <f>IF(E1="售价",ROUND(PRODUCT(T35,AB7:AB34),0),ROUND(PRODUCT(T35,AB7:AB34),1))</f>
        <v>#DIV/0!</v>
      </c>
      <c r="U36" s="2984"/>
      <c r="V36" s="2984" t="e">
        <f>IF(E1="售价",ROUND(PRODUCT(V35,AC7:AC34),0),ROUND(PRODUCT(V35,AC7:AC34),1))</f>
        <v>#DIV/0!</v>
      </c>
      <c r="W36" s="2984"/>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5"/>
      <c r="M37" s="1256"/>
      <c r="N37" s="1256"/>
      <c r="O37" s="1256"/>
      <c r="P37" s="3057" t="str">
        <f>A37</f>
        <v>估价对象XX用房的比较价值（楼面单价，元/平方米）</v>
      </c>
      <c r="Q37" s="2982"/>
      <c r="R37" s="2986" t="e">
        <f>IF(E1="售价",ROUND(AVERAGE(R36:V36),0),ROUND(AVERAGE(R36:V36),1))</f>
        <v>#DIV/0!</v>
      </c>
      <c r="S37" s="2986"/>
      <c r="T37" s="2986"/>
      <c r="U37" s="2986"/>
      <c r="V37" s="2986"/>
      <c r="W37" s="298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2388</v>
      </c>
      <c r="B51" s="509" t="s">
        <v>2353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2363</v>
      </c>
      <c r="B77" s="509" t="s">
        <v>2416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2538</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30"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30"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30" s="35" customFormat="1" ht="15.75" thickBot="1">
      <c r="A7" s="387" t="s">
        <v>2347</v>
      </c>
      <c r="B7" s="388"/>
      <c r="C7" s="389">
        <f>'数据-取费表'!B2</f>
        <v>43257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45" si="3">D8/F8</f>
        <v>#DIV/0!</v>
      </c>
      <c r="AB8" s="752" t="e">
        <f t="shared" ref="AB8:AB45" si="4">D8/H8</f>
        <v>#DIV/0!</v>
      </c>
      <c r="AC8" s="752" t="e">
        <f t="shared" ref="AC8:AC45" si="5">D8/J8</f>
        <v>#DIV/0!</v>
      </c>
    </row>
    <row r="9" spans="1:30" s="35" customFormat="1">
      <c r="A9" s="395" t="s">
        <v>2352</v>
      </c>
      <c r="B9" s="28" t="s">
        <v>2353</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298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8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30" s="35" customFormat="1" ht="15">
      <c r="A12" s="411"/>
      <c r="B12" s="2397" t="s">
        <v>2541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83"/>
      <c r="Q12" s="1885" t="str">
        <f t="shared" si="6"/>
        <v>配建</v>
      </c>
      <c r="R12" s="749" t="s">
        <v>25</v>
      </c>
      <c r="S12" s="750">
        <f t="shared" si="0"/>
        <v>100</v>
      </c>
      <c r="T12" s="749" t="s">
        <v>25</v>
      </c>
      <c r="U12" s="750">
        <f t="shared" si="1"/>
        <v>100</v>
      </c>
      <c r="V12" s="749" t="s">
        <v>25</v>
      </c>
      <c r="W12" s="750">
        <f t="shared" si="2"/>
        <v>100</v>
      </c>
      <c r="X12" s="751"/>
      <c r="Y12" s="284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83"/>
      <c r="Q14" s="1885">
        <f t="shared" si="6"/>
        <v>111</v>
      </c>
      <c r="R14" s="749" t="s">
        <v>25</v>
      </c>
      <c r="S14" s="750">
        <f t="shared" si="0"/>
        <v>100</v>
      </c>
      <c r="T14" s="749" t="s">
        <v>25</v>
      </c>
      <c r="U14" s="750">
        <f t="shared" si="1"/>
        <v>100</v>
      </c>
      <c r="V14" s="749" t="s">
        <v>25</v>
      </c>
      <c r="W14" s="750">
        <f t="shared" si="2"/>
        <v>100</v>
      </c>
      <c r="X14" s="751"/>
      <c r="Y14" s="2843"/>
      <c r="Z14" s="23">
        <f t="shared" si="7"/>
        <v>111</v>
      </c>
      <c r="AA14" s="752">
        <f>D14/F14</f>
        <v>1</v>
      </c>
      <c r="AB14" s="752">
        <f>D14/H14</f>
        <v>1</v>
      </c>
      <c r="AC14" s="752">
        <f>D14/J14</f>
        <v>1</v>
      </c>
    </row>
    <row r="15" spans="1:30" ht="15">
      <c r="A15" s="380" t="s">
        <v>2358</v>
      </c>
      <c r="B15" s="1485" t="s">
        <v>1734</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3" t="s">
        <v>2359</v>
      </c>
      <c r="Q15" s="1897" t="str">
        <f t="shared" si="6"/>
        <v>居住社区成熟度</v>
      </c>
      <c r="R15" s="753" t="s">
        <v>25</v>
      </c>
      <c r="S15" s="754">
        <f t="shared" si="0"/>
        <v>100</v>
      </c>
      <c r="T15" s="753" t="s">
        <v>25</v>
      </c>
      <c r="U15" s="754">
        <f t="shared" si="1"/>
        <v>100</v>
      </c>
      <c r="V15" s="753" t="s">
        <v>25</v>
      </c>
      <c r="W15" s="754">
        <f t="shared" si="2"/>
        <v>100</v>
      </c>
      <c r="X15" s="1898"/>
      <c r="Y15" s="3003" t="s">
        <v>2359</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2"/>
      <c r="J16" s="427"/>
      <c r="K16" s="655"/>
      <c r="L16" s="1252"/>
      <c r="M16" s="1243"/>
      <c r="N16" s="1243"/>
      <c r="O16" s="1251"/>
      <c r="P16" s="3004"/>
      <c r="Q16" s="1897"/>
      <c r="R16" s="753"/>
      <c r="S16" s="754"/>
      <c r="T16" s="753"/>
      <c r="U16" s="754"/>
      <c r="V16" s="753"/>
      <c r="W16" s="754"/>
      <c r="X16" s="1898"/>
      <c r="Y16" s="3004"/>
      <c r="Z16" s="1900"/>
      <c r="AA16" s="1901">
        <v>1</v>
      </c>
      <c r="AB16" s="1901">
        <v>1</v>
      </c>
      <c r="AC16" s="1901">
        <v>1</v>
      </c>
    </row>
    <row r="17" spans="1:29" ht="15">
      <c r="A17" s="383"/>
      <c r="B17" s="1487" t="s">
        <v>2444</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4"/>
      <c r="Q17" s="1897" t="str">
        <f>B17</f>
        <v>商业繁华度</v>
      </c>
      <c r="R17" s="753" t="s">
        <v>25</v>
      </c>
      <c r="S17" s="754">
        <f>F17</f>
        <v>100</v>
      </c>
      <c r="T17" s="753" t="s">
        <v>25</v>
      </c>
      <c r="U17" s="754">
        <f>H17</f>
        <v>100</v>
      </c>
      <c r="V17" s="753" t="s">
        <v>25</v>
      </c>
      <c r="W17" s="754">
        <f>J17</f>
        <v>100</v>
      </c>
      <c r="X17" s="1898"/>
      <c r="Y17" s="3004"/>
      <c r="Z17" s="1900" t="str">
        <f>Q17</f>
        <v>商业繁华度</v>
      </c>
      <c r="AA17" s="1901">
        <f t="shared" si="3"/>
        <v>1</v>
      </c>
      <c r="AB17" s="1901">
        <f t="shared" si="4"/>
        <v>1</v>
      </c>
      <c r="AC17" s="1901">
        <f t="shared" si="5"/>
        <v>1</v>
      </c>
    </row>
    <row r="18" spans="1:29" ht="15">
      <c r="A18" s="383"/>
      <c r="B18" s="1488"/>
      <c r="C18" s="2467"/>
      <c r="D18" s="430"/>
      <c r="E18" s="1466"/>
      <c r="F18" s="430"/>
      <c r="G18" s="1466"/>
      <c r="H18" s="427"/>
      <c r="I18" s="2405"/>
      <c r="J18" s="427"/>
      <c r="K18" s="655"/>
      <c r="L18" s="1252"/>
      <c r="M18" s="1243"/>
      <c r="N18" s="1243"/>
      <c r="O18" s="1251"/>
      <c r="P18" s="3004"/>
      <c r="Q18" s="1897"/>
      <c r="R18" s="753"/>
      <c r="S18" s="754"/>
      <c r="T18" s="753"/>
      <c r="U18" s="754"/>
      <c r="V18" s="753"/>
      <c r="W18" s="754"/>
      <c r="X18" s="1898"/>
      <c r="Y18" s="3004"/>
      <c r="Z18" s="1900"/>
      <c r="AA18" s="1901">
        <v>1</v>
      </c>
      <c r="AB18" s="1901">
        <v>1</v>
      </c>
      <c r="AC18" s="1901">
        <v>1</v>
      </c>
    </row>
    <row r="19" spans="1:29" ht="15">
      <c r="A19" s="383"/>
      <c r="B19" s="1487" t="s">
        <v>2473</v>
      </c>
      <c r="C19" s="2483" t="str">
        <f>估价对象房地状况!C17</f>
        <v>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4"/>
      <c r="Q19" s="1897" t="str">
        <f>B19</f>
        <v>办公集聚程度</v>
      </c>
      <c r="R19" s="753" t="s">
        <v>25</v>
      </c>
      <c r="S19" s="754">
        <f>F19</f>
        <v>100</v>
      </c>
      <c r="T19" s="753" t="s">
        <v>25</v>
      </c>
      <c r="U19" s="754">
        <f>H19</f>
        <v>100</v>
      </c>
      <c r="V19" s="753" t="s">
        <v>25</v>
      </c>
      <c r="W19" s="754">
        <f>J19</f>
        <v>100</v>
      </c>
      <c r="X19" s="1898"/>
      <c r="Y19" s="3004"/>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2"/>
      <c r="J20" s="427"/>
      <c r="K20" s="655"/>
      <c r="L20" s="1252"/>
      <c r="M20" s="1243"/>
      <c r="N20" s="1243"/>
      <c r="O20" s="1251"/>
      <c r="P20" s="3004"/>
      <c r="Q20" s="1897"/>
      <c r="R20" s="753"/>
      <c r="S20" s="754"/>
      <c r="T20" s="753"/>
      <c r="U20" s="754"/>
      <c r="V20" s="753"/>
      <c r="W20" s="754"/>
      <c r="X20" s="1898"/>
      <c r="Y20" s="3004"/>
      <c r="Z20" s="1900"/>
      <c r="AA20" s="1901">
        <v>1</v>
      </c>
      <c r="AB20" s="1901">
        <v>1</v>
      </c>
      <c r="AC20" s="1901">
        <v>1</v>
      </c>
    </row>
    <row r="21" spans="1:29" ht="15">
      <c r="A21" s="383"/>
      <c r="B21" s="1487" t="s">
        <v>2502</v>
      </c>
      <c r="C21" s="2466"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4"/>
      <c r="Q21" s="1897" t="str">
        <f>B21</f>
        <v>交通便捷度</v>
      </c>
      <c r="R21" s="753" t="s">
        <v>25</v>
      </c>
      <c r="S21" s="754">
        <f>F21</f>
        <v>100</v>
      </c>
      <c r="T21" s="753" t="s">
        <v>25</v>
      </c>
      <c r="U21" s="754">
        <f>H21</f>
        <v>100</v>
      </c>
      <c r="V21" s="753" t="s">
        <v>25</v>
      </c>
      <c r="W21" s="754">
        <f>J21</f>
        <v>100</v>
      </c>
      <c r="X21" s="1898"/>
      <c r="Y21" s="3004"/>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2"/>
      <c r="J22" s="427"/>
      <c r="K22" s="655"/>
      <c r="L22" s="1252"/>
      <c r="M22" s="1243"/>
      <c r="N22" s="1243"/>
      <c r="O22" s="1251"/>
      <c r="P22" s="3004"/>
      <c r="Q22" s="1897"/>
      <c r="R22" s="753"/>
      <c r="S22" s="754"/>
      <c r="T22" s="753"/>
      <c r="U22" s="754"/>
      <c r="V22" s="753"/>
      <c r="W22" s="754"/>
      <c r="X22" s="1898"/>
      <c r="Y22" s="3004"/>
      <c r="Z22" s="1900"/>
      <c r="AA22" s="1901">
        <v>1</v>
      </c>
      <c r="AB22" s="1901">
        <v>1</v>
      </c>
      <c r="AC22" s="1901">
        <v>1</v>
      </c>
    </row>
    <row r="23" spans="1:29" ht="15">
      <c r="A23" s="383"/>
      <c r="B23" s="1490" t="s">
        <v>2542</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4"/>
      <c r="Q23" s="1897" t="str">
        <f t="shared" ref="Q23:Q37" si="8">B23</f>
        <v>区域土地利用方向</v>
      </c>
      <c r="R23" s="753" t="s">
        <v>25</v>
      </c>
      <c r="S23" s="754">
        <f>F23</f>
        <v>100</v>
      </c>
      <c r="T23" s="753" t="s">
        <v>25</v>
      </c>
      <c r="U23" s="754">
        <f>H23</f>
        <v>100</v>
      </c>
      <c r="V23" s="753" t="s">
        <v>25</v>
      </c>
      <c r="W23" s="754">
        <f>J23</f>
        <v>100</v>
      </c>
      <c r="X23" s="1898"/>
      <c r="Y23" s="3004"/>
      <c r="Z23" s="1900" t="str">
        <f>Q23</f>
        <v>区域土地利用方向</v>
      </c>
      <c r="AA23" s="1901">
        <f t="shared" si="3"/>
        <v>1</v>
      </c>
      <c r="AB23" s="1901">
        <f t="shared" si="4"/>
        <v>1</v>
      </c>
      <c r="AC23" s="1901">
        <f t="shared" si="5"/>
        <v>1</v>
      </c>
    </row>
    <row r="24" spans="1:29" ht="15">
      <c r="A24" s="383"/>
      <c r="B24" s="1491"/>
      <c r="C24" s="618"/>
      <c r="D24" s="427"/>
      <c r="E24" s="428"/>
      <c r="F24" s="427"/>
      <c r="G24" s="2402"/>
      <c r="H24" s="427"/>
      <c r="I24" s="2402"/>
      <c r="J24" s="427"/>
      <c r="K24" s="804"/>
      <c r="L24" s="1252"/>
      <c r="M24" s="1243"/>
      <c r="N24" s="1243"/>
      <c r="O24" s="1251"/>
      <c r="P24" s="3004"/>
      <c r="Q24" s="1897"/>
      <c r="R24" s="753"/>
      <c r="S24" s="754"/>
      <c r="T24" s="753"/>
      <c r="U24" s="754"/>
      <c r="V24" s="753"/>
      <c r="W24" s="754"/>
      <c r="X24" s="1898"/>
      <c r="Y24" s="3004"/>
      <c r="Z24" s="1900"/>
      <c r="AA24" s="1901"/>
      <c r="AB24" s="1901"/>
      <c r="AC24" s="1901"/>
    </row>
    <row r="25" spans="1:29" ht="27">
      <c r="A25" s="383"/>
      <c r="B25" s="1489" t="s">
        <v>2543</v>
      </c>
      <c r="C25" s="2483"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4"/>
      <c r="Q25" s="1897" t="str">
        <f t="shared" si="8"/>
        <v>自然及人文环境状况</v>
      </c>
      <c r="R25" s="753" t="s">
        <v>25</v>
      </c>
      <c r="S25" s="754">
        <f>F25</f>
        <v>100</v>
      </c>
      <c r="T25" s="753" t="s">
        <v>25</v>
      </c>
      <c r="U25" s="754">
        <f>H25</f>
        <v>100</v>
      </c>
      <c r="V25" s="753" t="s">
        <v>25</v>
      </c>
      <c r="W25" s="754">
        <f>J25</f>
        <v>100</v>
      </c>
      <c r="X25" s="1898"/>
      <c r="Y25" s="3004"/>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04"/>
      <c r="Q26" s="1897"/>
      <c r="R26" s="753"/>
      <c r="S26" s="754"/>
      <c r="T26" s="753"/>
      <c r="U26" s="754"/>
      <c r="V26" s="753"/>
      <c r="W26" s="754"/>
      <c r="X26" s="1898"/>
      <c r="Y26" s="3004"/>
      <c r="Z26" s="1900"/>
      <c r="AA26" s="1901">
        <v>1</v>
      </c>
      <c r="AB26" s="1901">
        <v>1</v>
      </c>
      <c r="AC26" s="1901">
        <v>1</v>
      </c>
    </row>
    <row r="27" spans="1:29" ht="15">
      <c r="A27" s="383"/>
      <c r="B27" s="1489" t="s">
        <v>2445</v>
      </c>
      <c r="C27" s="2466"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04"/>
      <c r="Q27" s="1885" t="str">
        <f t="shared" ref="Q27" si="9">B27</f>
        <v>公共配套设施</v>
      </c>
      <c r="R27" s="749" t="s">
        <v>25</v>
      </c>
      <c r="S27" s="750">
        <f>F27</f>
        <v>100</v>
      </c>
      <c r="T27" s="749" t="s">
        <v>25</v>
      </c>
      <c r="U27" s="750">
        <f>H27</f>
        <v>100</v>
      </c>
      <c r="V27" s="749" t="s">
        <v>25</v>
      </c>
      <c r="W27" s="750">
        <f>J27</f>
        <v>100</v>
      </c>
      <c r="X27" s="1898"/>
      <c r="Y27" s="3004"/>
      <c r="Z27" s="23" t="str">
        <f>Q27</f>
        <v>公共配套设施</v>
      </c>
      <c r="AA27" s="1901">
        <f>D27/F27</f>
        <v>1</v>
      </c>
      <c r="AB27" s="1901">
        <f>D27/H27</f>
        <v>1</v>
      </c>
      <c r="AC27" s="1901">
        <f>D27/J27</f>
        <v>1</v>
      </c>
    </row>
    <row r="28" spans="1:29" ht="15">
      <c r="A28" s="383"/>
      <c r="B28" s="1488"/>
      <c r="C28" s="2485"/>
      <c r="D28" s="427"/>
      <c r="E28" s="2485"/>
      <c r="F28" s="427"/>
      <c r="G28" s="2485"/>
      <c r="H28" s="427"/>
      <c r="I28" s="2485"/>
      <c r="J28" s="427"/>
      <c r="K28" s="655"/>
      <c r="L28" s="1252"/>
      <c r="M28" s="1243"/>
      <c r="N28" s="1243"/>
      <c r="O28" s="1251"/>
      <c r="P28" s="3004"/>
      <c r="Q28" s="1897"/>
      <c r="R28" s="753"/>
      <c r="S28" s="754"/>
      <c r="T28" s="753"/>
      <c r="U28" s="754"/>
      <c r="V28" s="753"/>
      <c r="W28" s="754"/>
      <c r="X28" s="1898"/>
      <c r="Y28" s="3004"/>
      <c r="Z28" s="23"/>
      <c r="AA28" s="1901">
        <v>1</v>
      </c>
      <c r="AB28" s="1901">
        <v>1</v>
      </c>
      <c r="AC28" s="1901">
        <v>1</v>
      </c>
    </row>
    <row r="29" spans="1:29" s="35" customFormat="1" ht="15">
      <c r="A29" s="633"/>
      <c r="B29" s="1489" t="s">
        <v>2446</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04"/>
      <c r="Q29" s="1885" t="str">
        <f t="shared" si="8"/>
        <v>基础设施水平</v>
      </c>
      <c r="R29" s="749" t="s">
        <v>25</v>
      </c>
      <c r="S29" s="750">
        <f>F29</f>
        <v>100</v>
      </c>
      <c r="T29" s="749" t="s">
        <v>25</v>
      </c>
      <c r="U29" s="750">
        <f>H29</f>
        <v>100</v>
      </c>
      <c r="V29" s="749" t="s">
        <v>25</v>
      </c>
      <c r="W29" s="750">
        <f>J29</f>
        <v>100</v>
      </c>
      <c r="X29" s="751"/>
      <c r="Y29" s="3004"/>
      <c r="Z29" s="23" t="str">
        <f>Q29</f>
        <v>基础设施水平</v>
      </c>
      <c r="AA29" s="1901">
        <f>D29/F29</f>
        <v>1</v>
      </c>
      <c r="AB29" s="1901">
        <f>D29/H29</f>
        <v>1</v>
      </c>
      <c r="AC29" s="1901">
        <f>D29/J29</f>
        <v>1</v>
      </c>
    </row>
    <row r="30" spans="1:29" s="35" customFormat="1" ht="15">
      <c r="A30" s="633"/>
      <c r="B30" s="1488"/>
      <c r="C30" s="2485"/>
      <c r="D30" s="427"/>
      <c r="E30" s="2485"/>
      <c r="F30" s="427"/>
      <c r="G30" s="2485"/>
      <c r="H30" s="427"/>
      <c r="I30" s="2485"/>
      <c r="J30" s="427"/>
      <c r="K30" s="655"/>
      <c r="L30" s="1244"/>
      <c r="M30" s="1245"/>
      <c r="N30" s="1245"/>
      <c r="O30" s="1246"/>
      <c r="P30" s="3004"/>
      <c r="Q30" s="1885"/>
      <c r="R30" s="749"/>
      <c r="S30" s="750"/>
      <c r="T30" s="749"/>
      <c r="U30" s="750"/>
      <c r="V30" s="749"/>
      <c r="W30" s="750"/>
      <c r="X30" s="751"/>
      <c r="Y30" s="3004"/>
      <c r="Z30" s="23"/>
      <c r="AA30" s="1901">
        <v>1</v>
      </c>
      <c r="AB30" s="1901">
        <v>1</v>
      </c>
      <c r="AC30" s="1901">
        <v>1</v>
      </c>
    </row>
    <row r="31" spans="1:29" ht="15">
      <c r="A31" s="383"/>
      <c r="B31" s="1488"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04"/>
      <c r="Z31" s="1900" t="str">
        <f t="shared" ref="Z31:Z45" si="13">Q31</f>
        <v>临街状况</v>
      </c>
      <c r="AA31" s="1901">
        <f t="shared" si="3"/>
        <v>1</v>
      </c>
      <c r="AB31" s="1901">
        <f t="shared" si="4"/>
        <v>1</v>
      </c>
      <c r="AC31" s="1901">
        <f t="shared" si="5"/>
        <v>1</v>
      </c>
    </row>
    <row r="32" spans="1:29" ht="27">
      <c r="A32" s="383"/>
      <c r="B32" s="1489"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4"/>
      <c r="Q32" s="1897" t="str">
        <f t="shared" si="8"/>
        <v>毗邻道路的类型与等级</v>
      </c>
      <c r="R32" s="753" t="s">
        <v>25</v>
      </c>
      <c r="S32" s="754">
        <f t="shared" si="10"/>
        <v>100</v>
      </c>
      <c r="T32" s="753" t="s">
        <v>25</v>
      </c>
      <c r="U32" s="754">
        <f t="shared" si="11"/>
        <v>100</v>
      </c>
      <c r="V32" s="753" t="s">
        <v>25</v>
      </c>
      <c r="W32" s="754">
        <f t="shared" si="12"/>
        <v>100</v>
      </c>
      <c r="X32" s="1898"/>
      <c r="Y32" s="3004"/>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04"/>
      <c r="Q33" s="1897"/>
      <c r="R33" s="753"/>
      <c r="S33" s="754"/>
      <c r="T33" s="753"/>
      <c r="U33" s="754"/>
      <c r="V33" s="753"/>
      <c r="W33" s="754"/>
      <c r="X33" s="1898"/>
      <c r="Y33" s="3004"/>
      <c r="Z33" s="1900"/>
      <c r="AA33" s="1901">
        <v>1</v>
      </c>
      <c r="AB33" s="1901">
        <v>1</v>
      </c>
      <c r="AC33" s="1901">
        <v>1</v>
      </c>
    </row>
    <row r="34" spans="1:29" ht="15">
      <c r="A34" s="383"/>
      <c r="B34" s="1492"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4"/>
      <c r="Q34" s="1897" t="str">
        <f t="shared" si="8"/>
        <v>土地级别</v>
      </c>
      <c r="R34" s="753" t="s">
        <v>25</v>
      </c>
      <c r="S34" s="754">
        <f t="shared" si="10"/>
        <v>100</v>
      </c>
      <c r="T34" s="753" t="s">
        <v>25</v>
      </c>
      <c r="U34" s="754">
        <f t="shared" si="11"/>
        <v>100</v>
      </c>
      <c r="V34" s="753" t="s">
        <v>25</v>
      </c>
      <c r="W34" s="754">
        <f t="shared" si="12"/>
        <v>100</v>
      </c>
      <c r="X34" s="1898"/>
      <c r="Y34" s="3004"/>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4"/>
      <c r="Q35" s="1897">
        <f t="shared" si="8"/>
        <v>111</v>
      </c>
      <c r="R35" s="753" t="s">
        <v>25</v>
      </c>
      <c r="S35" s="754">
        <f t="shared" si="10"/>
        <v>100</v>
      </c>
      <c r="T35" s="753" t="s">
        <v>25</v>
      </c>
      <c r="U35" s="754">
        <f t="shared" si="11"/>
        <v>100</v>
      </c>
      <c r="V35" s="753" t="s">
        <v>25</v>
      </c>
      <c r="W35" s="754">
        <f t="shared" si="12"/>
        <v>100</v>
      </c>
      <c r="X35" s="1898"/>
      <c r="Y35" s="3004"/>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7" t="s">
        <v>2365</v>
      </c>
      <c r="Q36" s="1897">
        <f t="shared" si="8"/>
        <v>111</v>
      </c>
      <c r="R36" s="753" t="s">
        <v>25</v>
      </c>
      <c r="S36" s="754">
        <f t="shared" si="10"/>
        <v>100</v>
      </c>
      <c r="T36" s="753" t="s">
        <v>25</v>
      </c>
      <c r="U36" s="754">
        <f t="shared" si="11"/>
        <v>100</v>
      </c>
      <c r="V36" s="753" t="s">
        <v>25</v>
      </c>
      <c r="W36" s="754">
        <f t="shared" si="12"/>
        <v>100</v>
      </c>
      <c r="X36" s="1898"/>
      <c r="Y36" s="2990" t="s">
        <v>2365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90"/>
      <c r="Q37" s="1897">
        <f t="shared" si="8"/>
        <v>111</v>
      </c>
      <c r="R37" s="756" t="s">
        <v>25</v>
      </c>
      <c r="S37" s="757">
        <f t="shared" si="10"/>
        <v>100</v>
      </c>
      <c r="T37" s="756" t="s">
        <v>25</v>
      </c>
      <c r="U37" s="757">
        <f t="shared" si="11"/>
        <v>100</v>
      </c>
      <c r="V37" s="756" t="s">
        <v>25</v>
      </c>
      <c r="W37" s="757">
        <f t="shared" si="12"/>
        <v>100</v>
      </c>
      <c r="X37" s="758"/>
      <c r="Y37" s="2990"/>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90"/>
      <c r="Q38" s="1897" t="str">
        <f>B38</f>
        <v>宗地面积</v>
      </c>
      <c r="R38" s="753" t="s">
        <v>25</v>
      </c>
      <c r="S38" s="754" t="e">
        <f t="shared" si="10"/>
        <v>#N/A</v>
      </c>
      <c r="T38" s="753" t="s">
        <v>25</v>
      </c>
      <c r="U38" s="754" t="e">
        <f t="shared" si="11"/>
        <v>#N/A</v>
      </c>
      <c r="V38" s="753" t="s">
        <v>25</v>
      </c>
      <c r="W38" s="754" t="e">
        <f t="shared" si="12"/>
        <v>#N/A</v>
      </c>
      <c r="X38" s="1898"/>
      <c r="Y38" s="2990"/>
      <c r="Z38" s="1900" t="str">
        <f t="shared" si="13"/>
        <v>宗地面积</v>
      </c>
      <c r="AA38" s="1901" t="e">
        <f t="shared" si="3"/>
        <v>#N/A</v>
      </c>
      <c r="AB38" s="1901" t="e">
        <f t="shared" si="4"/>
        <v>#N/A</v>
      </c>
      <c r="AC38" s="1901" t="e">
        <f t="shared" si="5"/>
        <v>#N/A</v>
      </c>
    </row>
    <row r="39" spans="1:29" ht="15">
      <c r="A39" s="453"/>
      <c r="B39" s="402" t="s">
        <v>2546</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2990"/>
      <c r="Q39" s="1897" t="str">
        <f t="shared" ref="Q39:Q45" si="14">B39</f>
        <v>宗地形状</v>
      </c>
      <c r="R39" s="753" t="s">
        <v>25</v>
      </c>
      <c r="S39" s="754">
        <f t="shared" si="10"/>
        <v>100</v>
      </c>
      <c r="T39" s="753" t="s">
        <v>25</v>
      </c>
      <c r="U39" s="754">
        <f t="shared" si="11"/>
        <v>100</v>
      </c>
      <c r="V39" s="753" t="s">
        <v>25</v>
      </c>
      <c r="W39" s="754">
        <f t="shared" si="12"/>
        <v>100</v>
      </c>
      <c r="X39" s="1898"/>
      <c r="Y39" s="2990"/>
      <c r="Z39" s="1900" t="str">
        <f t="shared" si="13"/>
        <v>宗地形状</v>
      </c>
      <c r="AA39" s="1901">
        <f t="shared" si="3"/>
        <v>1</v>
      </c>
      <c r="AB39" s="1901">
        <f t="shared" si="4"/>
        <v>1</v>
      </c>
      <c r="AC39" s="1901">
        <f t="shared" si="5"/>
        <v>1</v>
      </c>
    </row>
    <row r="40" spans="1:29" ht="15">
      <c r="A40" s="453"/>
      <c r="B40" s="402" t="s">
        <v>2547</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2990"/>
      <c r="Q40" s="1897" t="str">
        <f t="shared" si="14"/>
        <v>临街宽度及深度</v>
      </c>
      <c r="R40" s="753" t="s">
        <v>25</v>
      </c>
      <c r="S40" s="754">
        <f t="shared" si="10"/>
        <v>100</v>
      </c>
      <c r="T40" s="753" t="s">
        <v>25</v>
      </c>
      <c r="U40" s="754">
        <f t="shared" si="11"/>
        <v>100</v>
      </c>
      <c r="V40" s="753" t="s">
        <v>25</v>
      </c>
      <c r="W40" s="754">
        <f t="shared" si="12"/>
        <v>100</v>
      </c>
      <c r="X40" s="1898"/>
      <c r="Y40" s="2990"/>
      <c r="Z40" s="1900" t="str">
        <f t="shared" si="13"/>
        <v>临街宽度及深度</v>
      </c>
      <c r="AA40" s="1901">
        <f t="shared" si="3"/>
        <v>1</v>
      </c>
      <c r="AB40" s="1901">
        <f t="shared" si="4"/>
        <v>1</v>
      </c>
      <c r="AC40" s="1901">
        <f t="shared" si="5"/>
        <v>1</v>
      </c>
    </row>
    <row r="41" spans="1:29" s="35" customFormat="1" ht="15">
      <c r="A41" s="454"/>
      <c r="B41" s="402" t="s">
        <v>2548</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2990"/>
      <c r="Q41" s="1897" t="str">
        <f t="shared" si="14"/>
        <v>宗地开发程度</v>
      </c>
      <c r="R41" s="749" t="s">
        <v>25</v>
      </c>
      <c r="S41" s="750">
        <f t="shared" si="10"/>
        <v>100</v>
      </c>
      <c r="T41" s="749" t="s">
        <v>25</v>
      </c>
      <c r="U41" s="750">
        <f t="shared" si="11"/>
        <v>100</v>
      </c>
      <c r="V41" s="749" t="s">
        <v>25</v>
      </c>
      <c r="W41" s="750">
        <f t="shared" si="12"/>
        <v>100</v>
      </c>
      <c r="X41" s="751"/>
      <c r="Y41" s="2990"/>
      <c r="Z41" s="23" t="str">
        <f t="shared" si="13"/>
        <v>宗地开发程度</v>
      </c>
      <c r="AA41" s="752">
        <f t="shared" si="3"/>
        <v>1</v>
      </c>
      <c r="AB41" s="752">
        <f t="shared" si="4"/>
        <v>1</v>
      </c>
      <c r="AC41" s="752">
        <f t="shared" si="5"/>
        <v>1</v>
      </c>
    </row>
    <row r="42" spans="1:29" ht="15">
      <c r="A42" s="453"/>
      <c r="B42" s="402" t="s">
        <v>2549</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2990" t="s">
        <v>2365</v>
      </c>
      <c r="Q42" s="1897" t="str">
        <f t="shared" si="14"/>
        <v>工程地质条件</v>
      </c>
      <c r="R42" s="753" t="s">
        <v>25</v>
      </c>
      <c r="S42" s="754">
        <f t="shared" si="10"/>
        <v>100</v>
      </c>
      <c r="T42" s="753" t="s">
        <v>25</v>
      </c>
      <c r="U42" s="754">
        <f t="shared" si="11"/>
        <v>100</v>
      </c>
      <c r="V42" s="753" t="s">
        <v>25</v>
      </c>
      <c r="W42" s="754">
        <f t="shared" si="12"/>
        <v>100</v>
      </c>
      <c r="X42" s="1898"/>
      <c r="Y42" s="2990" t="s">
        <v>2365</v>
      </c>
      <c r="Z42" s="1900" t="str">
        <f t="shared" si="13"/>
        <v>工程地质条件</v>
      </c>
      <c r="AA42" s="1901">
        <f t="shared" si="3"/>
        <v>1</v>
      </c>
      <c r="AB42" s="1901">
        <f t="shared" si="4"/>
        <v>1</v>
      </c>
      <c r="AC42" s="1901">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90"/>
      <c r="Q43" s="1897">
        <f t="shared" si="14"/>
        <v>111</v>
      </c>
      <c r="R43" s="753" t="s">
        <v>25</v>
      </c>
      <c r="S43" s="754">
        <f t="shared" si="10"/>
        <v>100</v>
      </c>
      <c r="T43" s="753" t="s">
        <v>25</v>
      </c>
      <c r="U43" s="754">
        <f t="shared" si="11"/>
        <v>100</v>
      </c>
      <c r="V43" s="753" t="s">
        <v>25</v>
      </c>
      <c r="W43" s="754">
        <f t="shared" si="12"/>
        <v>100</v>
      </c>
      <c r="X43" s="1898"/>
      <c r="Y43" s="2990"/>
      <c r="Z43" s="1900">
        <f t="shared" si="13"/>
        <v>111</v>
      </c>
      <c r="AA43" s="1901">
        <f t="shared" si="3"/>
        <v>1</v>
      </c>
      <c r="AB43" s="1901">
        <f t="shared" si="4"/>
        <v>1</v>
      </c>
      <c r="AC43" s="1901">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90"/>
      <c r="Q44" s="1897">
        <f t="shared" si="14"/>
        <v>111</v>
      </c>
      <c r="R44" s="753" t="s">
        <v>25</v>
      </c>
      <c r="S44" s="754">
        <f t="shared" si="10"/>
        <v>100</v>
      </c>
      <c r="T44" s="753" t="s">
        <v>25</v>
      </c>
      <c r="U44" s="754">
        <f t="shared" si="11"/>
        <v>100</v>
      </c>
      <c r="V44" s="753" t="s">
        <v>25</v>
      </c>
      <c r="W44" s="754">
        <f t="shared" si="12"/>
        <v>100</v>
      </c>
      <c r="X44" s="1898"/>
      <c r="Y44" s="2990"/>
      <c r="Z44" s="1900">
        <f t="shared" si="13"/>
        <v>111</v>
      </c>
      <c r="AA44" s="1901">
        <f t="shared" si="3"/>
        <v>1</v>
      </c>
      <c r="AB44" s="1901">
        <f t="shared" si="4"/>
        <v>1</v>
      </c>
      <c r="AC44" s="1901">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90"/>
      <c r="Q45" s="1897">
        <f t="shared" si="14"/>
        <v>111</v>
      </c>
      <c r="R45" s="756" t="s">
        <v>25</v>
      </c>
      <c r="S45" s="757">
        <f t="shared" si="10"/>
        <v>100</v>
      </c>
      <c r="T45" s="756" t="s">
        <v>25</v>
      </c>
      <c r="U45" s="757">
        <f t="shared" si="11"/>
        <v>100</v>
      </c>
      <c r="V45" s="756" t="s">
        <v>25</v>
      </c>
      <c r="W45" s="757">
        <f t="shared" si="12"/>
        <v>100</v>
      </c>
      <c r="X45" s="758"/>
      <c r="Y45" s="2990"/>
      <c r="Z45" s="759">
        <f t="shared" si="13"/>
        <v>111</v>
      </c>
      <c r="AA45" s="1901">
        <f t="shared" si="3"/>
        <v>1</v>
      </c>
      <c r="AB45" s="1901">
        <f t="shared" si="4"/>
        <v>1</v>
      </c>
      <c r="AC45" s="1901">
        <f t="shared" si="5"/>
        <v>1</v>
      </c>
    </row>
    <row r="46" spans="1:29" ht="15">
      <c r="A46" s="460" t="s">
        <v>2513</v>
      </c>
      <c r="B46" s="2490" t="s">
        <v>2550</v>
      </c>
      <c r="C46" s="665" t="s">
        <v>1</v>
      </c>
      <c r="D46" s="462"/>
      <c r="E46" s="463"/>
      <c r="F46" s="464"/>
      <c r="G46" s="465"/>
      <c r="H46" s="466"/>
      <c r="I46" s="463"/>
      <c r="J46" s="466"/>
      <c r="K46" s="762"/>
      <c r="L46" s="1255"/>
      <c r="M46" s="1256"/>
      <c r="N46" s="1243"/>
      <c r="O46" s="1256"/>
      <c r="P46" s="2983" t="str">
        <f>A46</f>
        <v>成交单价</v>
      </c>
      <c r="Q46" s="2983"/>
      <c r="R46" s="3016">
        <f>E46</f>
        <v>0</v>
      </c>
      <c r="S46" s="3016"/>
      <c r="T46" s="3016">
        <f>G46</f>
        <v>0</v>
      </c>
      <c r="U46" s="3016"/>
      <c r="V46" s="3016">
        <f>I46</f>
        <v>0</v>
      </c>
      <c r="W46" s="3016"/>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5"/>
      <c r="M47" s="1256"/>
      <c r="N47" s="1256"/>
      <c r="O47" s="1256"/>
      <c r="P47" s="2983" t="str">
        <f>A47</f>
        <v>比较价值（元/平方米）</v>
      </c>
      <c r="Q47" s="2983"/>
      <c r="R47" s="3068" t="e">
        <f>ROUND(PRODUCT(R46,AA7:AA45),0)</f>
        <v>#DIV/0!</v>
      </c>
      <c r="S47" s="3068"/>
      <c r="T47" s="3068" t="e">
        <f>ROUND(PRODUCT(T46,AB7:AB45),0)</f>
        <v>#DIV/0!</v>
      </c>
      <c r="U47" s="3068"/>
      <c r="V47" s="3068" t="e">
        <f>ROUND(PRODUCT(V46,AC7:AC45),0)</f>
        <v>#DIV/0!</v>
      </c>
      <c r="W47" s="306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5"/>
      <c r="M48" s="1256"/>
      <c r="N48" s="1256"/>
      <c r="O48" s="1256"/>
      <c r="P48" s="3057" t="str">
        <f>A48</f>
        <v>估价对象XX用房的比较价值（楼面单价，元/平方米）</v>
      </c>
      <c r="Q48" s="2982"/>
      <c r="R48" s="3069" t="e">
        <f>ROUND(AVERAGE(R47:V47),0)</f>
        <v>#DIV/0!</v>
      </c>
      <c r="S48" s="3069"/>
      <c r="T48" s="3069"/>
      <c r="U48" s="3069"/>
      <c r="V48" s="3069"/>
      <c r="W48" s="3069"/>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2551</v>
      </c>
      <c r="B55" s="668" t="s">
        <v>2552</v>
      </c>
      <c r="C55" s="2491" t="s">
        <v>2553</v>
      </c>
      <c r="D55" s="2492" t="s">
        <v>2554</v>
      </c>
      <c r="E55" s="669" t="s">
        <v>2555</v>
      </c>
      <c r="F55" s="670" t="s">
        <v>2556</v>
      </c>
      <c r="G55" s="62" t="s">
        <v>2557</v>
      </c>
      <c r="H55" s="62">
        <f>项目基本情况!G8</f>
        <v>0</v>
      </c>
      <c r="I55" s="2493" t="s">
        <v>2558</v>
      </c>
      <c r="J55" s="739"/>
      <c r="K55" s="1257"/>
      <c r="L55" s="1257"/>
      <c r="M55" s="1256"/>
      <c r="N55" s="1256"/>
      <c r="O55" s="1256"/>
    </row>
    <row r="56" spans="1:15" s="675" customFormat="1">
      <c r="A56" s="671" t="s">
        <v>2559</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2560</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2561</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2562</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2563</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2564</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2565</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2566</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2567</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2568</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2569</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2465</v>
      </c>
      <c r="B69" s="738"/>
      <c r="C69" s="743"/>
      <c r="D69" s="743"/>
      <c r="E69" s="743"/>
      <c r="F69" s="744"/>
      <c r="G69" s="744"/>
      <c r="H69" s="743"/>
      <c r="I69" s="1272"/>
      <c r="J69" s="1272"/>
      <c r="K69" s="1270"/>
      <c r="L69" s="1271"/>
      <c r="M69" s="1272"/>
      <c r="N69" s="1272"/>
      <c r="O69" s="1272"/>
      <c r="P69" s="484"/>
      <c r="Q69" s="485"/>
    </row>
    <row r="70" spans="1:17" s="1672" customFormat="1" ht="15">
      <c r="A70" s="2494" t="s">
        <v>2570</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5"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2349</v>
      </c>
      <c r="B73" s="491"/>
      <c r="C73" s="503" t="s">
        <v>2350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2388</v>
      </c>
      <c r="B75" s="509" t="s">
        <v>2353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2363</v>
      </c>
      <c r="B116" s="509" t="s">
        <v>2579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2538</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40" si="3">D8/F8</f>
        <v>#DIV/0!</v>
      </c>
      <c r="AB8" s="752" t="e">
        <f t="shared" ref="AB8:AB40" si="4">D8/H8</f>
        <v>#DIV/0!</v>
      </c>
      <c r="AC8" s="752" t="e">
        <f t="shared" ref="AC8:AC40" si="5">D8/J8</f>
        <v>#DIV/0!</v>
      </c>
    </row>
    <row r="9" spans="1:29" s="35" customFormat="1">
      <c r="A9" s="395" t="s">
        <v>2352</v>
      </c>
      <c r="B9" s="28" t="s">
        <v>2353</v>
      </c>
      <c r="C9" s="2482" t="s">
        <v>2585</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298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8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83"/>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2358</v>
      </c>
      <c r="B15" s="613" t="s">
        <v>2586</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3" t="s">
        <v>2359</v>
      </c>
      <c r="Q15" s="1897" t="str">
        <f t="shared" si="6"/>
        <v>产业集聚程度</v>
      </c>
      <c r="R15" s="753" t="s">
        <v>25</v>
      </c>
      <c r="S15" s="754">
        <f t="shared" si="0"/>
        <v>100</v>
      </c>
      <c r="T15" s="753" t="s">
        <v>25</v>
      </c>
      <c r="U15" s="754">
        <f t="shared" si="1"/>
        <v>100</v>
      </c>
      <c r="V15" s="753" t="s">
        <v>25</v>
      </c>
      <c r="W15" s="754">
        <f t="shared" si="2"/>
        <v>100</v>
      </c>
      <c r="X15" s="1898"/>
      <c r="Y15" s="3003" t="s">
        <v>2359</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04"/>
      <c r="Q16" s="1897"/>
      <c r="R16" s="753"/>
      <c r="S16" s="754"/>
      <c r="T16" s="753"/>
      <c r="U16" s="754"/>
      <c r="V16" s="753"/>
      <c r="W16" s="754"/>
      <c r="X16" s="1898"/>
      <c r="Y16" s="3004"/>
      <c r="Z16" s="1900"/>
      <c r="AA16" s="1901">
        <v>1</v>
      </c>
      <c r="AB16" s="1901">
        <v>1</v>
      </c>
      <c r="AC16" s="1901">
        <v>1</v>
      </c>
    </row>
    <row r="17" spans="1:29" ht="85.5">
      <c r="A17" s="408"/>
      <c r="B17" s="615" t="s">
        <v>2502</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4"/>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2"/>
      <c r="J18" s="427"/>
      <c r="K18" s="655"/>
      <c r="L18" s="1252"/>
      <c r="M18" s="1243"/>
      <c r="N18" s="1243"/>
      <c r="O18" s="1251"/>
      <c r="P18" s="3004"/>
      <c r="Q18" s="1897"/>
      <c r="R18" s="753"/>
      <c r="S18" s="754"/>
      <c r="T18" s="753"/>
      <c r="U18" s="754"/>
      <c r="V18" s="753"/>
      <c r="W18" s="754"/>
      <c r="X18" s="1898"/>
      <c r="Y18" s="3004"/>
      <c r="Z18" s="1900"/>
      <c r="AA18" s="1901">
        <v>1</v>
      </c>
      <c r="AB18" s="1901">
        <v>1</v>
      </c>
      <c r="AC18" s="1901">
        <v>1</v>
      </c>
    </row>
    <row r="19" spans="1:29" ht="15">
      <c r="A19" s="408"/>
      <c r="B19" s="615" t="s">
        <v>2542</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4"/>
      <c r="Q19" s="1897" t="str">
        <f t="shared" ref="Q19:Q33" si="8">B19</f>
        <v>区域土地利用方向</v>
      </c>
      <c r="R19" s="753" t="s">
        <v>25</v>
      </c>
      <c r="S19" s="754">
        <f>F19</f>
        <v>100</v>
      </c>
      <c r="T19" s="753" t="s">
        <v>25</v>
      </c>
      <c r="U19" s="754">
        <f>H19</f>
        <v>100</v>
      </c>
      <c r="V19" s="753" t="s">
        <v>25</v>
      </c>
      <c r="W19" s="754">
        <f>J19</f>
        <v>100</v>
      </c>
      <c r="X19" s="1898"/>
      <c r="Y19" s="300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04"/>
      <c r="Q20" s="1897"/>
      <c r="R20" s="753"/>
      <c r="S20" s="754"/>
      <c r="T20" s="753"/>
      <c r="U20" s="754"/>
      <c r="V20" s="753"/>
      <c r="W20" s="754"/>
      <c r="X20" s="1898"/>
      <c r="Y20" s="3004"/>
      <c r="Z20" s="1900"/>
      <c r="AA20" s="1901"/>
      <c r="AB20" s="1901"/>
      <c r="AC20" s="1901"/>
    </row>
    <row r="21" spans="1:29" ht="71.25">
      <c r="A21" s="383"/>
      <c r="B21" s="615" t="s">
        <v>2587</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4"/>
      <c r="Q21" s="1897" t="str">
        <f t="shared" si="8"/>
        <v>环境状况</v>
      </c>
      <c r="R21" s="753" t="s">
        <v>25</v>
      </c>
      <c r="S21" s="754">
        <f>F21</f>
        <v>100</v>
      </c>
      <c r="T21" s="753" t="s">
        <v>25</v>
      </c>
      <c r="U21" s="754">
        <f>H21</f>
        <v>100</v>
      </c>
      <c r="V21" s="753" t="s">
        <v>25</v>
      </c>
      <c r="W21" s="754">
        <f>J21</f>
        <v>100</v>
      </c>
      <c r="X21" s="1898"/>
      <c r="Y21" s="3004"/>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04"/>
      <c r="Q22" s="1897"/>
      <c r="R22" s="753"/>
      <c r="S22" s="754"/>
      <c r="T22" s="753"/>
      <c r="U22" s="754"/>
      <c r="V22" s="753"/>
      <c r="W22" s="754"/>
      <c r="X22" s="1898"/>
      <c r="Y22" s="3004"/>
      <c r="Z22" s="1900"/>
      <c r="AA22" s="1901">
        <v>1</v>
      </c>
      <c r="AB22" s="1901">
        <v>1</v>
      </c>
      <c r="AC22" s="1901">
        <v>1</v>
      </c>
    </row>
    <row r="23" spans="1:29" s="35" customFormat="1" ht="42.75">
      <c r="A23" s="633"/>
      <c r="B23" s="615" t="s">
        <v>2445</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4"/>
      <c r="Q23" s="1885" t="str">
        <f t="shared" si="8"/>
        <v>公共配套设施</v>
      </c>
      <c r="R23" s="749" t="s">
        <v>25</v>
      </c>
      <c r="S23" s="750">
        <f>F23</f>
        <v>100</v>
      </c>
      <c r="T23" s="749" t="s">
        <v>25</v>
      </c>
      <c r="U23" s="750">
        <f>H23</f>
        <v>100</v>
      </c>
      <c r="V23" s="749" t="s">
        <v>25</v>
      </c>
      <c r="W23" s="750">
        <f>J23</f>
        <v>100</v>
      </c>
      <c r="X23" s="751"/>
      <c r="Y23" s="3004"/>
      <c r="Z23" s="23" t="str">
        <f>Q23</f>
        <v>公共配套设施</v>
      </c>
      <c r="AA23" s="1901">
        <f>D23/F23</f>
        <v>1</v>
      </c>
      <c r="AB23" s="1901">
        <f>D23/H23</f>
        <v>1</v>
      </c>
      <c r="AC23" s="1901">
        <f>D23/J23</f>
        <v>1</v>
      </c>
    </row>
    <row r="24" spans="1:29" s="35" customFormat="1" ht="15">
      <c r="A24" s="633"/>
      <c r="B24" s="616"/>
      <c r="C24" s="2496"/>
      <c r="D24" s="427"/>
      <c r="E24" s="1470"/>
      <c r="F24" s="427"/>
      <c r="G24" s="1470"/>
      <c r="H24" s="427"/>
      <c r="I24" s="426"/>
      <c r="J24" s="427"/>
      <c r="K24" s="655"/>
      <c r="L24" s="1244"/>
      <c r="M24" s="1245"/>
      <c r="N24" s="1245"/>
      <c r="O24" s="1246"/>
      <c r="P24" s="3004"/>
      <c r="Q24" s="1885"/>
      <c r="R24" s="749"/>
      <c r="S24" s="750"/>
      <c r="T24" s="749"/>
      <c r="U24" s="750"/>
      <c r="V24" s="749"/>
      <c r="W24" s="750"/>
      <c r="X24" s="751"/>
      <c r="Y24" s="3004"/>
      <c r="Z24" s="23"/>
      <c r="AA24" s="752">
        <v>1</v>
      </c>
      <c r="AB24" s="752">
        <v>1</v>
      </c>
      <c r="AC24" s="752">
        <v>1</v>
      </c>
    </row>
    <row r="25" spans="1:29" s="35" customFormat="1" ht="28.5">
      <c r="A25" s="633"/>
      <c r="B25" s="617" t="s">
        <v>2446</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4"/>
      <c r="Q25" s="1885" t="str">
        <f t="shared" ref="Q25" si="9">B25</f>
        <v>基础设施水平</v>
      </c>
      <c r="R25" s="749" t="s">
        <v>25</v>
      </c>
      <c r="S25" s="750">
        <f>F25</f>
        <v>100</v>
      </c>
      <c r="T25" s="749" t="s">
        <v>25</v>
      </c>
      <c r="U25" s="750">
        <f>H25</f>
        <v>100</v>
      </c>
      <c r="V25" s="749" t="s">
        <v>25</v>
      </c>
      <c r="W25" s="750">
        <f>J25</f>
        <v>100</v>
      </c>
      <c r="X25" s="751"/>
      <c r="Y25" s="3004"/>
      <c r="Z25" s="23" t="str">
        <f>Q25</f>
        <v>基础设施水平</v>
      </c>
      <c r="AA25" s="1901">
        <f>D25/F25</f>
        <v>1</v>
      </c>
      <c r="AB25" s="1901">
        <f>D25/H25</f>
        <v>1</v>
      </c>
      <c r="AC25" s="1901">
        <f>D25/J25</f>
        <v>1</v>
      </c>
    </row>
    <row r="26" spans="1:29" s="35" customFormat="1" ht="15">
      <c r="A26" s="633"/>
      <c r="B26" s="616"/>
      <c r="C26" s="2496"/>
      <c r="D26" s="427"/>
      <c r="E26" s="2485"/>
      <c r="F26" s="427"/>
      <c r="G26" s="2485"/>
      <c r="H26" s="427"/>
      <c r="I26" s="2485"/>
      <c r="J26" s="427"/>
      <c r="K26" s="655"/>
      <c r="L26" s="1244"/>
      <c r="M26" s="1245"/>
      <c r="N26" s="1245"/>
      <c r="O26" s="1246"/>
      <c r="P26" s="3004"/>
      <c r="Q26" s="1885"/>
      <c r="R26" s="749"/>
      <c r="S26" s="750"/>
      <c r="T26" s="749"/>
      <c r="U26" s="750"/>
      <c r="V26" s="749"/>
      <c r="W26" s="750"/>
      <c r="X26" s="751"/>
      <c r="Y26" s="3004"/>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04"/>
      <c r="Z27" s="1900" t="str">
        <f t="shared" ref="Z27:Z40" si="13">Q27</f>
        <v>临街状况</v>
      </c>
      <c r="AA27" s="1901">
        <f t="shared" si="3"/>
        <v>1</v>
      </c>
      <c r="AB27" s="1901">
        <f t="shared" si="4"/>
        <v>1</v>
      </c>
      <c r="AC27" s="1901">
        <f t="shared" si="5"/>
        <v>1</v>
      </c>
    </row>
    <row r="28" spans="1:29" ht="27">
      <c r="A28" s="408"/>
      <c r="B28" s="617" t="s">
        <v>2477</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4"/>
      <c r="Q28" s="1897" t="str">
        <f t="shared" si="8"/>
        <v>毗邻道路的类型与等级</v>
      </c>
      <c r="R28" s="753" t="s">
        <v>25</v>
      </c>
      <c r="S28" s="754">
        <f t="shared" si="10"/>
        <v>100</v>
      </c>
      <c r="T28" s="753" t="s">
        <v>25</v>
      </c>
      <c r="U28" s="754">
        <f t="shared" si="11"/>
        <v>100</v>
      </c>
      <c r="V28" s="753" t="s">
        <v>25</v>
      </c>
      <c r="W28" s="754">
        <f t="shared" si="12"/>
        <v>100</v>
      </c>
      <c r="X28" s="1898"/>
      <c r="Y28" s="3004"/>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04"/>
      <c r="Q29" s="1897"/>
      <c r="R29" s="753"/>
      <c r="S29" s="754"/>
      <c r="T29" s="753"/>
      <c r="U29" s="754"/>
      <c r="V29" s="753"/>
      <c r="W29" s="754"/>
      <c r="X29" s="1898"/>
      <c r="Y29" s="3004"/>
      <c r="Z29" s="1900"/>
      <c r="AA29" s="1901">
        <v>1</v>
      </c>
      <c r="AB29" s="1901">
        <v>1</v>
      </c>
      <c r="AC29" s="1901">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4"/>
      <c r="Q30" s="1897" t="str">
        <f t="shared" si="8"/>
        <v>土地级别</v>
      </c>
      <c r="R30" s="753" t="s">
        <v>25</v>
      </c>
      <c r="S30" s="754">
        <f t="shared" si="10"/>
        <v>100</v>
      </c>
      <c r="T30" s="753" t="s">
        <v>25</v>
      </c>
      <c r="U30" s="754">
        <f t="shared" si="11"/>
        <v>100</v>
      </c>
      <c r="V30" s="753" t="s">
        <v>25</v>
      </c>
      <c r="W30" s="754">
        <f t="shared" si="12"/>
        <v>100</v>
      </c>
      <c r="X30" s="1898"/>
      <c r="Y30" s="3004"/>
      <c r="Z30" s="1900" t="str">
        <f t="shared" si="13"/>
        <v>土地级别</v>
      </c>
      <c r="AA30" s="1901">
        <f t="shared" si="3"/>
        <v>1</v>
      </c>
      <c r="AB30" s="1901">
        <f t="shared" si="4"/>
        <v>1</v>
      </c>
      <c r="AC30" s="1901">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4"/>
      <c r="Q31" s="1897">
        <f t="shared" si="8"/>
        <v>111</v>
      </c>
      <c r="R31" s="753" t="s">
        <v>25</v>
      </c>
      <c r="S31" s="754">
        <f t="shared" si="10"/>
        <v>100</v>
      </c>
      <c r="T31" s="753" t="s">
        <v>25</v>
      </c>
      <c r="U31" s="754">
        <f t="shared" si="11"/>
        <v>100</v>
      </c>
      <c r="V31" s="753" t="s">
        <v>25</v>
      </c>
      <c r="W31" s="754">
        <f t="shared" si="12"/>
        <v>100</v>
      </c>
      <c r="X31" s="1898"/>
      <c r="Y31" s="3004"/>
      <c r="Z31" s="1900">
        <f t="shared" si="13"/>
        <v>111</v>
      </c>
      <c r="AA31" s="1901">
        <f t="shared" si="3"/>
        <v>1</v>
      </c>
      <c r="AB31" s="1901">
        <f t="shared" si="4"/>
        <v>1</v>
      </c>
      <c r="AC31" s="1901">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7" t="s">
        <v>2365</v>
      </c>
      <c r="Q32" s="1897">
        <f t="shared" si="8"/>
        <v>111</v>
      </c>
      <c r="R32" s="753" t="s">
        <v>25</v>
      </c>
      <c r="S32" s="754">
        <f t="shared" si="10"/>
        <v>100</v>
      </c>
      <c r="T32" s="753" t="s">
        <v>25</v>
      </c>
      <c r="U32" s="754">
        <f t="shared" si="11"/>
        <v>100</v>
      </c>
      <c r="V32" s="753" t="s">
        <v>25</v>
      </c>
      <c r="W32" s="754">
        <f t="shared" si="12"/>
        <v>100</v>
      </c>
      <c r="X32" s="1898"/>
      <c r="Y32" s="2990" t="s">
        <v>2365</v>
      </c>
      <c r="Z32" s="1900">
        <f t="shared" si="13"/>
        <v>111</v>
      </c>
      <c r="AA32" s="1901">
        <f t="shared" si="3"/>
        <v>1</v>
      </c>
      <c r="AB32" s="1901">
        <f t="shared" si="4"/>
        <v>1</v>
      </c>
      <c r="AC32" s="1901">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90"/>
      <c r="Q33" s="1897">
        <f t="shared" si="8"/>
        <v>111</v>
      </c>
      <c r="R33" s="756" t="s">
        <v>25</v>
      </c>
      <c r="S33" s="757">
        <f t="shared" si="10"/>
        <v>100</v>
      </c>
      <c r="T33" s="756" t="s">
        <v>25</v>
      </c>
      <c r="U33" s="757">
        <f t="shared" si="11"/>
        <v>100</v>
      </c>
      <c r="V33" s="756" t="s">
        <v>25</v>
      </c>
      <c r="W33" s="757">
        <f t="shared" si="12"/>
        <v>100</v>
      </c>
      <c r="X33" s="758"/>
      <c r="Y33" s="2990"/>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90"/>
      <c r="Q34" s="1897" t="str">
        <f>B34</f>
        <v>宗地面积</v>
      </c>
      <c r="R34" s="753" t="s">
        <v>25</v>
      </c>
      <c r="S34" s="754" t="e">
        <f t="shared" si="10"/>
        <v>#N/A</v>
      </c>
      <c r="T34" s="753" t="s">
        <v>25</v>
      </c>
      <c r="U34" s="754" t="e">
        <f t="shared" si="11"/>
        <v>#N/A</v>
      </c>
      <c r="V34" s="753" t="s">
        <v>25</v>
      </c>
      <c r="W34" s="754" t="e">
        <f t="shared" si="12"/>
        <v>#N/A</v>
      </c>
      <c r="X34" s="1898"/>
      <c r="Y34" s="2990"/>
      <c r="Z34" s="1900" t="str">
        <f t="shared" si="13"/>
        <v>宗地面积</v>
      </c>
      <c r="AA34" s="1901" t="e">
        <f t="shared" si="3"/>
        <v>#N/A</v>
      </c>
      <c r="AB34" s="1901" t="e">
        <f t="shared" si="4"/>
        <v>#N/A</v>
      </c>
      <c r="AC34" s="1901" t="e">
        <f t="shared" si="5"/>
        <v>#N/A</v>
      </c>
    </row>
    <row r="35" spans="1:29" ht="15">
      <c r="A35" s="453"/>
      <c r="B35" s="402" t="s">
        <v>2546</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2990"/>
      <c r="Q35" s="1897" t="str">
        <f t="shared" ref="Q35:Q40" si="14">B35</f>
        <v>宗地形状</v>
      </c>
      <c r="R35" s="753" t="s">
        <v>25</v>
      </c>
      <c r="S35" s="754">
        <f t="shared" si="10"/>
        <v>100</v>
      </c>
      <c r="T35" s="753" t="s">
        <v>25</v>
      </c>
      <c r="U35" s="754">
        <f t="shared" si="11"/>
        <v>100</v>
      </c>
      <c r="V35" s="753" t="s">
        <v>25</v>
      </c>
      <c r="W35" s="754">
        <f t="shared" si="12"/>
        <v>100</v>
      </c>
      <c r="X35" s="1898"/>
      <c r="Y35" s="2990"/>
      <c r="Z35" s="1900" t="str">
        <f t="shared" si="13"/>
        <v>宗地形状</v>
      </c>
      <c r="AA35" s="1901">
        <f t="shared" si="3"/>
        <v>1</v>
      </c>
      <c r="AB35" s="1901">
        <f t="shared" si="4"/>
        <v>1</v>
      </c>
      <c r="AC35" s="1901">
        <f t="shared" si="5"/>
        <v>1</v>
      </c>
    </row>
    <row r="36" spans="1:29" s="35" customFormat="1" ht="15">
      <c r="A36" s="454"/>
      <c r="B36" s="402" t="s">
        <v>2548</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2990"/>
      <c r="Q36" s="1897" t="str">
        <f t="shared" si="14"/>
        <v>宗地开发程度</v>
      </c>
      <c r="R36" s="749" t="s">
        <v>25</v>
      </c>
      <c r="S36" s="750">
        <f t="shared" si="10"/>
        <v>100</v>
      </c>
      <c r="T36" s="749" t="s">
        <v>25</v>
      </c>
      <c r="U36" s="750">
        <f t="shared" si="11"/>
        <v>100</v>
      </c>
      <c r="V36" s="749" t="s">
        <v>25</v>
      </c>
      <c r="W36" s="750">
        <f t="shared" si="12"/>
        <v>100</v>
      </c>
      <c r="X36" s="751"/>
      <c r="Y36" s="2990"/>
      <c r="Z36" s="23" t="str">
        <f t="shared" si="13"/>
        <v>宗地开发程度</v>
      </c>
      <c r="AA36" s="752">
        <f t="shared" si="3"/>
        <v>1</v>
      </c>
      <c r="AB36" s="752">
        <f t="shared" si="4"/>
        <v>1</v>
      </c>
      <c r="AC36" s="752">
        <f t="shared" si="5"/>
        <v>1</v>
      </c>
    </row>
    <row r="37" spans="1:29" ht="15">
      <c r="A37" s="453"/>
      <c r="B37" s="402" t="s">
        <v>2549</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2990" t="s">
        <v>2365</v>
      </c>
      <c r="Q37" s="1897" t="str">
        <f t="shared" si="14"/>
        <v>工程地质条件</v>
      </c>
      <c r="R37" s="753" t="s">
        <v>25</v>
      </c>
      <c r="S37" s="754">
        <f t="shared" si="10"/>
        <v>100</v>
      </c>
      <c r="T37" s="753" t="s">
        <v>25</v>
      </c>
      <c r="U37" s="754">
        <f t="shared" si="11"/>
        <v>100</v>
      </c>
      <c r="V37" s="753" t="s">
        <v>25</v>
      </c>
      <c r="W37" s="754">
        <f t="shared" si="12"/>
        <v>100</v>
      </c>
      <c r="X37" s="1898"/>
      <c r="Y37" s="2990" t="s">
        <v>2365</v>
      </c>
      <c r="Z37" s="1900" t="str">
        <f t="shared" si="13"/>
        <v>工程地质条件</v>
      </c>
      <c r="AA37" s="1901">
        <f t="shared" si="3"/>
        <v>1</v>
      </c>
      <c r="AB37" s="1901">
        <f t="shared" si="4"/>
        <v>1</v>
      </c>
      <c r="AC37" s="1901">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90"/>
      <c r="Q38" s="1897">
        <f t="shared" si="14"/>
        <v>111</v>
      </c>
      <c r="R38" s="753" t="s">
        <v>25</v>
      </c>
      <c r="S38" s="754">
        <f t="shared" si="10"/>
        <v>100</v>
      </c>
      <c r="T38" s="753" t="s">
        <v>25</v>
      </c>
      <c r="U38" s="754">
        <f t="shared" si="11"/>
        <v>100</v>
      </c>
      <c r="V38" s="753" t="s">
        <v>25</v>
      </c>
      <c r="W38" s="754">
        <f t="shared" si="12"/>
        <v>100</v>
      </c>
      <c r="X38" s="1898"/>
      <c r="Y38" s="2990"/>
      <c r="Z38" s="1900">
        <f t="shared" si="13"/>
        <v>111</v>
      </c>
      <c r="AA38" s="1901">
        <f t="shared" si="3"/>
        <v>1</v>
      </c>
      <c r="AB38" s="1901">
        <f t="shared" si="4"/>
        <v>1</v>
      </c>
      <c r="AC38" s="1901">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90"/>
      <c r="Q39" s="1897">
        <f t="shared" si="14"/>
        <v>111</v>
      </c>
      <c r="R39" s="753" t="s">
        <v>25</v>
      </c>
      <c r="S39" s="754">
        <f t="shared" si="10"/>
        <v>100</v>
      </c>
      <c r="T39" s="753" t="s">
        <v>25</v>
      </c>
      <c r="U39" s="754">
        <f t="shared" si="11"/>
        <v>100</v>
      </c>
      <c r="V39" s="753" t="s">
        <v>25</v>
      </c>
      <c r="W39" s="754">
        <f t="shared" si="12"/>
        <v>100</v>
      </c>
      <c r="X39" s="1898"/>
      <c r="Y39" s="2990"/>
      <c r="Z39" s="1900">
        <f t="shared" si="13"/>
        <v>111</v>
      </c>
      <c r="AA39" s="1901">
        <f t="shared" si="3"/>
        <v>1</v>
      </c>
      <c r="AB39" s="1901">
        <f t="shared" si="4"/>
        <v>1</v>
      </c>
      <c r="AC39" s="1901">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90"/>
      <c r="Q40" s="1897">
        <f t="shared" si="14"/>
        <v>111</v>
      </c>
      <c r="R40" s="756" t="s">
        <v>25</v>
      </c>
      <c r="S40" s="757">
        <f t="shared" si="10"/>
        <v>100</v>
      </c>
      <c r="T40" s="756" t="s">
        <v>25</v>
      </c>
      <c r="U40" s="757">
        <f t="shared" si="11"/>
        <v>100</v>
      </c>
      <c r="V40" s="756" t="s">
        <v>25</v>
      </c>
      <c r="W40" s="757">
        <f t="shared" si="12"/>
        <v>100</v>
      </c>
      <c r="X40" s="758"/>
      <c r="Y40" s="2990"/>
      <c r="Z40" s="759">
        <f t="shared" si="13"/>
        <v>111</v>
      </c>
      <c r="AA40" s="1901">
        <f t="shared" si="3"/>
        <v>1</v>
      </c>
      <c r="AB40" s="1901">
        <f t="shared" si="4"/>
        <v>1</v>
      </c>
      <c r="AC40" s="1901">
        <f t="shared" si="5"/>
        <v>1</v>
      </c>
    </row>
    <row r="41" spans="1:29" ht="15">
      <c r="A41" s="460" t="s">
        <v>2513</v>
      </c>
      <c r="B41" s="2490" t="s">
        <v>2588</v>
      </c>
      <c r="C41" s="665" t="s">
        <v>1</v>
      </c>
      <c r="D41" s="462"/>
      <c r="E41" s="463"/>
      <c r="F41" s="464"/>
      <c r="G41" s="465"/>
      <c r="H41" s="466"/>
      <c r="I41" s="463"/>
      <c r="J41" s="466"/>
      <c r="K41" s="762"/>
      <c r="L41" s="1255"/>
      <c r="M41" s="1243"/>
      <c r="N41" s="1243"/>
      <c r="O41" s="1256"/>
      <c r="P41" s="2983" t="str">
        <f>A41</f>
        <v>成交单价</v>
      </c>
      <c r="Q41" s="2983"/>
      <c r="R41" s="3016">
        <f>E41</f>
        <v>0</v>
      </c>
      <c r="S41" s="3016"/>
      <c r="T41" s="3016">
        <f>G41</f>
        <v>0</v>
      </c>
      <c r="U41" s="3016"/>
      <c r="V41" s="3016">
        <f>I41</f>
        <v>0</v>
      </c>
      <c r="W41" s="3016"/>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5"/>
      <c r="M42" s="1243"/>
      <c r="N42" s="1243"/>
      <c r="O42" s="1256"/>
      <c r="P42" s="2983" t="str">
        <f>A42</f>
        <v>比较价值（元/平方米）</v>
      </c>
      <c r="Q42" s="2983"/>
      <c r="R42" s="3068" t="e">
        <f>ROUND(PRODUCT(R41,AA7:AA40),0)</f>
        <v>#DIV/0!</v>
      </c>
      <c r="S42" s="3068"/>
      <c r="T42" s="3068" t="e">
        <f>ROUND(PRODUCT(T41,AB7:AB40),0)</f>
        <v>#DIV/0!</v>
      </c>
      <c r="U42" s="3068"/>
      <c r="V42" s="3068" t="e">
        <f>ROUND(PRODUCT(V41,AC7:AC40),0)</f>
        <v>#DIV/0!</v>
      </c>
      <c r="W42" s="306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5"/>
      <c r="M43" s="1243"/>
      <c r="N43" s="1243"/>
      <c r="O43" s="1256"/>
      <c r="P43" s="3057" t="str">
        <f>A43</f>
        <v>估价对象XX用房的比较价值（楼面单价，元/平方米）</v>
      </c>
      <c r="Q43" s="2982"/>
      <c r="R43" s="3069" t="e">
        <f>ROUND(AVERAGE(R42:V42),0)</f>
        <v>#DIV/0!</v>
      </c>
      <c r="S43" s="3069"/>
      <c r="T43" s="3069"/>
      <c r="U43" s="3069"/>
      <c r="V43" s="3069"/>
      <c r="W43" s="3069"/>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2551</v>
      </c>
      <c r="B50" s="668" t="s">
        <v>2552</v>
      </c>
      <c r="C50" s="2491" t="s">
        <v>2553</v>
      </c>
      <c r="D50" s="2492" t="s">
        <v>2554</v>
      </c>
      <c r="E50" s="669" t="s">
        <v>2555</v>
      </c>
      <c r="F50" s="670" t="s">
        <v>2556</v>
      </c>
      <c r="G50" s="1900" t="s">
        <v>2589</v>
      </c>
      <c r="H50" s="1900">
        <f>项目基本情况!G8</f>
        <v>0</v>
      </c>
      <c r="I50" s="1847" t="s">
        <v>2558</v>
      </c>
      <c r="J50" s="1261"/>
      <c r="K50" s="1257"/>
      <c r="L50" s="1257"/>
      <c r="M50" s="1256"/>
      <c r="N50" s="1256"/>
      <c r="O50" s="1256"/>
    </row>
    <row r="51" spans="1:17" s="675" customFormat="1">
      <c r="A51" s="671" t="s">
        <v>2559</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2560</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2561</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2562</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2563</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2564</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2565</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2566</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2567</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2568</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2569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2465</v>
      </c>
      <c r="B64" s="738"/>
      <c r="C64" s="743"/>
      <c r="D64" s="743"/>
      <c r="E64" s="743"/>
      <c r="F64" s="744"/>
      <c r="G64" s="744"/>
      <c r="H64" s="743"/>
      <c r="I64" s="1272"/>
      <c r="J64" s="1272"/>
      <c r="K64" s="1270"/>
      <c r="L64" s="1271"/>
      <c r="M64" s="1272"/>
      <c r="N64" s="1272"/>
      <c r="O64" s="1272"/>
      <c r="P64" s="484"/>
      <c r="Q64" s="485"/>
    </row>
    <row r="65" spans="1:17" s="489" customFormat="1" ht="15">
      <c r="A65" s="2494" t="s">
        <v>2570</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500" t="s">
        <v>2590</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2349</v>
      </c>
      <c r="B68" s="491"/>
      <c r="C68" s="503" t="s">
        <v>2350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2388</v>
      </c>
      <c r="B70" s="509" t="s">
        <v>2353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农商行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估价对象为北京市房地产，为农商行所有。根据《不动产权证书》[]，估价对象建筑面积为218.48平方米，（分摊）出让国有建设用地使用权面积为0平方米。估价对象用途为办公。</v>
      </c>
      <c r="B6" s="1915"/>
      <c r="C6" s="1915"/>
      <c r="D6" s="1915"/>
      <c r="E6" s="1915"/>
      <c r="F6" s="1915"/>
      <c r="G6" s="1915"/>
    </row>
    <row r="7" spans="1:7" ht="18.75">
      <c r="A7" s="1916" t="s">
        <v>1269</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2018年6月6日（评估专业人员实地查勘之日）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1266</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 zoomScale="90" zoomScaleNormal="90" zoomScaleSheetLayoutView="90" workbookViewId="0">
      <selection activeCell="J45" sqref="J4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0"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2591</v>
      </c>
      <c r="B1" s="2502"/>
      <c r="C1" s="162" t="s">
        <v>2592</v>
      </c>
      <c r="D1" s="2503">
        <f>SUM(D29:D30,D33:D39)</f>
        <v>218.48</v>
      </c>
      <c r="E1" s="2503"/>
      <c r="F1" s="2503"/>
      <c r="G1" s="2503"/>
      <c r="H1" s="2503"/>
      <c r="I1" s="2503"/>
      <c r="J1" s="2503"/>
      <c r="L1" s="2504" t="s">
        <v>2593</v>
      </c>
      <c r="M1" s="1118">
        <f>SUMPRODUCT((区片价!B5:B9=I2)*(区片价!C3:F3=E2)*(区片价!C5:F9))</f>
        <v>0</v>
      </c>
      <c r="N1" s="1121">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0</v>
      </c>
      <c r="C2" s="2506" t="s">
        <v>2600</v>
      </c>
      <c r="D2" s="2507" t="s">
        <v>2601</v>
      </c>
      <c r="E2" s="2508" t="s">
        <v>2817</v>
      </c>
      <c r="F2" s="2507" t="s">
        <v>2602</v>
      </c>
      <c r="G2" s="2509" t="str">
        <f>项目基本情况!F9</f>
        <v>二级</v>
      </c>
      <c r="H2" s="2510" t="s">
        <v>2603</v>
      </c>
      <c r="I2" s="2509" t="str">
        <f>项目基本情况!F10</f>
        <v>Ⅱ—03</v>
      </c>
      <c r="J2" s="2511"/>
      <c r="L2" s="2512" t="s">
        <v>2604</v>
      </c>
      <c r="M2" s="1119">
        <f>SUMPRODUCT((区片价!B10:B28=I2)*(区片价!C3:F3=E2)*(区片价!C10:F28))</f>
        <v>23180</v>
      </c>
      <c r="N2" s="1122">
        <f>SUMPRODUCT((因素修正幅度!B10:B28=I2)*(因素修正幅度!C3:F3=E2)*(因素修正幅度!C10:F28))</f>
        <v>7.0999999999999994E-2</v>
      </c>
      <c r="O2" s="1460"/>
      <c r="P2" s="1460"/>
      <c r="Q2" s="1460"/>
      <c r="R2" s="1707">
        <v>1</v>
      </c>
      <c r="S2" s="1707">
        <f>ROUND(IF(G3&gt;1,IF(R2&lt;7,SUMPRODUCT((B93:B98=R2)*(C92:N92=G2)*(C93:N98)),SUMIF(C92:N92,G2,C100:N100)),IF(R2&lt;7,SUMPRODUCT((B102:B107=R2)*(C92:N92=G2)*(C102:N107)),SUMIF(C92:N92,G2,C109:N109))),4)</f>
        <v>1.9361999999999999</v>
      </c>
      <c r="T2" s="1707">
        <f ca="1">ROUND($C$5*$C$18*$C$19*$C$20*S2*$C$24,0)</f>
        <v>60963</v>
      </c>
      <c r="U2" s="1708"/>
      <c r="V2" s="1707">
        <f ca="1">ROUND(T2*U2/10000,0)</f>
        <v>0</v>
      </c>
      <c r="W2" s="1711"/>
      <c r="X2" s="1711"/>
      <c r="Y2" s="1711"/>
      <c r="Z2" s="1711"/>
      <c r="AA2" s="1711"/>
      <c r="AB2" s="1711"/>
      <c r="AC2" s="1712"/>
      <c r="AD2" s="1713"/>
      <c r="AE2" s="1713"/>
      <c r="AF2" s="1713"/>
      <c r="AG2" s="1713"/>
      <c r="AH2" s="1713"/>
      <c r="AI2" s="1713"/>
      <c r="AJ2" s="1714"/>
    </row>
    <row r="3" spans="1:36" ht="25.5">
      <c r="A3" s="167" t="s">
        <v>2605</v>
      </c>
      <c r="B3" s="168">
        <f ca="1">ROUND(B2/D1,0)</f>
        <v>0</v>
      </c>
      <c r="C3" s="2506" t="s">
        <v>2606</v>
      </c>
      <c r="D3" s="2507" t="s">
        <v>2607</v>
      </c>
      <c r="E3" s="2513" t="s">
        <v>2818</v>
      </c>
      <c r="F3" s="2514" t="s">
        <v>2608</v>
      </c>
      <c r="G3" s="941">
        <f>项目基本情况!C15</f>
        <v>3.6</v>
      </c>
      <c r="H3" s="115" t="s">
        <v>2609</v>
      </c>
      <c r="I3" s="974"/>
      <c r="J3" s="2511" t="s">
        <v>2610</v>
      </c>
      <c r="L3" s="2512" t="s">
        <v>2611</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44703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73"/>
      <c r="B4" s="3074"/>
      <c r="C4" s="3074"/>
      <c r="D4" s="3075"/>
      <c r="E4" s="3075"/>
      <c r="F4" s="3075"/>
      <c r="G4" s="3075"/>
      <c r="H4" s="3075"/>
      <c r="I4" s="3075"/>
      <c r="J4" s="3076"/>
      <c r="L4" s="2512" t="s">
        <v>2612</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36504</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5" t="s">
        <v>2613</v>
      </c>
      <c r="B5" s="2516" t="s">
        <v>2614</v>
      </c>
      <c r="C5" s="942">
        <f>ROUND(IF(E2="商业",IF(F16="增加",C6*C7+C16,C6*C7-C16),IF(E2="住宅",IF(F16="增加",C6*C12+C16,C6*C12-C16),IF(F16="增加",C6+C16,C6-C16))),0)</f>
        <v>23149</v>
      </c>
      <c r="D5" s="1875">
        <f>ROUND(IF(E2="商业",IF(F16="增加",C6+C16,C6-C16)),0)</f>
        <v>0</v>
      </c>
      <c r="E5" s="2517"/>
      <c r="F5" s="2517"/>
      <c r="G5" s="2518"/>
      <c r="H5" s="2518"/>
      <c r="I5" s="2518"/>
      <c r="J5" s="2519"/>
      <c r="K5" s="2520"/>
      <c r="L5" s="2512" t="s">
        <v>2615</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30296</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2616</v>
      </c>
      <c r="C6" s="943">
        <f>SUMIF(L1:L12,G2,M1:M12)</f>
        <v>23180</v>
      </c>
      <c r="D6" s="2527" t="s">
        <v>2617</v>
      </c>
      <c r="E6" s="2528"/>
      <c r="F6" s="2528"/>
      <c r="G6" s="2529"/>
      <c r="H6" s="2529"/>
      <c r="I6" s="2529"/>
      <c r="J6" s="2530"/>
      <c r="K6" s="2531"/>
      <c r="L6" s="2512" t="s">
        <v>2618</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26501</v>
      </c>
      <c r="U6" s="1708"/>
      <c r="V6" s="1707">
        <f t="shared" ca="1" si="1"/>
        <v>0</v>
      </c>
      <c r="W6" s="1711"/>
      <c r="X6" s="1711"/>
      <c r="Y6" s="1711"/>
      <c r="Z6" s="1711"/>
      <c r="AA6" s="1711"/>
      <c r="AB6" s="1711"/>
      <c r="AC6" s="2521"/>
      <c r="AD6" s="2522"/>
      <c r="AE6" s="2522"/>
      <c r="AF6" s="2522"/>
      <c r="AG6" s="2522"/>
      <c r="AH6" s="2522"/>
      <c r="AI6" s="2522"/>
      <c r="AJ6" s="2523"/>
    </row>
    <row r="7" spans="1:36" ht="24">
      <c r="A7" s="3077" t="str">
        <f>IF(E2="商业",IF(C8="不临58条商业街","",2),"")</f>
        <v/>
      </c>
      <c r="B7" s="2532" t="s">
        <v>2619</v>
      </c>
      <c r="C7" s="944">
        <f>IF(C8="不临58条商业街",1,ROUND(1+(1.6*E8+1.2*E9+0.8*E10+0.4*E11)*C9,4))</f>
        <v>1</v>
      </c>
      <c r="D7" s="2533" t="s">
        <v>2620</v>
      </c>
      <c r="E7" s="975"/>
      <c r="F7" s="2534"/>
      <c r="G7" s="2535"/>
      <c r="H7" s="2535"/>
      <c r="I7" s="2535"/>
      <c r="J7" s="2536"/>
      <c r="K7" s="2531"/>
      <c r="L7" s="2512" t="s">
        <v>2621</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23954</v>
      </c>
      <c r="U7" s="1708"/>
      <c r="V7" s="1707">
        <f t="shared" ca="1" si="1"/>
        <v>0</v>
      </c>
      <c r="W7" s="1903" t="s">
        <v>2622</v>
      </c>
      <c r="X7" s="1709" t="str">
        <f>G2</f>
        <v>二级</v>
      </c>
      <c r="Y7" s="1709" t="s">
        <v>2623</v>
      </c>
      <c r="Z7" s="1710">
        <f>G3</f>
        <v>3.6</v>
      </c>
      <c r="AA7" s="1711"/>
      <c r="AB7" s="1711"/>
      <c r="AC7" s="1712"/>
      <c r="AD7" s="1713"/>
      <c r="AE7" s="1713"/>
      <c r="AF7" s="1713"/>
      <c r="AG7" s="1713"/>
      <c r="AH7" s="1713"/>
      <c r="AI7" s="1713"/>
      <c r="AJ7" s="1714"/>
    </row>
    <row r="8" spans="1:36" ht="15">
      <c r="A8" s="3078"/>
      <c r="B8" s="115" t="s">
        <v>2624</v>
      </c>
      <c r="C8" s="2537" t="s">
        <v>2819</v>
      </c>
      <c r="D8" s="945" t="s">
        <v>89</v>
      </c>
      <c r="E8" s="946" t="e">
        <f>ROUND(C11/E7,4)</f>
        <v>#DIV/0!</v>
      </c>
      <c r="F8" s="2538" t="s">
        <v>2625</v>
      </c>
      <c r="G8" s="2539"/>
      <c r="H8" s="2539"/>
      <c r="I8" s="2539"/>
      <c r="J8" s="2540"/>
      <c r="L8" s="2512" t="s">
        <v>2626</v>
      </c>
      <c r="M8" s="1119">
        <f>SUMPRODUCT((区片价!B206:B244=I2)*(区片价!C3:F3=E2)*(区片价!C206:F244))</f>
        <v>0</v>
      </c>
      <c r="N8" s="1122">
        <f>SUMPRODUCT((因素修正幅度!B206:B244=I2)*(因素修正幅度!C3:F3=E2)*(因素修正幅度!C206:F244))</f>
        <v>0</v>
      </c>
      <c r="O8" s="1460"/>
      <c r="P8" s="1460"/>
      <c r="Q8" s="1460"/>
      <c r="R8" s="1707">
        <v>7</v>
      </c>
      <c r="S8" s="1708"/>
      <c r="T8" s="1707">
        <f t="shared" ca="1" si="0"/>
        <v>0</v>
      </c>
      <c r="U8" s="1708"/>
      <c r="V8" s="1707">
        <f t="shared" ca="1" si="1"/>
        <v>0</v>
      </c>
      <c r="W8" s="3070" t="s">
        <v>2627</v>
      </c>
      <c r="X8" s="3071"/>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78"/>
      <c r="B9" s="115" t="s">
        <v>2640</v>
      </c>
      <c r="C9" s="947">
        <f>SUMIF(修正!C59:C119,C8,修正!E59:E119)</f>
        <v>0</v>
      </c>
      <c r="D9" s="117" t="s">
        <v>90</v>
      </c>
      <c r="E9" s="117" t="e">
        <f>ROUND(C11/E7,4)</f>
        <v>#DIV/0!</v>
      </c>
      <c r="F9" s="2538" t="s">
        <v>2641</v>
      </c>
      <c r="G9" s="2539"/>
      <c r="H9" s="2539"/>
      <c r="I9" s="2539"/>
      <c r="J9" s="2540"/>
      <c r="L9" s="2512" t="s">
        <v>2642</v>
      </c>
      <c r="M9" s="1119">
        <f>SUMPRODUCT((区片价!B245:B289=I2)*(区片价!C3:F3=E2)*(区片价!C245:F289))</f>
        <v>0</v>
      </c>
      <c r="N9" s="1122">
        <f>SUMPRODUCT((因素修正幅度!B245:B289=I2)*(因素修正幅度!C3:F3=E2)*(因素修正幅度!C245:F289))</f>
        <v>0</v>
      </c>
      <c r="O9" s="1460"/>
      <c r="P9" s="1460"/>
      <c r="Q9" s="1460"/>
      <c r="R9" s="1707">
        <v>8</v>
      </c>
      <c r="S9" s="1708"/>
      <c r="T9" s="1707">
        <f t="shared" ca="1" si="0"/>
        <v>0</v>
      </c>
      <c r="U9" s="1708"/>
      <c r="V9" s="1707">
        <f t="shared" ca="1" si="1"/>
        <v>0</v>
      </c>
      <c r="W9" s="3072"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8"/>
      <c r="B10" s="115" t="s">
        <v>2645</v>
      </c>
      <c r="C10" s="117">
        <f>SUMIF(修正!C59:C119,C8,修正!F59:F119)</f>
        <v>0</v>
      </c>
      <c r="D10" s="117" t="s">
        <v>91</v>
      </c>
      <c r="E10" s="117" t="e">
        <f>ROUND(C11/E7,4)</f>
        <v>#DIV/0!</v>
      </c>
      <c r="F10" s="2538" t="s">
        <v>2646</v>
      </c>
      <c r="G10" s="2539"/>
      <c r="H10" s="2539"/>
      <c r="I10" s="2539"/>
      <c r="J10" s="2540"/>
      <c r="L10" s="2512" t="s">
        <v>2647</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f t="shared" ca="1" si="0"/>
        <v>0</v>
      </c>
      <c r="U10" s="1708"/>
      <c r="V10" s="1707">
        <f t="shared" ca="1" si="1"/>
        <v>0</v>
      </c>
      <c r="W10" s="3072"/>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8"/>
      <c r="B11" s="2541" t="s">
        <v>2648</v>
      </c>
      <c r="C11" s="948">
        <f>C10/4</f>
        <v>0</v>
      </c>
      <c r="D11" s="948" t="s">
        <v>92</v>
      </c>
      <c r="E11" s="948" t="e">
        <f>ROUND(C11/E7,4)</f>
        <v>#DIV/0!</v>
      </c>
      <c r="F11" s="2542" t="s">
        <v>2649</v>
      </c>
      <c r="G11" s="2543"/>
      <c r="H11" s="2543"/>
      <c r="I11" s="2543"/>
      <c r="J11" s="2544"/>
      <c r="L11" s="2512" t="s">
        <v>2650</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f t="shared" ca="1" si="0"/>
        <v>0</v>
      </c>
      <c r="U11" s="1708"/>
      <c r="V11" s="1707">
        <f t="shared" ca="1" si="1"/>
        <v>0</v>
      </c>
      <c r="W11" s="3072" t="s">
        <v>2651</v>
      </c>
      <c r="X11" s="1720" t="s">
        <v>2652</v>
      </c>
      <c r="Y11" s="1721">
        <f>$G$3</f>
        <v>3.6</v>
      </c>
      <c r="Z11" s="1721">
        <f t="shared" ref="Z11:AJ11" si="3">$G$3</f>
        <v>3.6</v>
      </c>
      <c r="AA11" s="1721">
        <f t="shared" si="3"/>
        <v>3.6</v>
      </c>
      <c r="AB11" s="1721">
        <f t="shared" si="3"/>
        <v>3.6</v>
      </c>
      <c r="AC11" s="1721">
        <f t="shared" si="3"/>
        <v>3.6</v>
      </c>
      <c r="AD11" s="1721">
        <f t="shared" si="3"/>
        <v>3.6</v>
      </c>
      <c r="AE11" s="1721">
        <f t="shared" si="3"/>
        <v>3.6</v>
      </c>
      <c r="AF11" s="1721">
        <f t="shared" si="3"/>
        <v>3.6</v>
      </c>
      <c r="AG11" s="1721">
        <f t="shared" si="3"/>
        <v>3.6</v>
      </c>
      <c r="AH11" s="1721">
        <f t="shared" si="3"/>
        <v>3.6</v>
      </c>
      <c r="AI11" s="1721">
        <f t="shared" si="3"/>
        <v>3.6</v>
      </c>
      <c r="AJ11" s="1721">
        <f t="shared" si="3"/>
        <v>3.6</v>
      </c>
    </row>
    <row r="12" spans="1:36" ht="25.5" thickBot="1">
      <c r="A12" s="3077" t="str">
        <f>IF(E2="住宅",2,"")</f>
        <v/>
      </c>
      <c r="B12" s="2545" t="s">
        <v>2653</v>
      </c>
      <c r="C12" s="944">
        <f>ROUND(C15*D15*E15*F15*G15*H15*I15*J15,4)</f>
        <v>1.32</v>
      </c>
      <c r="D12" s="2546" t="s">
        <v>2654</v>
      </c>
      <c r="E12" s="2547"/>
      <c r="F12" s="2547"/>
      <c r="G12" s="2548"/>
      <c r="H12" s="2548"/>
      <c r="I12" s="2548"/>
      <c r="J12" s="2549"/>
      <c r="L12" s="2550" t="s">
        <v>2655</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f t="shared" ca="1" si="0"/>
        <v>0</v>
      </c>
      <c r="U12" s="1708"/>
      <c r="V12" s="1707">
        <f t="shared" ca="1" si="1"/>
        <v>0</v>
      </c>
      <c r="W12" s="3072"/>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79"/>
      <c r="B13" s="2551" t="s">
        <v>2657</v>
      </c>
      <c r="C13" s="2552" t="s">
        <v>2658</v>
      </c>
      <c r="D13" s="2553" t="s">
        <v>2659</v>
      </c>
      <c r="E13" s="2553" t="s">
        <v>2660</v>
      </c>
      <c r="F13" s="20" t="s">
        <v>2661</v>
      </c>
      <c r="G13" s="2554" t="s">
        <v>2662</v>
      </c>
      <c r="H13" s="2554" t="s">
        <v>2662</v>
      </c>
      <c r="I13" s="2554" t="s">
        <v>2662</v>
      </c>
      <c r="J13" s="2555" t="s">
        <v>2662</v>
      </c>
      <c r="L13" s="1460"/>
      <c r="M13" s="1460"/>
      <c r="N13" s="1460"/>
      <c r="O13" s="1460"/>
      <c r="P13" s="1460"/>
      <c r="Q13" s="1460"/>
      <c r="R13" s="1707">
        <v>12</v>
      </c>
      <c r="S13" s="1708"/>
      <c r="T13" s="1707">
        <f t="shared" ca="1" si="0"/>
        <v>0</v>
      </c>
      <c r="U13" s="1708"/>
      <c r="V13" s="1707">
        <f t="shared" ca="1" si="1"/>
        <v>0</v>
      </c>
      <c r="W13" s="3072"/>
      <c r="X13" s="1722"/>
      <c r="Y13" s="1719">
        <f>(-0.163*(Y12^2)-0.59*Y12+7617)*(10^(-4))/Y11</f>
        <v>0.21158333333333335</v>
      </c>
      <c r="Z13" s="1719">
        <f t="shared" ref="Z13:AJ13" si="5">(-0.163*(Z12^2)-0.59*Z12+7617)*(10^(-4))/Z11</f>
        <v>0.21158333333333335</v>
      </c>
      <c r="AA13" s="1719">
        <f t="shared" si="5"/>
        <v>0.21158333333333335</v>
      </c>
      <c r="AB13" s="1719">
        <f t="shared" si="5"/>
        <v>0.21158333333333335</v>
      </c>
      <c r="AC13" s="1719">
        <f t="shared" si="5"/>
        <v>0.21158333333333335</v>
      </c>
      <c r="AD13" s="1719">
        <f t="shared" si="5"/>
        <v>0.21158333333333335</v>
      </c>
      <c r="AE13" s="1719">
        <f t="shared" si="5"/>
        <v>0.21158333333333335</v>
      </c>
      <c r="AF13" s="1719">
        <f t="shared" si="5"/>
        <v>0.21158333333333335</v>
      </c>
      <c r="AG13" s="1719">
        <f t="shared" si="5"/>
        <v>0.21158333333333335</v>
      </c>
      <c r="AH13" s="1719">
        <f t="shared" si="5"/>
        <v>0.21158333333333335</v>
      </c>
      <c r="AI13" s="1719">
        <f t="shared" si="5"/>
        <v>0.21158333333333335</v>
      </c>
      <c r="AJ13" s="1719">
        <f t="shared" si="5"/>
        <v>0.21158333333333335</v>
      </c>
    </row>
    <row r="14" spans="1:36" ht="15">
      <c r="A14" s="3079"/>
      <c r="B14" s="2556"/>
      <c r="C14" s="2557" t="s">
        <v>2663</v>
      </c>
      <c r="D14" s="2558" t="s">
        <v>2664</v>
      </c>
      <c r="E14" s="2558" t="s">
        <v>2664</v>
      </c>
      <c r="F14" s="2559" t="s">
        <v>2665</v>
      </c>
      <c r="G14" s="2560" t="s">
        <v>2666</v>
      </c>
      <c r="H14" s="2561"/>
      <c r="I14" s="2562"/>
      <c r="J14" s="2563"/>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80"/>
      <c r="B15" s="2564" t="s">
        <v>2667</v>
      </c>
      <c r="C15" s="150">
        <f>IF(C14="有",1.1,1)</f>
        <v>1.1000000000000001</v>
      </c>
      <c r="D15" s="150">
        <f>IF(D14="有",1.1,1)</f>
        <v>1</v>
      </c>
      <c r="E15" s="150">
        <f>IF(E14="有",1.1,1)</f>
        <v>1</v>
      </c>
      <c r="F15" s="150">
        <f>IF(F14="500米范围内",1.2,IF(F14="500-1000米",1.1,1))</f>
        <v>1.2</v>
      </c>
      <c r="G15" s="976">
        <v>1</v>
      </c>
      <c r="H15" s="976">
        <v>1</v>
      </c>
      <c r="I15" s="976">
        <v>1</v>
      </c>
      <c r="J15" s="977">
        <v>1</v>
      </c>
      <c r="L15" s="2565" t="s">
        <v>2668</v>
      </c>
      <c r="M15" s="945" t="s">
        <v>2669</v>
      </c>
      <c r="N15" s="945" t="s">
        <v>2670</v>
      </c>
      <c r="O15" s="945" t="s">
        <v>2671</v>
      </c>
      <c r="P15" s="2566"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77">
        <f>IF(E2="办公",2,IF(E2="工业",2,IF(E2="住宅",3,IF(E2="商业",IF(C8="不临58条商业街",2,3)))))</f>
        <v>2</v>
      </c>
      <c r="B16" s="2532" t="s">
        <v>2673</v>
      </c>
      <c r="C16" s="1883">
        <f>ROUND(SUM(G17:J17)/C17,0)</f>
        <v>31</v>
      </c>
      <c r="D16" s="2567" t="s">
        <v>2674</v>
      </c>
      <c r="E16" s="2568" t="s">
        <v>2820</v>
      </c>
      <c r="F16" s="2569" t="s">
        <v>2821</v>
      </c>
      <c r="G16" s="2570" t="s">
        <v>2822</v>
      </c>
      <c r="H16" s="2570" t="s">
        <v>2823</v>
      </c>
      <c r="I16" s="2570"/>
      <c r="J16" s="2571"/>
      <c r="L16" s="1458" t="s">
        <v>2675</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78"/>
      <c r="B17" s="2572" t="s">
        <v>2676</v>
      </c>
      <c r="C17" s="949">
        <f>SUMPRODUCT((修正!A2:A5=E2)*(修正!B1:M1=G2)*(修正!B2:M5))</f>
        <v>3.5</v>
      </c>
      <c r="D17" s="2573" t="s">
        <v>2677</v>
      </c>
      <c r="E17" s="948" t="str">
        <f>IF(OR(G2="八级",G2="九级",G2="十级",G2="十一级",G2="十二级"),"五通一平","七通一平")</f>
        <v>七通一平</v>
      </c>
      <c r="F17" s="949" t="s">
        <v>2678</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2" t="s">
        <v>2679</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5"/>
      <c r="AH17" s="2505"/>
      <c r="AI17" s="2505"/>
      <c r="AJ17" s="2505"/>
    </row>
    <row r="18" spans="1:37" s="2524" customFormat="1" ht="15.75" thickBot="1">
      <c r="A18" s="2574" t="s">
        <v>2680</v>
      </c>
      <c r="B18" s="2575" t="s">
        <v>2681</v>
      </c>
      <c r="C18" s="951">
        <f>SUMIF(修正!C18:C39,E3,修正!E18:E39)</f>
        <v>1</v>
      </c>
      <c r="D18" s="2576"/>
      <c r="E18" s="2577"/>
      <c r="F18" s="2578"/>
      <c r="G18" s="2579"/>
      <c r="H18" s="2579"/>
      <c r="I18" s="2579"/>
      <c r="J18" s="2580"/>
      <c r="K18" s="2581"/>
      <c r="O18" s="1460"/>
      <c r="P18" s="1460"/>
      <c r="Q18" s="1460"/>
      <c r="R18" s="1460"/>
      <c r="S18" s="1460"/>
      <c r="T18" s="1460"/>
      <c r="U18" s="1460"/>
      <c r="V18" s="1460"/>
      <c r="W18" s="1460"/>
      <c r="X18" s="1460"/>
      <c r="Y18" s="1460"/>
      <c r="Z18" s="1460"/>
      <c r="AA18" s="1460"/>
      <c r="AB18" s="1460"/>
      <c r="AC18" s="1460"/>
      <c r="AD18" s="1460"/>
      <c r="AE18" s="1461"/>
      <c r="AF18" s="1461"/>
      <c r="AG18" s="2582"/>
      <c r="AH18" s="2582"/>
      <c r="AI18" s="2582"/>
    </row>
    <row r="19" spans="1:37" s="2524" customFormat="1" ht="29.25" thickBot="1">
      <c r="A19" s="2574" t="s">
        <v>2682</v>
      </c>
      <c r="B19" s="2575" t="s">
        <v>2683</v>
      </c>
      <c r="C19" s="952">
        <f>ROUND(IF(H19="按公示增长率计算",SUMPRODUCT((地价!A3:A22=YEAR(G19)&amp;"-"&amp;ROUNDUP(MONTH(G19)/3,0))*(地价!X2:AB2=E2)*(地价!X3:AB22)),IF(H19="地价指数",M20/M19,(1+I19)^O19)),4)</f>
        <v>1.2928999999999999</v>
      </c>
      <c r="D19" s="2583" t="s">
        <v>2684</v>
      </c>
      <c r="E19" s="953">
        <v>41640</v>
      </c>
      <c r="F19" s="2583" t="s">
        <v>2685</v>
      </c>
      <c r="G19" s="954">
        <f>'数据-取费表'!B2</f>
        <v>43257</v>
      </c>
      <c r="H19" s="2584" t="s">
        <v>2824</v>
      </c>
      <c r="I19" s="955" t="str">
        <f>IF(H19="季度增幅（自定义）",SUMIF(N21:N24,E2,O21:O24),"")</f>
        <v/>
      </c>
      <c r="J19" s="2580"/>
      <c r="K19" s="2581"/>
      <c r="L19" s="2585" t="s">
        <v>2686</v>
      </c>
      <c r="M19" s="1824">
        <f>ROUND(SUMIF(地价!B2:F2,E2,地价!B22:F22),0)</f>
        <v>258</v>
      </c>
      <c r="N19" s="1464" t="s">
        <v>2687</v>
      </c>
      <c r="O19" s="956">
        <f>ROUNDDOWN(DATEDIF(E19,G19,"M")/3,0)</f>
        <v>17</v>
      </c>
      <c r="P19" s="1461"/>
      <c r="R19" s="1460"/>
      <c r="S19" s="1460"/>
      <c r="T19" s="1460"/>
      <c r="U19" s="1460"/>
      <c r="V19" s="1460"/>
      <c r="W19" s="1460"/>
      <c r="X19" s="1460"/>
      <c r="Y19" s="1460"/>
      <c r="Z19" s="1460"/>
      <c r="AA19" s="1460"/>
      <c r="AB19" s="1460"/>
      <c r="AC19" s="1460"/>
      <c r="AD19" s="1460"/>
      <c r="AE19" s="2581"/>
      <c r="AF19" s="2586"/>
      <c r="AG19" s="2587"/>
      <c r="AH19" s="2582"/>
      <c r="AI19" s="2588"/>
      <c r="AJ19" s="2588"/>
      <c r="AK19" s="2588"/>
    </row>
    <row r="20" spans="1:37" s="2524" customFormat="1" ht="27.75" thickBot="1">
      <c r="A20" s="2589" t="s">
        <v>2688</v>
      </c>
      <c r="B20" s="2590" t="s">
        <v>2689</v>
      </c>
      <c r="C20" s="957">
        <f ca="1">ROUND(POWER(1+G20,J20-I20)*(POWER(1+G20,I20)-1)/(POWER(1+G20,J20)-1),4)</f>
        <v>1</v>
      </c>
      <c r="D20" s="2591" t="s">
        <v>2690</v>
      </c>
      <c r="E20" s="1854">
        <f ca="1">存贷款利率!D4/100</f>
        <v>4.3499999999999997E-2</v>
      </c>
      <c r="F20" s="2591" t="s">
        <v>2679</v>
      </c>
      <c r="G20" s="963">
        <f ca="1">SUMIF(M15:P15,E2,M17:P17)</f>
        <v>5.1999999999999998E-2</v>
      </c>
      <c r="H20" s="2591" t="s">
        <v>2691</v>
      </c>
      <c r="I20" s="964">
        <f>'数据-取费表'!B13</f>
        <v>50</v>
      </c>
      <c r="J20" s="965">
        <f>IF(E2="住宅",70,IF(E2="商业",40,50))</f>
        <v>50</v>
      </c>
      <c r="K20" s="2581"/>
      <c r="L20" s="2592" t="s">
        <v>2692</v>
      </c>
      <c r="M20" s="1825">
        <f>ROUND(SUMPRODUCT((地价!A4:A22=YEAR(G19)&amp;"-"&amp;ROUNDUP(MONTH(G19)/3,0))*(地价!B2:F2=E2)*(地价!B4:F22)),0)</f>
        <v>333</v>
      </c>
      <c r="N20" s="2593" t="s">
        <v>2693</v>
      </c>
      <c r="O20" s="2594" t="s">
        <v>2694</v>
      </c>
      <c r="P20" s="2595" t="s">
        <v>2695</v>
      </c>
      <c r="R20" s="1460"/>
      <c r="S20" s="1460"/>
      <c r="T20" s="1460"/>
      <c r="U20" s="1460"/>
      <c r="V20" s="1460"/>
      <c r="W20" s="1460"/>
      <c r="X20" s="1460"/>
      <c r="Y20" s="1460"/>
      <c r="Z20" s="1460"/>
      <c r="AA20" s="1460"/>
      <c r="AB20" s="1460"/>
      <c r="AC20" s="1460"/>
      <c r="AD20" s="1460"/>
      <c r="AE20" s="2581"/>
      <c r="AF20" s="2581"/>
    </row>
    <row r="21" spans="1:37" s="2524" customFormat="1" ht="14.25">
      <c r="A21" s="2596" t="s">
        <v>2696</v>
      </c>
      <c r="B21" s="2597" t="s">
        <v>2697</v>
      </c>
      <c r="C21" s="966">
        <f>IF(B21="容积率修正",IF(G3&lt;=10,D22,J22),C23)</f>
        <v>0.99219999999999997</v>
      </c>
      <c r="D21" s="2598"/>
      <c r="E21" s="2598"/>
      <c r="F21" s="2598"/>
      <c r="G21" s="2598"/>
      <c r="H21" s="2598"/>
      <c r="I21" s="2598"/>
      <c r="J21" s="2599"/>
      <c r="K21" s="2581"/>
      <c r="N21" s="2600" t="s">
        <v>2698</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81"/>
      <c r="AF21" s="2581"/>
    </row>
    <row r="22" spans="1:37" s="2524" customFormat="1" ht="14.25">
      <c r="A22" s="2601">
        <v>1</v>
      </c>
      <c r="B22" s="2602" t="s">
        <v>2699</v>
      </c>
      <c r="C22" s="1897" t="s">
        <v>2700</v>
      </c>
      <c r="D22" s="1897">
        <f>IF(E22=G22,F22,IF(G3&lt;=10,ROUND(F22+(H22-F22)*(G3-E22)/(G22-E22),4),"——"))</f>
        <v>0.99219999999999997</v>
      </c>
      <c r="E22" s="941">
        <f>ROUNDDOWN(G3,1)</f>
        <v>3.6</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0.99219999999999997</v>
      </c>
      <c r="G22" s="941">
        <f>ROUNDUP(G3,1)</f>
        <v>3.6</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0.99219999999999997</v>
      </c>
      <c r="I22" s="1897" t="s">
        <v>104</v>
      </c>
      <c r="J22" s="967" t="str">
        <f>IF(G3&gt;10,D113,"——")</f>
        <v>——</v>
      </c>
      <c r="K22" s="2581"/>
      <c r="N22" s="2600" t="s">
        <v>2701</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81"/>
      <c r="AF22" s="2581"/>
    </row>
    <row r="23" spans="1:37" ht="27">
      <c r="A23" s="2601">
        <v>2</v>
      </c>
      <c r="B23" s="2602" t="s">
        <v>2702</v>
      </c>
      <c r="C23" s="958">
        <f>ROUND(IF(G3&gt;1,IF(I3&lt;7,SUMPRODUCT((B93:B98=I3)*(C92:N92=G2)*(C93:N98)),SUMIF(C92:N92,G2,C100:N100)),IF(I3&lt;7,SUMPRODUCT((B102:B107=I3)*(C92:N92=G2)*(C102:N107)),SUMIF(C92:N92,G2,C109:N109))),4)</f>
        <v>0</v>
      </c>
      <c r="D23" s="2561"/>
      <c r="E23" s="2561"/>
      <c r="F23" s="2603"/>
      <c r="G23" s="2604"/>
      <c r="H23" s="2605"/>
      <c r="I23" s="2606"/>
      <c r="J23" s="2607"/>
      <c r="N23" s="2600" t="s">
        <v>2703</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82"/>
    </row>
    <row r="24" spans="1:37" s="2524" customFormat="1" ht="15.75" thickBot="1">
      <c r="A24" s="2608" t="s">
        <v>2704</v>
      </c>
      <c r="B24" s="2609" t="s">
        <v>2705</v>
      </c>
      <c r="C24" s="968">
        <f>SUMIF(A46:A88,E2,B46:B88)</f>
        <v>1.052</v>
      </c>
      <c r="D24" s="2610"/>
      <c r="E24" s="2611"/>
      <c r="F24" s="2611"/>
      <c r="G24" s="2611"/>
      <c r="H24" s="2611"/>
      <c r="I24" s="2611"/>
      <c r="J24" s="2612"/>
      <c r="K24" s="2581"/>
      <c r="N24" s="2613" t="s">
        <v>2706</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81"/>
      <c r="AF24" s="2581"/>
    </row>
    <row r="25" spans="1:37" ht="15" thickBot="1">
      <c r="A25" s="2589" t="s">
        <v>2707</v>
      </c>
      <c r="B25" s="2614" t="s">
        <v>2708</v>
      </c>
      <c r="C25" s="959"/>
      <c r="D25" s="2535"/>
      <c r="E25" s="2535"/>
      <c r="F25" s="2615"/>
      <c r="G25" s="2535"/>
      <c r="H25" s="2535"/>
      <c r="I25" s="2535"/>
      <c r="J25" s="2536"/>
      <c r="L25" s="1460"/>
      <c r="M25" s="1460"/>
      <c r="N25" s="2616" t="s">
        <v>2709</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7"/>
      <c r="B26" s="2602" t="s">
        <v>2710</v>
      </c>
      <c r="C26" s="123">
        <f ca="1">E29+SUM(E33:E39)</f>
        <v>0</v>
      </c>
      <c r="D26" s="2618"/>
      <c r="E26" s="2561"/>
      <c r="F26" s="2619"/>
      <c r="G26" s="2561"/>
      <c r="H26" s="2561"/>
      <c r="I26" s="2561"/>
      <c r="J26" s="2620"/>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7"/>
      <c r="B27" s="2621" t="s">
        <v>2711</v>
      </c>
      <c r="C27" s="960" t="e">
        <f ca="1">E30+SUM(I33:I39)</f>
        <v>#DIV/0!</v>
      </c>
      <c r="D27" s="2622"/>
      <c r="E27" s="2623"/>
      <c r="F27" s="2624"/>
      <c r="G27" s="2623"/>
      <c r="H27" s="2623"/>
      <c r="I27" s="2623"/>
      <c r="J27" s="2625"/>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9"/>
      <c r="B28" s="2626" t="s">
        <v>2712</v>
      </c>
      <c r="C28" s="2627" t="s">
        <v>2713</v>
      </c>
      <c r="D28" s="2627" t="s">
        <v>2714</v>
      </c>
      <c r="E28" s="2628" t="s">
        <v>2715</v>
      </c>
      <c r="F28" s="2629"/>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0"/>
      <c r="B29" s="2631" t="s">
        <v>2716</v>
      </c>
      <c r="C29" s="123">
        <f ca="1">ROUND(C5*C18*C19*C20*C21*C24,0)</f>
        <v>31240</v>
      </c>
      <c r="D29" s="2632"/>
      <c r="E29" s="972">
        <f ca="1">ROUND(C29*D29,0)</f>
        <v>0</v>
      </c>
      <c r="F29" s="2633" t="s">
        <v>2717</v>
      </c>
      <c r="G29" s="2634"/>
      <c r="H29" s="2634"/>
      <c r="I29" s="2634"/>
      <c r="J29" s="2635"/>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5"/>
      <c r="AH29" s="2505"/>
      <c r="AI29" s="2505"/>
      <c r="AJ29" s="2505"/>
    </row>
    <row r="30" spans="1:37" ht="25.5" thickBot="1">
      <c r="A30" s="2636"/>
      <c r="B30" s="2637" t="s">
        <v>2718</v>
      </c>
      <c r="C30" s="150">
        <f ca="1">ROUND(IF(E2="工业",C29*M39,C29*M38),0)</f>
        <v>7810</v>
      </c>
      <c r="D30" s="2638">
        <f>项目基本情况!C12</f>
        <v>218.48</v>
      </c>
      <c r="E30" s="972">
        <f ca="1">ROUND(C30*D30,0)</f>
        <v>1706329</v>
      </c>
      <c r="F30" s="2639" t="s">
        <v>2719</v>
      </c>
      <c r="G30" s="2640"/>
      <c r="H30" s="2640"/>
      <c r="I30" s="2640"/>
      <c r="J30" s="2641"/>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5"/>
      <c r="AH30" s="2505"/>
      <c r="AI30" s="2505"/>
      <c r="AJ30" s="2505"/>
    </row>
    <row r="31" spans="1:37">
      <c r="A31" s="2642"/>
      <c r="B31" s="2643" t="s">
        <v>2720</v>
      </c>
      <c r="C31" s="2644" t="s">
        <v>2721</v>
      </c>
      <c r="D31" s="2548"/>
      <c r="E31" s="2644"/>
      <c r="F31" s="2644"/>
      <c r="G31" s="2546" t="s">
        <v>2722</v>
      </c>
      <c r="H31" s="2548"/>
      <c r="I31" s="2645"/>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5"/>
      <c r="AH31" s="2505"/>
      <c r="AI31" s="2505"/>
      <c r="AJ31" s="2505"/>
    </row>
    <row r="32" spans="1:37" ht="24">
      <c r="A32" s="2630"/>
      <c r="B32" s="2646"/>
      <c r="C32" s="482" t="s">
        <v>2713</v>
      </c>
      <c r="D32" s="479" t="s">
        <v>2714</v>
      </c>
      <c r="E32" s="479" t="s">
        <v>2715</v>
      </c>
      <c r="F32" s="367" t="s">
        <v>2723</v>
      </c>
      <c r="G32" s="958" t="s">
        <v>2713</v>
      </c>
      <c r="H32" s="958" t="s">
        <v>2714</v>
      </c>
      <c r="I32" s="958"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5"/>
      <c r="AH32" s="2505"/>
      <c r="AI32" s="2505"/>
      <c r="AJ32" s="2505"/>
    </row>
    <row r="33" spans="1:37">
      <c r="A33" s="3089" t="s">
        <v>2724</v>
      </c>
      <c r="B33" s="2647" t="s">
        <v>2725</v>
      </c>
      <c r="C33" s="123">
        <f ca="1">ROUND(D5*C19*C20*C24*F33,0)</f>
        <v>0</v>
      </c>
      <c r="D33" s="2632"/>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8"/>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0"/>
      <c r="B34" s="2552" t="s">
        <v>2726</v>
      </c>
      <c r="C34" s="123">
        <f ca="1">ROUND(D5*C19*C20*C24*F34,0)</f>
        <v>0</v>
      </c>
      <c r="D34" s="2632"/>
      <c r="E34" s="117">
        <f t="shared" ca="1" si="6"/>
        <v>0</v>
      </c>
      <c r="F34" s="117">
        <f>SUMIF(修正!A45:A56,G2,修正!C45:C56)</f>
        <v>0.5</v>
      </c>
      <c r="G34" s="117">
        <f t="shared" ca="1" si="7"/>
        <v>0</v>
      </c>
      <c r="H34" s="117">
        <f t="shared" ref="H34:H39" si="9">D34</f>
        <v>0</v>
      </c>
      <c r="I34" s="117">
        <f t="shared" ca="1" si="8"/>
        <v>0</v>
      </c>
      <c r="J34" s="2648"/>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0"/>
      <c r="B35" s="2552" t="s">
        <v>2727</v>
      </c>
      <c r="C35" s="123">
        <f ca="1">ROUND(D5*C19*C20*C24*F35,0)</f>
        <v>0</v>
      </c>
      <c r="D35" s="2632"/>
      <c r="E35" s="117">
        <f t="shared" ca="1" si="6"/>
        <v>0</v>
      </c>
      <c r="F35" s="117">
        <f>SUMIF(修正!A45:A56,G2,修正!D45:D56)</f>
        <v>0.36</v>
      </c>
      <c r="G35" s="117">
        <f t="shared" ca="1" si="7"/>
        <v>0</v>
      </c>
      <c r="H35" s="117">
        <f t="shared" si="9"/>
        <v>0</v>
      </c>
      <c r="I35" s="117">
        <f t="shared" ca="1" si="8"/>
        <v>0</v>
      </c>
      <c r="J35" s="2648"/>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1"/>
      <c r="B36" s="2552" t="s">
        <v>2728</v>
      </c>
      <c r="C36" s="123">
        <f ca="1">ROUND(D5*C19*C20*C24*F36,0)</f>
        <v>0</v>
      </c>
      <c r="D36" s="2632"/>
      <c r="E36" s="117">
        <f t="shared" ca="1" si="6"/>
        <v>0</v>
      </c>
      <c r="F36" s="117">
        <f>SUMIF(修正!A45:A56,G2,修正!E45:E56)</f>
        <v>0.3</v>
      </c>
      <c r="G36" s="117">
        <f t="shared" ca="1" si="7"/>
        <v>0</v>
      </c>
      <c r="H36" s="117">
        <f t="shared" si="9"/>
        <v>0</v>
      </c>
      <c r="I36" s="117">
        <f t="shared" ca="1" si="8"/>
        <v>0</v>
      </c>
      <c r="J36" s="2648"/>
      <c r="L36" s="2649"/>
      <c r="M36" s="2649"/>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0"/>
      <c r="B37" s="2552" t="s">
        <v>2729</v>
      </c>
      <c r="C37" s="117">
        <f ca="1">ROUND(C5*C19*C20*C24*F37,0)</f>
        <v>9446</v>
      </c>
      <c r="D37" s="2632"/>
      <c r="E37" s="117">
        <f t="shared" ca="1" si="6"/>
        <v>0</v>
      </c>
      <c r="F37" s="123">
        <f>SUMIF(修正!A45:A56,G2,修正!F45:F56)</f>
        <v>0.3</v>
      </c>
      <c r="G37" s="117">
        <f t="shared" ca="1" si="7"/>
        <v>2362</v>
      </c>
      <c r="H37" s="117">
        <f t="shared" si="9"/>
        <v>0</v>
      </c>
      <c r="I37" s="117">
        <f t="shared" ca="1" si="8"/>
        <v>0</v>
      </c>
      <c r="J37" s="2648"/>
      <c r="L37" s="2651" t="s">
        <v>2730</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0"/>
      <c r="B38" s="2552" t="s">
        <v>2731</v>
      </c>
      <c r="C38" s="117">
        <f ca="1">ROUND(C5*C19*C20*C24*F38,0)</f>
        <v>9446</v>
      </c>
      <c r="D38" s="2632"/>
      <c r="E38" s="117">
        <f t="shared" ca="1" si="6"/>
        <v>0</v>
      </c>
      <c r="F38" s="123">
        <f>SUMIF(修正!A45:A56,G2,修正!G45:G56)</f>
        <v>0.3</v>
      </c>
      <c r="G38" s="117">
        <f t="shared" ca="1" si="7"/>
        <v>2362</v>
      </c>
      <c r="H38" s="117">
        <f t="shared" si="9"/>
        <v>0</v>
      </c>
      <c r="I38" s="117">
        <f t="shared" ca="1" si="8"/>
        <v>0</v>
      </c>
      <c r="J38" s="2648"/>
      <c r="L38" s="2652" t="s">
        <v>2732</v>
      </c>
      <c r="M38" s="2653">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6"/>
      <c r="B39" s="2654" t="s">
        <v>2733</v>
      </c>
      <c r="C39" s="150">
        <f ca="1">ROUND(C5*C19*C20*C24*F39,0)</f>
        <v>7871</v>
      </c>
      <c r="D39" s="2638"/>
      <c r="E39" s="150">
        <f t="shared" ca="1" si="6"/>
        <v>0</v>
      </c>
      <c r="F39" s="961">
        <f>SUMIF(修正!A45:A56,G2,修正!H45:H56)</f>
        <v>0.25</v>
      </c>
      <c r="G39" s="150" t="e">
        <f t="shared" si="7"/>
        <v>#DIV/0!</v>
      </c>
      <c r="H39" s="150">
        <f t="shared" si="9"/>
        <v>0</v>
      </c>
      <c r="I39" s="150" t="e">
        <f t="shared" si="8"/>
        <v>#DIV/0!</v>
      </c>
      <c r="J39" s="2655"/>
      <c r="L39" s="2656" t="s">
        <v>2672</v>
      </c>
      <c r="M39" s="2657">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9"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8"/>
      <c r="AH40" s="2658"/>
      <c r="AI40" s="2658"/>
      <c r="AJ40" s="2658"/>
    </row>
    <row r="41" spans="1:37" s="2659" customFormat="1">
      <c r="A41" s="1461"/>
      <c r="B41" s="2660"/>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8"/>
      <c r="AH41" s="2658"/>
      <c r="AI41" s="2658"/>
      <c r="AJ41" s="2658"/>
    </row>
    <row r="42" spans="1:37" s="2659" customFormat="1">
      <c r="A42" s="1461"/>
      <c r="B42" s="2660"/>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8"/>
      <c r="AH42" s="2658"/>
      <c r="AI42" s="2658"/>
      <c r="AJ42" s="2658"/>
    </row>
    <row r="43" spans="1:37" s="2659" customFormat="1">
      <c r="A43" s="1461"/>
      <c r="B43" s="2660"/>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8"/>
      <c r="AH43" s="2658"/>
      <c r="AI43" s="2658"/>
      <c r="AJ43" s="2658"/>
    </row>
    <row r="44" spans="1:37" s="2659" customFormat="1">
      <c r="A44" s="1461"/>
      <c r="B44" s="2660"/>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8"/>
      <c r="AH44" s="2658"/>
      <c r="AI44" s="2658"/>
      <c r="AJ44" s="2658"/>
    </row>
    <row r="45" spans="1:37" s="2659" customFormat="1" ht="15.75" thickBot="1">
      <c r="A45" s="2661" t="s">
        <v>2734</v>
      </c>
      <c r="B45" s="2662"/>
      <c r="C45" s="9"/>
      <c r="D45" s="9"/>
      <c r="E45" s="9"/>
      <c r="F45" s="7"/>
      <c r="G45" s="9"/>
      <c r="H45" s="7"/>
      <c r="I45" s="9"/>
      <c r="J45" s="9"/>
      <c r="K45" s="9"/>
      <c r="L45" s="9"/>
      <c r="M45" s="9"/>
      <c r="N45" s="2503"/>
      <c r="O45" s="1460"/>
      <c r="P45" s="1460"/>
      <c r="Q45" s="1460"/>
      <c r="R45" s="1460"/>
      <c r="S45" s="1460"/>
      <c r="T45" s="1460"/>
      <c r="U45" s="1460"/>
      <c r="V45" s="1460"/>
      <c r="W45" s="1460"/>
      <c r="X45" s="1460"/>
      <c r="Y45" s="1460"/>
      <c r="Z45" s="1461"/>
      <c r="AA45" s="1461"/>
      <c r="AB45" s="1461"/>
      <c r="AC45" s="1461"/>
      <c r="AD45" s="1461"/>
      <c r="AE45" s="1461"/>
      <c r="AF45" s="1461"/>
      <c r="AG45" s="2658"/>
      <c r="AH45" s="2658"/>
      <c r="AI45" s="2658"/>
      <c r="AJ45" s="2658"/>
    </row>
    <row r="46" spans="1:37" s="2659" customFormat="1" ht="15" hidden="1">
      <c r="A46" s="2663" t="s">
        <v>2735</v>
      </c>
      <c r="B46" s="2664">
        <f>1+E48</f>
        <v>1</v>
      </c>
      <c r="C46" s="2665"/>
      <c r="D46" s="817"/>
      <c r="E46" s="818"/>
      <c r="F46" s="2666"/>
      <c r="G46" s="7"/>
      <c r="H46" s="9"/>
      <c r="I46" s="9"/>
      <c r="J46" s="9"/>
      <c r="K46" s="9"/>
      <c r="L46" s="9"/>
      <c r="M46" s="2503"/>
      <c r="N46" s="2667"/>
      <c r="O46" s="1460"/>
      <c r="P46" s="1460"/>
      <c r="Q46" s="1460"/>
      <c r="R46" s="1460"/>
      <c r="S46" s="1460"/>
      <c r="T46" s="1460"/>
      <c r="U46" s="1460"/>
      <c r="V46" s="1460"/>
      <c r="W46" s="1460"/>
      <c r="X46" s="1460"/>
      <c r="Y46" s="1461"/>
      <c r="Z46" s="1461"/>
      <c r="AA46" s="1461"/>
      <c r="AB46" s="1461"/>
      <c r="AC46" s="1461"/>
      <c r="AD46" s="1461"/>
      <c r="AE46" s="1461"/>
      <c r="AF46" s="2658"/>
      <c r="AG46" s="2658"/>
      <c r="AH46" s="2658"/>
      <c r="AI46" s="2658"/>
    </row>
    <row r="47" spans="1:37" s="2659" customFormat="1" ht="24.75" hidden="1">
      <c r="A47" s="2668" t="s">
        <v>2736</v>
      </c>
      <c r="B47" s="823" t="s">
        <v>2737</v>
      </c>
      <c r="C47" s="823" t="s">
        <v>2738</v>
      </c>
      <c r="D47" s="823" t="s">
        <v>2739</v>
      </c>
      <c r="E47" s="824" t="s">
        <v>2740</v>
      </c>
      <c r="F47" s="2669" t="s">
        <v>2741</v>
      </c>
      <c r="G47" s="823" t="s">
        <v>2742</v>
      </c>
      <c r="H47" s="2670"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8"/>
      <c r="AI47" s="2658"/>
      <c r="AJ47" s="2658"/>
      <c r="AK47" s="2658"/>
    </row>
    <row r="48" spans="1:37" s="2659" customFormat="1" ht="24.75" hidden="1">
      <c r="A48" s="2668" t="s">
        <v>2750</v>
      </c>
      <c r="B48" s="2671">
        <f>估价对象房地状况!C16</f>
        <v>0</v>
      </c>
      <c r="C48" s="2558"/>
      <c r="D48" s="1374">
        <f t="shared" ref="D48:D56" si="10">SUMIF($J$47:$N$47,C48,J48:N48)</f>
        <v>0</v>
      </c>
      <c r="E48" s="829">
        <f>ROUND(SUM(D48:D56),4)</f>
        <v>0</v>
      </c>
      <c r="F48" s="2274"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8"/>
      <c r="AI48" s="2658"/>
      <c r="AJ48" s="2658"/>
      <c r="AK48" s="2658"/>
    </row>
    <row r="49" spans="1:37" s="2659" customFormat="1" ht="14.25" hidden="1">
      <c r="A49" s="2668" t="s">
        <v>2751</v>
      </c>
      <c r="B49" s="2672" t="str">
        <f>估价对象房地状况!C18</f>
        <v>较好</v>
      </c>
      <c r="C49" s="2558"/>
      <c r="D49" s="1374">
        <f t="shared" si="10"/>
        <v>0</v>
      </c>
      <c r="E49" s="832"/>
      <c r="F49" s="2274"/>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8"/>
      <c r="AI49" s="2658"/>
      <c r="AJ49" s="2658"/>
      <c r="AK49" s="2658"/>
    </row>
    <row r="50" spans="1:37" s="2659" customFormat="1" ht="24" hidden="1">
      <c r="A50" s="2668" t="s">
        <v>2752</v>
      </c>
      <c r="B50" s="2672">
        <f>估价对象房地状况!C19</f>
        <v>0</v>
      </c>
      <c r="C50" s="2558"/>
      <c r="D50" s="1374">
        <f t="shared" si="10"/>
        <v>0</v>
      </c>
      <c r="E50" s="832"/>
      <c r="F50" s="2274"/>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8"/>
      <c r="AI50" s="2658"/>
      <c r="AJ50" s="2658"/>
      <c r="AK50" s="2658"/>
    </row>
    <row r="51" spans="1:37" s="2659" customFormat="1" ht="36.75" hidden="1">
      <c r="A51" s="2668" t="s">
        <v>2753</v>
      </c>
      <c r="B51" s="2673" t="s">
        <v>2754</v>
      </c>
      <c r="C51" s="2558"/>
      <c r="D51" s="1374">
        <f t="shared" si="10"/>
        <v>0</v>
      </c>
      <c r="E51" s="832"/>
      <c r="F51" s="2274"/>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8"/>
      <c r="AI51" s="2658"/>
      <c r="AJ51" s="2658"/>
      <c r="AK51" s="2658"/>
    </row>
    <row r="52" spans="1:37" s="2659" customFormat="1" ht="24" hidden="1">
      <c r="A52" s="2668" t="s">
        <v>2755</v>
      </c>
      <c r="B52" s="2672">
        <f>估价对象房地状况!C24</f>
        <v>0</v>
      </c>
      <c r="C52" s="2558"/>
      <c r="D52" s="1374">
        <f t="shared" si="10"/>
        <v>0</v>
      </c>
      <c r="E52" s="832"/>
      <c r="F52" s="2274"/>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8"/>
      <c r="AI52" s="2658"/>
      <c r="AJ52" s="2658"/>
      <c r="AK52" s="2658"/>
    </row>
    <row r="53" spans="1:37" s="2659" customFormat="1" ht="24" hidden="1">
      <c r="A53" s="2668" t="s">
        <v>2756</v>
      </c>
      <c r="B53" s="2674" t="s">
        <v>2757</v>
      </c>
      <c r="C53" s="2558"/>
      <c r="D53" s="1374">
        <f t="shared" si="10"/>
        <v>0</v>
      </c>
      <c r="E53" s="832"/>
      <c r="F53" s="2274"/>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8"/>
      <c r="AI53" s="2658"/>
      <c r="AJ53" s="2658"/>
      <c r="AK53" s="2658"/>
    </row>
    <row r="54" spans="1:37" s="2659" customFormat="1" ht="24" hidden="1">
      <c r="A54" s="2675" t="s">
        <v>2758</v>
      </c>
      <c r="B54" s="2676" t="str">
        <f>估价对象房地状况!C21</f>
        <v>较好</v>
      </c>
      <c r="C54" s="2558"/>
      <c r="D54" s="1374">
        <f t="shared" si="10"/>
        <v>0</v>
      </c>
      <c r="E54" s="832"/>
      <c r="F54" s="2274"/>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8"/>
      <c r="AI54" s="2658"/>
      <c r="AJ54" s="2658"/>
      <c r="AK54" s="2658"/>
    </row>
    <row r="55" spans="1:37" s="2659" customFormat="1" ht="24" hidden="1">
      <c r="A55" s="2675" t="s">
        <v>2759</v>
      </c>
      <c r="B55" s="2672" t="str">
        <f>估价对象房地状况!C22</f>
        <v>七通</v>
      </c>
      <c r="C55" s="2558"/>
      <c r="D55" s="1374">
        <f t="shared" si="10"/>
        <v>0</v>
      </c>
      <c r="E55" s="832"/>
      <c r="F55" s="2274"/>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8"/>
      <c r="AI55" s="2658"/>
      <c r="AJ55" s="2658"/>
      <c r="AK55" s="2658"/>
    </row>
    <row r="56" spans="1:37" s="2659" customFormat="1" ht="24.75" hidden="1" thickBot="1">
      <c r="A56" s="2677" t="s">
        <v>2760</v>
      </c>
      <c r="B56" s="2678" t="str">
        <f>估价对象房地状况!C20</f>
        <v>较好</v>
      </c>
      <c r="C56" s="2558"/>
      <c r="D56" s="1374">
        <f t="shared" si="10"/>
        <v>0</v>
      </c>
      <c r="E56" s="838"/>
      <c r="F56" s="2274"/>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8"/>
      <c r="AI56" s="2658"/>
      <c r="AJ56" s="2658"/>
      <c r="AK56" s="2658"/>
    </row>
    <row r="57" spans="1:37" s="2659" customFormat="1" ht="15">
      <c r="A57" s="2663" t="s">
        <v>2761</v>
      </c>
      <c r="B57" s="2679">
        <f>1+E59</f>
        <v>1.052</v>
      </c>
      <c r="C57" s="817"/>
      <c r="D57" s="817"/>
      <c r="E57" s="818"/>
      <c r="F57" s="2666"/>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8"/>
      <c r="AI57" s="2658"/>
      <c r="AJ57" s="2658"/>
      <c r="AK57" s="2658"/>
    </row>
    <row r="58" spans="1:37" s="2659" customFormat="1" ht="24.75">
      <c r="A58" s="2668" t="s">
        <v>2736</v>
      </c>
      <c r="B58" s="2672"/>
      <c r="C58" s="823" t="s">
        <v>2738</v>
      </c>
      <c r="D58" s="823" t="s">
        <v>2739</v>
      </c>
      <c r="E58" s="824" t="s">
        <v>2740</v>
      </c>
      <c r="F58" s="2669" t="s">
        <v>2741</v>
      </c>
      <c r="G58" s="823" t="s">
        <v>2762</v>
      </c>
      <c r="H58" s="2670" t="s">
        <v>2763</v>
      </c>
      <c r="I58" s="823" t="s">
        <v>2764</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8"/>
      <c r="AI58" s="2658"/>
      <c r="AJ58" s="2658"/>
      <c r="AK58" s="2658"/>
    </row>
    <row r="59" spans="1:37" s="2659" customFormat="1" ht="24">
      <c r="A59" s="2668" t="s">
        <v>2765</v>
      </c>
      <c r="B59" s="2671" t="str">
        <f>估价对象房地状况!C17</f>
        <v>较好</v>
      </c>
      <c r="C59" s="2733" t="s">
        <v>29</v>
      </c>
      <c r="D59" s="1374">
        <f t="shared" ref="D59:D67" si="15">SUMIF($J$58:$N$58,C59,J59:N59)</f>
        <v>1.6E-2</v>
      </c>
      <c r="E59" s="829">
        <f>ROUND(SUM(D59:D67),4)</f>
        <v>5.1999999999999998E-2</v>
      </c>
      <c r="F59" s="2274">
        <f>IF(E2="办公",SUMIF(L1:L12,G2,N1:N12),"——")</f>
        <v>7.0999999999999994E-2</v>
      </c>
      <c r="G59" s="2747">
        <v>8.0000000000000002E-3</v>
      </c>
      <c r="H59" s="1379">
        <f t="shared" ref="H59:H67" si="16">IFERROR(ROUNDDOWN($F$59*I59/2,4),"——")</f>
        <v>8.5000000000000006E-3</v>
      </c>
      <c r="I59" s="828">
        <v>0.24</v>
      </c>
      <c r="J59" s="1376">
        <f t="shared" ref="J59:J67" si="17">K59+$G59</f>
        <v>1.6E-2</v>
      </c>
      <c r="K59" s="1376">
        <f t="shared" ref="K59:K67" si="18">$L59+$G59</f>
        <v>8.0000000000000002E-3</v>
      </c>
      <c r="L59" s="1376">
        <v>0</v>
      </c>
      <c r="M59" s="1376">
        <f t="shared" ref="M59:N67" si="19">L59-$G59</f>
        <v>-8.0000000000000002E-3</v>
      </c>
      <c r="N59" s="1376">
        <f t="shared" si="19"/>
        <v>-1.6E-2</v>
      </c>
      <c r="O59" s="1460"/>
      <c r="P59" s="1460"/>
      <c r="Q59" s="1460"/>
      <c r="R59" s="1460"/>
      <c r="S59" s="1460"/>
      <c r="T59" s="1460"/>
      <c r="U59" s="1460"/>
      <c r="V59" s="1460"/>
      <c r="W59" s="1460"/>
      <c r="X59" s="1460"/>
      <c r="Y59" s="1460"/>
      <c r="Z59" s="1460"/>
      <c r="AA59" s="1461"/>
      <c r="AB59" s="1461"/>
      <c r="AC59" s="1461"/>
      <c r="AD59" s="1461"/>
      <c r="AE59" s="1461"/>
      <c r="AF59" s="1461"/>
      <c r="AG59" s="1461"/>
      <c r="AH59" s="2658"/>
      <c r="AI59" s="2658"/>
      <c r="AJ59" s="2658"/>
      <c r="AK59" s="2658"/>
    </row>
    <row r="60" spans="1:37" s="2659" customFormat="1" ht="14.25">
      <c r="A60" s="2668" t="s">
        <v>2751</v>
      </c>
      <c r="B60" s="2672" t="str">
        <f>估价对象房地状况!C18</f>
        <v>较好</v>
      </c>
      <c r="C60" s="2733" t="s">
        <v>29</v>
      </c>
      <c r="D60" s="1374">
        <f t="shared" si="15"/>
        <v>0.02</v>
      </c>
      <c r="E60" s="832"/>
      <c r="F60" s="2274"/>
      <c r="G60" s="2747">
        <v>0.01</v>
      </c>
      <c r="H60" s="1379">
        <f t="shared" si="16"/>
        <v>1.06E-2</v>
      </c>
      <c r="I60" s="828">
        <v>0.3</v>
      </c>
      <c r="J60" s="1376">
        <f t="shared" si="17"/>
        <v>0.02</v>
      </c>
      <c r="K60" s="1376">
        <f t="shared" si="18"/>
        <v>0.01</v>
      </c>
      <c r="L60" s="1376">
        <v>0</v>
      </c>
      <c r="M60" s="1376">
        <f t="shared" si="19"/>
        <v>-0.01</v>
      </c>
      <c r="N60" s="1376">
        <f t="shared" si="19"/>
        <v>-0.02</v>
      </c>
      <c r="O60" s="1460"/>
      <c r="P60" s="1460"/>
      <c r="Q60" s="1460"/>
      <c r="R60" s="1460"/>
      <c r="S60" s="1460"/>
      <c r="T60" s="1460"/>
      <c r="U60" s="1460"/>
      <c r="V60" s="1460"/>
      <c r="W60" s="1460"/>
      <c r="X60" s="1460"/>
      <c r="Y60" s="1460"/>
      <c r="Z60" s="1460"/>
      <c r="AA60" s="1461"/>
      <c r="AB60" s="1461"/>
      <c r="AC60" s="1461"/>
      <c r="AD60" s="1461"/>
      <c r="AE60" s="1461"/>
      <c r="AF60" s="1461"/>
      <c r="AG60" s="1461"/>
      <c r="AH60" s="2658"/>
      <c r="AI60" s="2658"/>
      <c r="AJ60" s="2658"/>
      <c r="AK60" s="2658"/>
    </row>
    <row r="61" spans="1:37" s="2659" customFormat="1" ht="24">
      <c r="A61" s="2668" t="s">
        <v>2752</v>
      </c>
      <c r="B61" s="2672">
        <f>估价对象房地状况!C19</f>
        <v>0</v>
      </c>
      <c r="C61" s="2733" t="s">
        <v>30</v>
      </c>
      <c r="D61" s="1374">
        <f t="shared" si="15"/>
        <v>2E-3</v>
      </c>
      <c r="E61" s="832"/>
      <c r="F61" s="2274"/>
      <c r="G61" s="2747">
        <v>2E-3</v>
      </c>
      <c r="H61" s="1379">
        <f t="shared" si="16"/>
        <v>2.8E-3</v>
      </c>
      <c r="I61" s="828">
        <v>0.08</v>
      </c>
      <c r="J61" s="1376">
        <f t="shared" si="17"/>
        <v>4.0000000000000001E-3</v>
      </c>
      <c r="K61" s="1376">
        <f t="shared" si="18"/>
        <v>2E-3</v>
      </c>
      <c r="L61" s="1376">
        <v>0</v>
      </c>
      <c r="M61" s="1376">
        <f t="shared" si="19"/>
        <v>-2E-3</v>
      </c>
      <c r="N61" s="1376">
        <f t="shared" si="19"/>
        <v>-4.0000000000000001E-3</v>
      </c>
      <c r="O61" s="1460"/>
      <c r="P61" s="1460"/>
      <c r="Q61" s="1460"/>
      <c r="R61" s="1460"/>
      <c r="S61" s="1460"/>
      <c r="T61" s="1460"/>
      <c r="U61" s="1460"/>
      <c r="V61" s="1460"/>
      <c r="W61" s="1460"/>
      <c r="X61" s="1460"/>
      <c r="Y61" s="1460"/>
      <c r="Z61" s="1460"/>
      <c r="AA61" s="1461"/>
      <c r="AB61" s="1461"/>
      <c r="AC61" s="1461"/>
      <c r="AD61" s="1461"/>
      <c r="AE61" s="1461"/>
      <c r="AF61" s="1461"/>
      <c r="AG61" s="1461"/>
      <c r="AH61" s="2658"/>
      <c r="AI61" s="2658"/>
      <c r="AJ61" s="2658"/>
      <c r="AK61" s="2658"/>
    </row>
    <row r="62" spans="1:37" s="2659" customFormat="1" ht="36.75">
      <c r="A62" s="2668" t="s">
        <v>2753</v>
      </c>
      <c r="B62" s="2673" t="s">
        <v>2754</v>
      </c>
      <c r="C62" s="2733" t="s">
        <v>30</v>
      </c>
      <c r="D62" s="1374">
        <f t="shared" si="15"/>
        <v>1E-3</v>
      </c>
      <c r="E62" s="832"/>
      <c r="F62" s="2274"/>
      <c r="G62" s="2747">
        <v>1E-3</v>
      </c>
      <c r="H62" s="1379">
        <f t="shared" si="16"/>
        <v>1.4E-3</v>
      </c>
      <c r="I62" s="828">
        <v>0.04</v>
      </c>
      <c r="J62" s="1376">
        <f t="shared" si="17"/>
        <v>2E-3</v>
      </c>
      <c r="K62" s="1376">
        <f t="shared" si="18"/>
        <v>1E-3</v>
      </c>
      <c r="L62" s="1376">
        <v>0</v>
      </c>
      <c r="M62" s="1376">
        <f t="shared" si="19"/>
        <v>-1E-3</v>
      </c>
      <c r="N62" s="1376">
        <f t="shared" si="19"/>
        <v>-2E-3</v>
      </c>
      <c r="O62" s="1460"/>
      <c r="P62" s="1460"/>
      <c r="Q62" s="1460"/>
      <c r="R62" s="1460"/>
      <c r="S62" s="1460"/>
      <c r="T62" s="1460"/>
      <c r="U62" s="1460"/>
      <c r="V62" s="1460"/>
      <c r="W62" s="1460"/>
      <c r="X62" s="1460"/>
      <c r="Y62" s="1460"/>
      <c r="Z62" s="1460"/>
      <c r="AA62" s="1461"/>
      <c r="AB62" s="1461"/>
      <c r="AC62" s="1461"/>
      <c r="AD62" s="1461"/>
      <c r="AE62" s="1461"/>
      <c r="AF62" s="1461"/>
      <c r="AG62" s="1461"/>
      <c r="AH62" s="2658"/>
      <c r="AI62" s="2658"/>
      <c r="AJ62" s="2658"/>
      <c r="AK62" s="2658"/>
    </row>
    <row r="63" spans="1:37" s="2659" customFormat="1" ht="24">
      <c r="A63" s="2668" t="s">
        <v>2755</v>
      </c>
      <c r="B63" s="2672">
        <f>估价对象房地状况!C24</f>
        <v>0</v>
      </c>
      <c r="C63" s="2733" t="s">
        <v>31</v>
      </c>
      <c r="D63" s="1374">
        <f t="shared" si="15"/>
        <v>0</v>
      </c>
      <c r="E63" s="832"/>
      <c r="F63" s="2274"/>
      <c r="G63" s="2747">
        <v>1E-3</v>
      </c>
      <c r="H63" s="1379">
        <f t="shared" si="16"/>
        <v>1.6999999999999999E-3</v>
      </c>
      <c r="I63" s="828">
        <v>0.05</v>
      </c>
      <c r="J63" s="1376">
        <f t="shared" si="17"/>
        <v>2E-3</v>
      </c>
      <c r="K63" s="1376">
        <f t="shared" si="18"/>
        <v>1E-3</v>
      </c>
      <c r="L63" s="1376">
        <v>0</v>
      </c>
      <c r="M63" s="1376">
        <f t="shared" si="19"/>
        <v>-1E-3</v>
      </c>
      <c r="N63" s="1376">
        <f t="shared" si="19"/>
        <v>-2E-3</v>
      </c>
      <c r="O63" s="1460"/>
      <c r="P63" s="1460"/>
      <c r="Q63" s="1460"/>
      <c r="R63" s="1460"/>
      <c r="S63" s="1460"/>
      <c r="T63" s="1460"/>
      <c r="U63" s="1460"/>
      <c r="V63" s="1460"/>
      <c r="W63" s="1460"/>
      <c r="X63" s="1460"/>
      <c r="Y63" s="1460"/>
      <c r="Z63" s="1460"/>
      <c r="AA63" s="1461"/>
      <c r="AB63" s="1461"/>
      <c r="AC63" s="1461"/>
      <c r="AD63" s="1461"/>
      <c r="AE63" s="1461"/>
      <c r="AF63" s="1461"/>
      <c r="AG63" s="1461"/>
      <c r="AH63" s="2658"/>
      <c r="AI63" s="2658"/>
      <c r="AJ63" s="2658"/>
      <c r="AK63" s="2658"/>
    </row>
    <row r="64" spans="1:37" s="2659" customFormat="1" ht="24">
      <c r="A64" s="2668" t="s">
        <v>2756</v>
      </c>
      <c r="B64" s="2674" t="s">
        <v>2757</v>
      </c>
      <c r="C64" s="2733" t="s">
        <v>30</v>
      </c>
      <c r="D64" s="1374">
        <f t="shared" si="15"/>
        <v>1E-3</v>
      </c>
      <c r="E64" s="832"/>
      <c r="F64" s="2274"/>
      <c r="G64" s="2747">
        <v>1E-3</v>
      </c>
      <c r="H64" s="1379">
        <f t="shared" si="16"/>
        <v>1.6999999999999999E-3</v>
      </c>
      <c r="I64" s="828">
        <v>0.05</v>
      </c>
      <c r="J64" s="1376">
        <f t="shared" si="17"/>
        <v>2E-3</v>
      </c>
      <c r="K64" s="1376">
        <f t="shared" si="18"/>
        <v>1E-3</v>
      </c>
      <c r="L64" s="1376">
        <v>0</v>
      </c>
      <c r="M64" s="1376">
        <f t="shared" si="19"/>
        <v>-1E-3</v>
      </c>
      <c r="N64" s="1376">
        <f t="shared" si="19"/>
        <v>-2E-3</v>
      </c>
      <c r="O64" s="1460"/>
      <c r="P64" s="1460"/>
      <c r="Q64" s="1460"/>
      <c r="R64" s="1460"/>
      <c r="S64" s="1460"/>
      <c r="T64" s="1460"/>
      <c r="U64" s="1460"/>
      <c r="V64" s="1460"/>
      <c r="W64" s="1460"/>
      <c r="X64" s="1460"/>
      <c r="Y64" s="1460"/>
      <c r="Z64" s="1460"/>
      <c r="AA64" s="1461"/>
      <c r="AB64" s="1461"/>
      <c r="AC64" s="1461"/>
      <c r="AD64" s="1461"/>
      <c r="AE64" s="1461"/>
      <c r="AF64" s="1461"/>
      <c r="AG64" s="1461"/>
      <c r="AH64" s="2658"/>
      <c r="AI64" s="2658"/>
      <c r="AJ64" s="2658"/>
      <c r="AK64" s="2658"/>
    </row>
    <row r="65" spans="1:37" s="2659" customFormat="1" ht="24">
      <c r="A65" s="2668" t="s">
        <v>2758</v>
      </c>
      <c r="B65" s="2676" t="str">
        <f>估价对象房地状况!C21</f>
        <v>较好</v>
      </c>
      <c r="C65" s="2733" t="s">
        <v>30</v>
      </c>
      <c r="D65" s="1374">
        <f t="shared" si="15"/>
        <v>2E-3</v>
      </c>
      <c r="E65" s="832"/>
      <c r="F65" s="2274"/>
      <c r="G65" s="2747">
        <v>2E-3</v>
      </c>
      <c r="H65" s="1379">
        <f t="shared" si="16"/>
        <v>2.0999999999999999E-3</v>
      </c>
      <c r="I65" s="828">
        <v>0.06</v>
      </c>
      <c r="J65" s="1376">
        <f t="shared" si="17"/>
        <v>4.0000000000000001E-3</v>
      </c>
      <c r="K65" s="1376">
        <f t="shared" si="18"/>
        <v>2E-3</v>
      </c>
      <c r="L65" s="1376">
        <v>0</v>
      </c>
      <c r="M65" s="1376">
        <f t="shared" si="19"/>
        <v>-2E-3</v>
      </c>
      <c r="N65" s="1376">
        <f t="shared" si="19"/>
        <v>-4.0000000000000001E-3</v>
      </c>
      <c r="O65" s="1460"/>
      <c r="P65" s="1460"/>
      <c r="Q65" s="1460"/>
      <c r="R65" s="1460"/>
      <c r="S65" s="1460"/>
      <c r="T65" s="1460"/>
      <c r="U65" s="1460"/>
      <c r="V65" s="1460"/>
      <c r="W65" s="1460"/>
      <c r="X65" s="1460"/>
      <c r="Y65" s="1460"/>
      <c r="Z65" s="1460"/>
      <c r="AA65" s="1461"/>
      <c r="AB65" s="1461"/>
      <c r="AC65" s="1461"/>
      <c r="AD65" s="1461"/>
      <c r="AE65" s="1461"/>
      <c r="AF65" s="1461"/>
      <c r="AG65" s="1461"/>
      <c r="AH65" s="2658"/>
      <c r="AI65" s="2658"/>
      <c r="AJ65" s="2658"/>
      <c r="AK65" s="2658"/>
    </row>
    <row r="66" spans="1:37" s="2659" customFormat="1" ht="24">
      <c r="A66" s="2668" t="s">
        <v>2759</v>
      </c>
      <c r="B66" s="2676" t="str">
        <f>估价对象房地状况!C22</f>
        <v>七通</v>
      </c>
      <c r="C66" s="2733" t="s">
        <v>29</v>
      </c>
      <c r="D66" s="1374">
        <f t="shared" si="15"/>
        <v>8.0000000000000002E-3</v>
      </c>
      <c r="E66" s="832"/>
      <c r="F66" s="2274"/>
      <c r="G66" s="2747">
        <v>4.0000000000000001E-3</v>
      </c>
      <c r="H66" s="1379">
        <f t="shared" si="16"/>
        <v>4.1999999999999997E-3</v>
      </c>
      <c r="I66" s="828">
        <v>0.12</v>
      </c>
      <c r="J66" s="1376">
        <f t="shared" si="17"/>
        <v>8.0000000000000002E-3</v>
      </c>
      <c r="K66" s="1376">
        <f t="shared" si="18"/>
        <v>4.0000000000000001E-3</v>
      </c>
      <c r="L66" s="1376">
        <v>0</v>
      </c>
      <c r="M66" s="1376">
        <f t="shared" si="19"/>
        <v>-4.0000000000000001E-3</v>
      </c>
      <c r="N66" s="1376">
        <f t="shared" si="19"/>
        <v>-8.0000000000000002E-3</v>
      </c>
      <c r="O66" s="1460"/>
      <c r="P66" s="1460"/>
      <c r="Q66" s="1460"/>
      <c r="R66" s="1460"/>
      <c r="S66" s="1460"/>
      <c r="T66" s="1460"/>
      <c r="U66" s="1460"/>
      <c r="V66" s="1460"/>
      <c r="W66" s="1460"/>
      <c r="X66" s="1460"/>
      <c r="Y66" s="1460"/>
      <c r="Z66" s="1460"/>
      <c r="AA66" s="1461"/>
      <c r="AB66" s="1461"/>
      <c r="AC66" s="1461"/>
      <c r="AD66" s="1461"/>
      <c r="AE66" s="1461"/>
      <c r="AF66" s="1461"/>
      <c r="AG66" s="1461"/>
      <c r="AH66" s="2658"/>
      <c r="AI66" s="2658"/>
      <c r="AJ66" s="2658"/>
      <c r="AK66" s="2658"/>
    </row>
    <row r="67" spans="1:37" s="2659" customFormat="1" ht="24.75" thickBot="1">
      <c r="A67" s="2677" t="s">
        <v>2760</v>
      </c>
      <c r="B67" s="2680" t="str">
        <f>估价对象房地状况!C20</f>
        <v>较好</v>
      </c>
      <c r="C67" s="2733" t="s">
        <v>30</v>
      </c>
      <c r="D67" s="1374">
        <f t="shared" si="15"/>
        <v>2E-3</v>
      </c>
      <c r="E67" s="838"/>
      <c r="F67" s="2274"/>
      <c r="G67" s="2747">
        <v>2E-3</v>
      </c>
      <c r="H67" s="1379">
        <f t="shared" si="16"/>
        <v>2.0999999999999999E-3</v>
      </c>
      <c r="I67" s="837">
        <v>0.06</v>
      </c>
      <c r="J67" s="1376">
        <f t="shared" si="17"/>
        <v>4.0000000000000001E-3</v>
      </c>
      <c r="K67" s="1376">
        <f t="shared" si="18"/>
        <v>2E-3</v>
      </c>
      <c r="L67" s="1376">
        <v>0</v>
      </c>
      <c r="M67" s="1376">
        <f t="shared" si="19"/>
        <v>-2E-3</v>
      </c>
      <c r="N67" s="1376">
        <f t="shared" si="19"/>
        <v>-4.0000000000000001E-3</v>
      </c>
      <c r="O67" s="1460"/>
      <c r="P67" s="1460"/>
      <c r="Q67" s="1460"/>
      <c r="R67" s="1460"/>
      <c r="S67" s="1460"/>
      <c r="T67" s="1460"/>
      <c r="U67" s="1460"/>
      <c r="V67" s="1460"/>
      <c r="W67" s="1460"/>
      <c r="X67" s="1460"/>
      <c r="Y67" s="1460"/>
      <c r="Z67" s="1460"/>
      <c r="AA67" s="1461"/>
      <c r="AB67" s="1461"/>
      <c r="AC67" s="1461"/>
      <c r="AD67" s="1461"/>
      <c r="AE67" s="1461"/>
      <c r="AF67" s="1461"/>
      <c r="AG67" s="1461"/>
      <c r="AH67" s="2658"/>
      <c r="AI67" s="2658"/>
      <c r="AJ67" s="2658"/>
      <c r="AK67" s="2658"/>
    </row>
    <row r="68" spans="1:37" s="2659" customFormat="1" ht="15">
      <c r="A68" s="2663" t="s">
        <v>2766</v>
      </c>
      <c r="B68" s="2679">
        <f>1+E70</f>
        <v>1</v>
      </c>
      <c r="C68" s="817"/>
      <c r="D68" s="817"/>
      <c r="E68" s="818"/>
      <c r="F68" s="2666"/>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8"/>
      <c r="AI68" s="2658"/>
      <c r="AJ68" s="2658"/>
      <c r="AK68" s="2658"/>
    </row>
    <row r="69" spans="1:37" s="2659" customFormat="1" ht="24.75">
      <c r="A69" s="2668" t="s">
        <v>2736</v>
      </c>
      <c r="B69" s="2672"/>
      <c r="C69" s="823" t="s">
        <v>2738</v>
      </c>
      <c r="D69" s="823" t="s">
        <v>2739</v>
      </c>
      <c r="E69" s="824" t="s">
        <v>2740</v>
      </c>
      <c r="F69" s="2669" t="s">
        <v>2741</v>
      </c>
      <c r="G69" s="823" t="s">
        <v>2762</v>
      </c>
      <c r="H69" s="2670" t="s">
        <v>2763</v>
      </c>
      <c r="I69" s="823" t="s">
        <v>2764</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8"/>
      <c r="AI69" s="2658"/>
      <c r="AJ69" s="2658"/>
      <c r="AK69" s="2658"/>
    </row>
    <row r="70" spans="1:37" s="2659" customFormat="1" ht="24">
      <c r="A70" s="2668" t="s">
        <v>2767</v>
      </c>
      <c r="B70" s="2671">
        <f>估价对象房地状况!C15</f>
        <v>0</v>
      </c>
      <c r="C70" s="2558"/>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8"/>
      <c r="AI70" s="2658"/>
      <c r="AJ70" s="2658"/>
      <c r="AK70" s="2658"/>
    </row>
    <row r="71" spans="1:37" s="2659" customFormat="1" ht="14.25">
      <c r="A71" s="2668" t="s">
        <v>2751</v>
      </c>
      <c r="B71" s="2672" t="str">
        <f>估价对象房地状况!C18</f>
        <v>较好</v>
      </c>
      <c r="C71" s="2558"/>
      <c r="D71" s="1374">
        <f t="shared" si="20"/>
        <v>0</v>
      </c>
      <c r="E71" s="840"/>
      <c r="F71" s="2681"/>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8"/>
      <c r="AI71" s="2658"/>
      <c r="AJ71" s="2658"/>
      <c r="AK71" s="2658"/>
    </row>
    <row r="72" spans="1:37" s="2659" customFormat="1" ht="24">
      <c r="A72" s="2668" t="s">
        <v>2752</v>
      </c>
      <c r="B72" s="2672">
        <f>估价对象房地状况!C19</f>
        <v>0</v>
      </c>
      <c r="C72" s="2558"/>
      <c r="D72" s="1374">
        <f t="shared" si="20"/>
        <v>0</v>
      </c>
      <c r="E72" s="840"/>
      <c r="F72" s="2681"/>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8"/>
      <c r="AI72" s="2658"/>
      <c r="AJ72" s="2658"/>
      <c r="AK72" s="2658"/>
    </row>
    <row r="73" spans="1:37" s="2659" customFormat="1" ht="14.25">
      <c r="A73" s="2668" t="s">
        <v>2768</v>
      </c>
      <c r="B73" s="2672">
        <f>估价对象房地状况!C24</f>
        <v>0</v>
      </c>
      <c r="C73" s="2558"/>
      <c r="D73" s="1374">
        <f t="shared" si="20"/>
        <v>0</v>
      </c>
      <c r="E73" s="840"/>
      <c r="F73" s="2681"/>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8"/>
      <c r="AI73" s="2658"/>
      <c r="AJ73" s="2658"/>
      <c r="AK73" s="2658"/>
    </row>
    <row r="74" spans="1:37" s="2659" customFormat="1" ht="24">
      <c r="A74" s="2668" t="s">
        <v>2758</v>
      </c>
      <c r="B74" s="2676" t="str">
        <f>估价对象房地状况!C21</f>
        <v>较好</v>
      </c>
      <c r="C74" s="2558"/>
      <c r="D74" s="1374">
        <f t="shared" si="20"/>
        <v>0</v>
      </c>
      <c r="E74" s="840"/>
      <c r="F74" s="2681"/>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8"/>
      <c r="AI74" s="2658"/>
      <c r="AJ74" s="2658"/>
      <c r="AK74" s="2658"/>
    </row>
    <row r="75" spans="1:37" s="2659" customFormat="1" ht="24">
      <c r="A75" s="2668" t="s">
        <v>2759</v>
      </c>
      <c r="B75" s="2676" t="str">
        <f>估价对象房地状况!C22</f>
        <v>七通</v>
      </c>
      <c r="C75" s="2558"/>
      <c r="D75" s="1374">
        <f t="shared" si="20"/>
        <v>0</v>
      </c>
      <c r="E75" s="840"/>
      <c r="F75" s="2681"/>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8"/>
      <c r="AI75" s="2658"/>
      <c r="AJ75" s="2658"/>
      <c r="AK75" s="2658"/>
    </row>
    <row r="76" spans="1:37" ht="24">
      <c r="A76" s="2668" t="s">
        <v>2756</v>
      </c>
      <c r="B76" s="2674" t="s">
        <v>2757</v>
      </c>
      <c r="C76" s="2558"/>
      <c r="D76" s="1374">
        <f t="shared" si="20"/>
        <v>0</v>
      </c>
      <c r="E76" s="840"/>
      <c r="F76" s="2681"/>
      <c r="G76" s="1375"/>
      <c r="H76" s="1379" t="str">
        <f t="shared" si="21"/>
        <v>——</v>
      </c>
      <c r="I76" s="828">
        <v>0.05</v>
      </c>
      <c r="J76" s="1376">
        <f t="shared" si="22"/>
        <v>0</v>
      </c>
      <c r="K76" s="1376">
        <f t="shared" si="23"/>
        <v>0</v>
      </c>
      <c r="L76" s="1376">
        <v>0</v>
      </c>
      <c r="M76" s="1376">
        <f t="shared" si="24"/>
        <v>0</v>
      </c>
      <c r="N76" s="1376">
        <f t="shared" si="24"/>
        <v>0</v>
      </c>
      <c r="Z76" s="2505"/>
      <c r="AA76" s="2582"/>
      <c r="AG76" s="2658"/>
      <c r="AK76" s="2582"/>
    </row>
    <row r="77" spans="1:37" ht="24">
      <c r="A77" s="2668" t="s">
        <v>2760</v>
      </c>
      <c r="B77" s="2671" t="str">
        <f>估价对象房地状况!C20</f>
        <v>较好</v>
      </c>
      <c r="C77" s="2558"/>
      <c r="D77" s="1374">
        <f t="shared" si="20"/>
        <v>0</v>
      </c>
      <c r="E77" s="840"/>
      <c r="F77" s="2681"/>
      <c r="G77" s="1375"/>
      <c r="H77" s="1379" t="str">
        <f t="shared" si="21"/>
        <v>——</v>
      </c>
      <c r="I77" s="828">
        <v>0.15</v>
      </c>
      <c r="J77" s="1376">
        <f t="shared" si="22"/>
        <v>0</v>
      </c>
      <c r="K77" s="1376">
        <f t="shared" si="23"/>
        <v>0</v>
      </c>
      <c r="L77" s="1376">
        <v>0</v>
      </c>
      <c r="M77" s="1376">
        <f t="shared" si="24"/>
        <v>0</v>
      </c>
      <c r="N77" s="1376">
        <f t="shared" si="24"/>
        <v>0</v>
      </c>
      <c r="Z77" s="2505"/>
      <c r="AA77" s="2582"/>
      <c r="AG77" s="2658"/>
      <c r="AK77" s="2582"/>
    </row>
    <row r="78" spans="1:37" ht="24.75" thickBot="1">
      <c r="A78" s="2677" t="s">
        <v>2769</v>
      </c>
      <c r="B78" s="2682"/>
      <c r="C78" s="2558"/>
      <c r="D78" s="1374">
        <f t="shared" si="20"/>
        <v>0</v>
      </c>
      <c r="E78" s="841"/>
      <c r="F78" s="2681"/>
      <c r="G78" s="1375"/>
      <c r="H78" s="1379" t="str">
        <f t="shared" si="21"/>
        <v>——</v>
      </c>
      <c r="I78" s="837">
        <v>0.04</v>
      </c>
      <c r="J78" s="1376">
        <f t="shared" si="22"/>
        <v>0</v>
      </c>
      <c r="K78" s="1376">
        <f t="shared" si="23"/>
        <v>0</v>
      </c>
      <c r="L78" s="1376">
        <v>0</v>
      </c>
      <c r="M78" s="1376">
        <f t="shared" si="24"/>
        <v>0</v>
      </c>
      <c r="N78" s="1376">
        <f t="shared" si="24"/>
        <v>0</v>
      </c>
      <c r="Z78" s="2505"/>
      <c r="AA78" s="2582"/>
      <c r="AG78" s="2658"/>
      <c r="AK78" s="2582"/>
    </row>
    <row r="79" spans="1:37" ht="15">
      <c r="A79" s="2663" t="s">
        <v>2770</v>
      </c>
      <c r="B79" s="2679">
        <f>1+E81</f>
        <v>1</v>
      </c>
      <c r="C79" s="817"/>
      <c r="D79" s="817"/>
      <c r="E79" s="818"/>
      <c r="F79" s="2666"/>
      <c r="G79" s="7"/>
      <c r="H79" s="7"/>
      <c r="I79" s="7"/>
      <c r="J79" s="9"/>
      <c r="K79" s="9"/>
      <c r="L79" s="9"/>
      <c r="M79" s="9"/>
      <c r="N79" s="9"/>
      <c r="Z79" s="2505"/>
      <c r="AA79" s="2582"/>
      <c r="AG79" s="2658"/>
      <c r="AK79" s="2582"/>
    </row>
    <row r="80" spans="1:37" ht="24.75">
      <c r="A80" s="2668" t="s">
        <v>2736</v>
      </c>
      <c r="B80" s="2672"/>
      <c r="C80" s="823" t="s">
        <v>2738</v>
      </c>
      <c r="D80" s="823" t="s">
        <v>2739</v>
      </c>
      <c r="E80" s="824" t="s">
        <v>2740</v>
      </c>
      <c r="F80" s="2669" t="s">
        <v>2741</v>
      </c>
      <c r="G80" s="823" t="s">
        <v>2762</v>
      </c>
      <c r="H80" s="2670" t="s">
        <v>2763</v>
      </c>
      <c r="I80" s="823" t="s">
        <v>2764</v>
      </c>
      <c r="J80" s="587" t="s">
        <v>2397</v>
      </c>
      <c r="K80" s="587" t="s">
        <v>2398</v>
      </c>
      <c r="L80" s="587" t="s">
        <v>2399</v>
      </c>
      <c r="M80" s="587" t="s">
        <v>2400</v>
      </c>
      <c r="N80" s="587" t="s">
        <v>2401</v>
      </c>
      <c r="Z80" s="2505"/>
      <c r="AA80" s="2582"/>
      <c r="AG80" s="2658"/>
      <c r="AK80" s="2582"/>
    </row>
    <row r="81" spans="1:37" ht="38.25">
      <c r="A81" s="2668" t="s">
        <v>2771</v>
      </c>
      <c r="B81" s="2672" t="str">
        <f>估价对象房地状况!G15</f>
        <v>估价对象位于XX开发区，园区建设成熟度XX，产业集聚程度XX</v>
      </c>
      <c r="C81" s="2558"/>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5"/>
      <c r="AA81" s="2582"/>
      <c r="AG81" s="2658"/>
      <c r="AK81" s="2582"/>
    </row>
    <row r="82" spans="1:37" ht="51">
      <c r="A82" s="2668" t="s">
        <v>2751</v>
      </c>
      <c r="B82" s="2672" t="str">
        <f>估价对象房地状况!G16</f>
        <v>估价对象周边道路状况、公共交通通达情况、停车便捷程度，综合评价交通便捷度较好</v>
      </c>
      <c r="C82" s="2558"/>
      <c r="D82" s="1374">
        <f t="shared" si="25"/>
        <v>0</v>
      </c>
      <c r="E82" s="840"/>
      <c r="F82" s="2681"/>
      <c r="G82" s="1375"/>
      <c r="H82" s="1379" t="str">
        <f t="shared" si="26"/>
        <v>——</v>
      </c>
      <c r="I82" s="828">
        <v>0.33</v>
      </c>
      <c r="J82" s="1376">
        <f t="shared" si="27"/>
        <v>0</v>
      </c>
      <c r="K82" s="1376">
        <f t="shared" si="28"/>
        <v>0</v>
      </c>
      <c r="L82" s="1376">
        <v>0</v>
      </c>
      <c r="M82" s="1376">
        <f t="shared" si="29"/>
        <v>0</v>
      </c>
      <c r="N82" s="1376">
        <f t="shared" si="29"/>
        <v>0</v>
      </c>
      <c r="Z82" s="2505"/>
      <c r="AA82" s="2582"/>
      <c r="AG82" s="2658"/>
      <c r="AK82" s="2582"/>
    </row>
    <row r="83" spans="1:37" ht="24">
      <c r="A83" s="2668" t="s">
        <v>2752</v>
      </c>
      <c r="B83" s="2672">
        <f>估价对象房地状况!G17</f>
        <v>0</v>
      </c>
      <c r="C83" s="2558"/>
      <c r="D83" s="1374">
        <f t="shared" si="25"/>
        <v>0</v>
      </c>
      <c r="E83" s="840"/>
      <c r="F83" s="2681"/>
      <c r="G83" s="1375"/>
      <c r="H83" s="1379" t="str">
        <f t="shared" si="26"/>
        <v>——</v>
      </c>
      <c r="I83" s="828">
        <v>0.05</v>
      </c>
      <c r="J83" s="1376">
        <f t="shared" si="27"/>
        <v>0</v>
      </c>
      <c r="K83" s="1376">
        <f t="shared" si="28"/>
        <v>0</v>
      </c>
      <c r="L83" s="1376">
        <v>0</v>
      </c>
      <c r="M83" s="1376">
        <f t="shared" si="29"/>
        <v>0</v>
      </c>
      <c r="N83" s="1376">
        <f t="shared" si="29"/>
        <v>0</v>
      </c>
      <c r="Z83" s="2505"/>
      <c r="AA83" s="2582"/>
      <c r="AG83" s="2658"/>
      <c r="AK83" s="2582"/>
    </row>
    <row r="84" spans="1:37" ht="14.25">
      <c r="A84" s="2668" t="s">
        <v>2768</v>
      </c>
      <c r="B84" s="2672">
        <f>估价对象房地状况!G22</f>
        <v>0</v>
      </c>
      <c r="C84" s="2558"/>
      <c r="D84" s="1374">
        <f t="shared" si="25"/>
        <v>0</v>
      </c>
      <c r="E84" s="840"/>
      <c r="F84" s="2681"/>
      <c r="G84" s="1375"/>
      <c r="H84" s="1379" t="str">
        <f t="shared" si="26"/>
        <v>——</v>
      </c>
      <c r="I84" s="828">
        <v>0.04</v>
      </c>
      <c r="J84" s="1376">
        <f t="shared" si="27"/>
        <v>0</v>
      </c>
      <c r="K84" s="1376">
        <f t="shared" si="28"/>
        <v>0</v>
      </c>
      <c r="L84" s="1376">
        <v>0</v>
      </c>
      <c r="M84" s="1376">
        <f t="shared" si="29"/>
        <v>0</v>
      </c>
      <c r="N84" s="1376">
        <f t="shared" si="29"/>
        <v>0</v>
      </c>
      <c r="Z84" s="2505"/>
      <c r="AA84" s="2582"/>
      <c r="AG84" s="2658"/>
      <c r="AK84" s="2582"/>
    </row>
    <row r="85" spans="1:37" ht="25.5">
      <c r="A85" s="2668" t="s">
        <v>2758</v>
      </c>
      <c r="B85" s="2676" t="str">
        <f>估价对象房地状况!G19</f>
        <v>估价对象所在区域公共配套设施齐备情况</v>
      </c>
      <c r="C85" s="2558"/>
      <c r="D85" s="1374">
        <f t="shared" si="25"/>
        <v>0</v>
      </c>
      <c r="E85" s="840"/>
      <c r="F85" s="2681"/>
      <c r="G85" s="1375"/>
      <c r="H85" s="1379" t="str">
        <f t="shared" si="26"/>
        <v>——</v>
      </c>
      <c r="I85" s="828">
        <v>0.06</v>
      </c>
      <c r="J85" s="1376">
        <f t="shared" si="27"/>
        <v>0</v>
      </c>
      <c r="K85" s="1376">
        <f t="shared" si="28"/>
        <v>0</v>
      </c>
      <c r="L85" s="1376">
        <v>0</v>
      </c>
      <c r="M85" s="1376">
        <f t="shared" si="29"/>
        <v>0</v>
      </c>
      <c r="N85" s="1376">
        <f t="shared" si="29"/>
        <v>0</v>
      </c>
      <c r="Z85" s="2505"/>
      <c r="AA85" s="2582"/>
      <c r="AG85" s="2658"/>
      <c r="AK85" s="2582"/>
    </row>
    <row r="86" spans="1:37" ht="25.5">
      <c r="A86" s="2668" t="s">
        <v>2759</v>
      </c>
      <c r="B86" s="2676" t="str">
        <f>估价对象房地状况!G20</f>
        <v>估价对象所在区域基础设施水平</v>
      </c>
      <c r="C86" s="2558"/>
      <c r="D86" s="1374">
        <f t="shared" si="25"/>
        <v>0</v>
      </c>
      <c r="E86" s="840"/>
      <c r="F86" s="2681"/>
      <c r="G86" s="1375"/>
      <c r="H86" s="1379" t="str">
        <f t="shared" si="26"/>
        <v>——</v>
      </c>
      <c r="I86" s="828">
        <v>0.15</v>
      </c>
      <c r="J86" s="1376">
        <f t="shared" si="27"/>
        <v>0</v>
      </c>
      <c r="K86" s="1376">
        <f t="shared" si="28"/>
        <v>0</v>
      </c>
      <c r="L86" s="1376">
        <v>0</v>
      </c>
      <c r="M86" s="1376">
        <f t="shared" si="29"/>
        <v>0</v>
      </c>
      <c r="N86" s="1376">
        <f t="shared" si="29"/>
        <v>0</v>
      </c>
      <c r="Z86" s="2505"/>
      <c r="AA86" s="2582"/>
      <c r="AG86" s="2658"/>
      <c r="AK86" s="2582"/>
    </row>
    <row r="87" spans="1:37" ht="24">
      <c r="A87" s="2668" t="s">
        <v>2756</v>
      </c>
      <c r="B87" s="2674" t="s">
        <v>2757</v>
      </c>
      <c r="C87" s="2558"/>
      <c r="D87" s="1374">
        <f t="shared" si="25"/>
        <v>0</v>
      </c>
      <c r="E87" s="840"/>
      <c r="F87" s="2681"/>
      <c r="G87" s="1375"/>
      <c r="H87" s="1379" t="str">
        <f t="shared" si="26"/>
        <v>——</v>
      </c>
      <c r="I87" s="828">
        <v>0.05</v>
      </c>
      <c r="J87" s="1376">
        <f t="shared" si="27"/>
        <v>0</v>
      </c>
      <c r="K87" s="1376">
        <f t="shared" si="28"/>
        <v>0</v>
      </c>
      <c r="L87" s="1376">
        <v>0</v>
      </c>
      <c r="M87" s="1376">
        <f t="shared" si="29"/>
        <v>0</v>
      </c>
      <c r="N87" s="1376">
        <f t="shared" si="29"/>
        <v>0</v>
      </c>
      <c r="Z87" s="2505"/>
      <c r="AA87" s="2582"/>
      <c r="AG87" s="2658"/>
      <c r="AK87" s="2582"/>
    </row>
    <row r="88" spans="1:37" ht="39" thickBot="1">
      <c r="A88" s="2677" t="s">
        <v>2772</v>
      </c>
      <c r="B88" s="2683" t="str">
        <f>估价对象房地状况!G18</f>
        <v>该园区内是否有污染型企业，绿化情况，卫生条件，整体环境状况判断</v>
      </c>
      <c r="C88" s="2684"/>
      <c r="D88" s="1380">
        <f t="shared" si="25"/>
        <v>0</v>
      </c>
      <c r="E88" s="841"/>
      <c r="F88" s="2681"/>
      <c r="G88" s="1375"/>
      <c r="H88" s="1379" t="str">
        <f t="shared" si="26"/>
        <v>——</v>
      </c>
      <c r="I88" s="837">
        <v>0.06</v>
      </c>
      <c r="J88" s="1376">
        <f t="shared" si="27"/>
        <v>0</v>
      </c>
      <c r="K88" s="1376">
        <f t="shared" si="28"/>
        <v>0</v>
      </c>
      <c r="L88" s="1376">
        <v>0</v>
      </c>
      <c r="M88" s="1376">
        <f t="shared" si="29"/>
        <v>0</v>
      </c>
      <c r="N88" s="1376">
        <f t="shared" si="29"/>
        <v>0</v>
      </c>
      <c r="Z88" s="2505"/>
      <c r="AA88" s="2582"/>
      <c r="AG88" s="2658"/>
      <c r="AK88" s="2582"/>
    </row>
    <row r="90" spans="1:37">
      <c r="A90" s="3081" t="s">
        <v>2773</v>
      </c>
      <c r="B90" s="3081"/>
      <c r="C90" s="3081"/>
      <c r="D90" s="3081"/>
      <c r="E90" s="3081"/>
      <c r="F90" s="3081"/>
      <c r="G90" s="3081"/>
      <c r="H90" s="3081"/>
      <c r="I90" s="3081"/>
      <c r="J90" s="3081"/>
      <c r="K90" s="2685"/>
      <c r="L90" s="2685"/>
      <c r="M90" s="2685"/>
      <c r="N90" s="2685"/>
    </row>
    <row r="91" spans="1:37">
      <c r="A91" s="3083" t="s">
        <v>2774</v>
      </c>
      <c r="B91" s="3083" t="s">
        <v>2775</v>
      </c>
      <c r="C91" s="2633" t="s">
        <v>2776</v>
      </c>
      <c r="D91" s="2634"/>
      <c r="E91" s="2634"/>
      <c r="F91" s="2634"/>
      <c r="G91" s="2634"/>
      <c r="H91" s="2634"/>
      <c r="I91" s="2634"/>
      <c r="J91" s="2686"/>
      <c r="K91" s="2687"/>
      <c r="L91" s="2687"/>
      <c r="M91" s="2687"/>
      <c r="N91" s="2687"/>
    </row>
    <row r="92" spans="1:37">
      <c r="A92" s="3083"/>
      <c r="B92" s="3083"/>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84" t="s">
        <v>2777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5"/>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5"/>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5"/>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5"/>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5"/>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5"/>
      <c r="B99" s="2688" t="s">
        <v>2644</v>
      </c>
      <c r="C99" s="2690">
        <f>$I$3</f>
        <v>0</v>
      </c>
      <c r="D99" s="2690">
        <f t="shared" ref="D99:M99" si="30">$I$3</f>
        <v>0</v>
      </c>
      <c r="E99" s="2690">
        <f t="shared" si="30"/>
        <v>0</v>
      </c>
      <c r="F99" s="2690">
        <f t="shared" si="30"/>
        <v>0</v>
      </c>
      <c r="G99" s="2690">
        <f t="shared" si="30"/>
        <v>0</v>
      </c>
      <c r="H99" s="2690">
        <f t="shared" si="30"/>
        <v>0</v>
      </c>
      <c r="I99" s="2690">
        <f t="shared" si="30"/>
        <v>0</v>
      </c>
      <c r="J99" s="2690">
        <f t="shared" si="30"/>
        <v>0</v>
      </c>
      <c r="K99" s="2690">
        <f t="shared" si="30"/>
        <v>0</v>
      </c>
      <c r="L99" s="2690">
        <f t="shared" si="30"/>
        <v>0</v>
      </c>
      <c r="M99" s="2690">
        <f t="shared" si="30"/>
        <v>0</v>
      </c>
      <c r="N99" s="2690">
        <f>$I$3</f>
        <v>0</v>
      </c>
    </row>
    <row r="100" spans="1:14">
      <c r="A100" s="3086"/>
      <c r="B100" s="2688">
        <v>7</v>
      </c>
      <c r="C100" s="2691">
        <f>(-0.163*(C99^2)-0.59*C99+7617)*(10^(-4))</f>
        <v>0.76170000000000004</v>
      </c>
      <c r="D100" s="2691">
        <f>(-0.163*(D99^2)-0.59*D99+7617)*(10^(-4))</f>
        <v>0.76170000000000004</v>
      </c>
      <c r="E100" s="2691">
        <f>(-0.161*(E99^2)-7.509*E99+6533)*(10^(-4))</f>
        <v>0.65329999999999999</v>
      </c>
      <c r="F100" s="2691">
        <f>(-0.161*(F99^2)-7.509*F99+6533)*(10^(-4))</f>
        <v>0.65329999999999999</v>
      </c>
      <c r="G100" s="2691">
        <f>(-0.161*(G99^2)-7.509*G99+6533)*(10^(-4))</f>
        <v>0.65329999999999999</v>
      </c>
      <c r="H100" s="2691">
        <f>(-0.161*(H99^2)-7.509*H99+6533)*(10^(-4))</f>
        <v>0.65329999999999999</v>
      </c>
      <c r="I100" s="2691">
        <f>(-0.161*(I99^2)-7.509*I99+6533)*(10^(-4))</f>
        <v>0.65329999999999999</v>
      </c>
      <c r="J100" s="2691">
        <f>(-0.214*(J99^2)-21.991*J99+4665)*(10^(-4))</f>
        <v>0.46650000000000003</v>
      </c>
      <c r="K100" s="2691">
        <f>(-0.214*(K99^2)-21.991*K99+4665)*(10^(-4))</f>
        <v>0.46650000000000003</v>
      </c>
      <c r="L100" s="2691">
        <f>(-0.214*(L99^2)-21.991*L99+4665)*(10^(-4))</f>
        <v>0.46650000000000003</v>
      </c>
      <c r="M100" s="2691">
        <f>(-0.214*(M99^2)-21.991*M99+4665)*(10^(-4))</f>
        <v>0.46650000000000003</v>
      </c>
      <c r="N100" s="2691">
        <f>(-0.214*(N99^2)-21.991*N99+4665)*(10^(-4))</f>
        <v>0.46650000000000003</v>
      </c>
    </row>
    <row r="101" spans="1:14">
      <c r="A101" s="3084" t="s">
        <v>2778</v>
      </c>
      <c r="B101" s="2692" t="s">
        <v>2779</v>
      </c>
      <c r="C101" s="2693">
        <f>$G$3</f>
        <v>3.6</v>
      </c>
      <c r="D101" s="2693">
        <f t="shared" ref="D101:N101" si="31">$G$3</f>
        <v>3.6</v>
      </c>
      <c r="E101" s="2693">
        <f t="shared" si="31"/>
        <v>3.6</v>
      </c>
      <c r="F101" s="2693">
        <f t="shared" si="31"/>
        <v>3.6</v>
      </c>
      <c r="G101" s="2693">
        <f t="shared" si="31"/>
        <v>3.6</v>
      </c>
      <c r="H101" s="2693">
        <f t="shared" si="31"/>
        <v>3.6</v>
      </c>
      <c r="I101" s="2693">
        <f t="shared" si="31"/>
        <v>3.6</v>
      </c>
      <c r="J101" s="2693">
        <f t="shared" si="31"/>
        <v>3.6</v>
      </c>
      <c r="K101" s="2693">
        <f t="shared" si="31"/>
        <v>3.6</v>
      </c>
      <c r="L101" s="2693">
        <f t="shared" si="31"/>
        <v>3.6</v>
      </c>
      <c r="M101" s="2693">
        <f t="shared" si="31"/>
        <v>3.6</v>
      </c>
      <c r="N101" s="2693">
        <f t="shared" si="31"/>
        <v>3.6</v>
      </c>
    </row>
    <row r="102" spans="1:14">
      <c r="A102" s="3085"/>
      <c r="B102" s="2688">
        <v>1</v>
      </c>
      <c r="C102" s="2689">
        <f>1.9362/C101</f>
        <v>0.53783333333333327</v>
      </c>
      <c r="D102" s="2689">
        <f>1.9362/D101</f>
        <v>0.53783333333333327</v>
      </c>
      <c r="E102" s="2689">
        <f>1.8629/E101</f>
        <v>0.51747222222222222</v>
      </c>
      <c r="F102" s="2689">
        <f>1.8629/F101</f>
        <v>0.51747222222222222</v>
      </c>
      <c r="G102" s="2689">
        <f>1.8629/G101</f>
        <v>0.51747222222222222</v>
      </c>
      <c r="H102" s="2689">
        <f>1.8629/H101</f>
        <v>0.51747222222222222</v>
      </c>
      <c r="I102" s="2689">
        <f>1.8629/I101</f>
        <v>0.51747222222222222</v>
      </c>
      <c r="J102" s="2689">
        <f>1.942/J101</f>
        <v>0.53944444444444439</v>
      </c>
      <c r="K102" s="2689">
        <f>1.942/K101</f>
        <v>0.53944444444444439</v>
      </c>
      <c r="L102" s="2689">
        <f>1.942/L101</f>
        <v>0.53944444444444439</v>
      </c>
      <c r="M102" s="2689">
        <f>1.942/M101</f>
        <v>0.53944444444444439</v>
      </c>
      <c r="N102" s="2689">
        <f>1.942/N101</f>
        <v>0.53944444444444439</v>
      </c>
    </row>
    <row r="103" spans="1:14">
      <c r="A103" s="3085"/>
      <c r="B103" s="2688">
        <v>2</v>
      </c>
      <c r="C103" s="2689">
        <f>1.4198/C101</f>
        <v>0.39438888888888884</v>
      </c>
      <c r="D103" s="2689">
        <f>1.4198/D101</f>
        <v>0.39438888888888884</v>
      </c>
      <c r="E103" s="2689">
        <f>1.3372/E101</f>
        <v>0.37144444444444441</v>
      </c>
      <c r="F103" s="2689">
        <f>1.3372/F101</f>
        <v>0.37144444444444441</v>
      </c>
      <c r="G103" s="2689">
        <f>1.3372/G101</f>
        <v>0.37144444444444441</v>
      </c>
      <c r="H103" s="2689">
        <f>1.3372/H101</f>
        <v>0.37144444444444441</v>
      </c>
      <c r="I103" s="2689">
        <f>1.3372/I101</f>
        <v>0.37144444444444441</v>
      </c>
      <c r="J103" s="2689">
        <f>1.2799/J101</f>
        <v>0.35552777777777778</v>
      </c>
      <c r="K103" s="2689">
        <f>1.2799/K101</f>
        <v>0.35552777777777778</v>
      </c>
      <c r="L103" s="2689">
        <f>1.2799/L101</f>
        <v>0.35552777777777778</v>
      </c>
      <c r="M103" s="2689">
        <f>1.2799/M101</f>
        <v>0.35552777777777778</v>
      </c>
      <c r="N103" s="2689">
        <f>1.2799/N101</f>
        <v>0.35552777777777778</v>
      </c>
    </row>
    <row r="104" spans="1:14">
      <c r="A104" s="3085"/>
      <c r="B104" s="2688">
        <v>3</v>
      </c>
      <c r="C104" s="2689">
        <f>1.1594/C101</f>
        <v>0.32205555555555554</v>
      </c>
      <c r="D104" s="2689">
        <f>1.1594/D101</f>
        <v>0.32205555555555554</v>
      </c>
      <c r="E104" s="2689">
        <f>1.0788/E101</f>
        <v>0.29966666666666664</v>
      </c>
      <c r="F104" s="2689">
        <f>1.0788/F101</f>
        <v>0.29966666666666664</v>
      </c>
      <c r="G104" s="2689">
        <f>1.0788/G101</f>
        <v>0.29966666666666664</v>
      </c>
      <c r="H104" s="2689">
        <f>1.0788/H101</f>
        <v>0.29966666666666664</v>
      </c>
      <c r="I104" s="2689">
        <f>1.0788/I101</f>
        <v>0.29966666666666664</v>
      </c>
      <c r="J104" s="2689">
        <f>1.0072/J101</f>
        <v>0.27977777777777779</v>
      </c>
      <c r="K104" s="2689">
        <f>1.0072/K101</f>
        <v>0.27977777777777779</v>
      </c>
      <c r="L104" s="2689">
        <f>1.0072/L101</f>
        <v>0.27977777777777779</v>
      </c>
      <c r="M104" s="2689">
        <f>1.0072/M101</f>
        <v>0.27977777777777779</v>
      </c>
      <c r="N104" s="2689">
        <f>1.0072/N101</f>
        <v>0.27977777777777779</v>
      </c>
    </row>
    <row r="105" spans="1:14">
      <c r="A105" s="3085"/>
      <c r="B105" s="2688">
        <v>4</v>
      </c>
      <c r="C105" s="2689">
        <f>0.9622/C101</f>
        <v>0.26727777777777778</v>
      </c>
      <c r="D105" s="2689">
        <f>0.9622/D101</f>
        <v>0.26727777777777778</v>
      </c>
      <c r="E105" s="2689">
        <f>0.8656/E101</f>
        <v>0.24044444444444446</v>
      </c>
      <c r="F105" s="2689">
        <f>0.8656/F101</f>
        <v>0.24044444444444446</v>
      </c>
      <c r="G105" s="2689">
        <f>0.8656/G101</f>
        <v>0.24044444444444446</v>
      </c>
      <c r="H105" s="2689">
        <f>0.8656/H101</f>
        <v>0.24044444444444446</v>
      </c>
      <c r="I105" s="2689">
        <f>0.8656/I101</f>
        <v>0.24044444444444446</v>
      </c>
      <c r="J105" s="2689">
        <f>0.7525/J101</f>
        <v>0.20902777777777776</v>
      </c>
      <c r="K105" s="2689">
        <f>0.7525/K101</f>
        <v>0.20902777777777776</v>
      </c>
      <c r="L105" s="2689">
        <f>0.7525/L101</f>
        <v>0.20902777777777776</v>
      </c>
      <c r="M105" s="2689">
        <f>0.7525/M101</f>
        <v>0.20902777777777776</v>
      </c>
      <c r="N105" s="2689">
        <f>0.7525/N101</f>
        <v>0.20902777777777776</v>
      </c>
    </row>
    <row r="106" spans="1:14">
      <c r="A106" s="3085"/>
      <c r="B106" s="2688">
        <v>5</v>
      </c>
      <c r="C106" s="2689">
        <f>0.8417/C101</f>
        <v>0.23380555555555554</v>
      </c>
      <c r="D106" s="2689">
        <f>0.8417/D101</f>
        <v>0.23380555555555554</v>
      </c>
      <c r="E106" s="2689">
        <f>0.7371/E101</f>
        <v>0.20474999999999999</v>
      </c>
      <c r="F106" s="2689">
        <f>0.7371/F101</f>
        <v>0.20474999999999999</v>
      </c>
      <c r="G106" s="2689">
        <f>0.7371/G101</f>
        <v>0.20474999999999999</v>
      </c>
      <c r="H106" s="2689">
        <f>0.7371/H101</f>
        <v>0.20474999999999999</v>
      </c>
      <c r="I106" s="2689">
        <f>0.7371/I101</f>
        <v>0.20474999999999999</v>
      </c>
      <c r="J106" s="2689">
        <f>0.5659/J101</f>
        <v>0.15719444444444444</v>
      </c>
      <c r="K106" s="2689">
        <f>0.5659/K101</f>
        <v>0.15719444444444444</v>
      </c>
      <c r="L106" s="2689">
        <f>0.5659/L101</f>
        <v>0.15719444444444444</v>
      </c>
      <c r="M106" s="2689">
        <f>0.5659/M101</f>
        <v>0.15719444444444444</v>
      </c>
      <c r="N106" s="2689">
        <f>0.5659/N101</f>
        <v>0.15719444444444444</v>
      </c>
    </row>
    <row r="107" spans="1:14">
      <c r="A107" s="3085"/>
      <c r="B107" s="2688">
        <v>6</v>
      </c>
      <c r="C107" s="2689">
        <f>0.7608/C101</f>
        <v>0.21133333333333335</v>
      </c>
      <c r="D107" s="2689">
        <f>0.7608/D101</f>
        <v>0.21133333333333335</v>
      </c>
      <c r="E107" s="2689">
        <f>0.6482/E101</f>
        <v>0.18005555555555555</v>
      </c>
      <c r="F107" s="2689">
        <f>0.6482/F101</f>
        <v>0.18005555555555555</v>
      </c>
      <c r="G107" s="2689">
        <f>0.6482/G101</f>
        <v>0.18005555555555555</v>
      </c>
      <c r="H107" s="2689">
        <f>0.6482/H101</f>
        <v>0.18005555555555555</v>
      </c>
      <c r="I107" s="2689">
        <f>0.6482/I101</f>
        <v>0.18005555555555555</v>
      </c>
      <c r="J107" s="2689">
        <f>0.4525/J101</f>
        <v>0.12569444444444444</v>
      </c>
      <c r="K107" s="2689">
        <f>0.4525/K101</f>
        <v>0.12569444444444444</v>
      </c>
      <c r="L107" s="2689">
        <f>0.4525/L101</f>
        <v>0.12569444444444444</v>
      </c>
      <c r="M107" s="2689">
        <f>0.4525/M101</f>
        <v>0.12569444444444444</v>
      </c>
      <c r="N107" s="2689">
        <f>0.4525/N101</f>
        <v>0.12569444444444444</v>
      </c>
    </row>
    <row r="108" spans="1:14">
      <c r="A108" s="3085"/>
      <c r="B108" s="3087" t="s">
        <v>2780</v>
      </c>
      <c r="C108" s="2690">
        <f>C99</f>
        <v>0</v>
      </c>
      <c r="D108" s="2690">
        <f t="shared" ref="D108:N108" si="32">D99</f>
        <v>0</v>
      </c>
      <c r="E108" s="2690">
        <f t="shared" si="32"/>
        <v>0</v>
      </c>
      <c r="F108" s="2690">
        <f t="shared" si="32"/>
        <v>0</v>
      </c>
      <c r="G108" s="2690">
        <f t="shared" si="32"/>
        <v>0</v>
      </c>
      <c r="H108" s="2690">
        <f t="shared" si="32"/>
        <v>0</v>
      </c>
      <c r="I108" s="2690">
        <f t="shared" si="32"/>
        <v>0</v>
      </c>
      <c r="J108" s="2690">
        <f t="shared" si="32"/>
        <v>0</v>
      </c>
      <c r="K108" s="2690">
        <f t="shared" si="32"/>
        <v>0</v>
      </c>
      <c r="L108" s="2690">
        <f t="shared" si="32"/>
        <v>0</v>
      </c>
      <c r="M108" s="2690">
        <f t="shared" si="32"/>
        <v>0</v>
      </c>
      <c r="N108" s="2690">
        <f t="shared" si="32"/>
        <v>0</v>
      </c>
    </row>
    <row r="109" spans="1:14">
      <c r="A109" s="3086"/>
      <c r="B109" s="3088"/>
      <c r="C109" s="2691">
        <f>(-0.163*(C108^2)-0.59*C108+7617)*(10^(-4))/C101</f>
        <v>0.21158333333333335</v>
      </c>
      <c r="D109" s="2691">
        <f>(-0.163*(D108^2)-0.59*D108+7617)*(10^(-4))/D101</f>
        <v>0.21158333333333335</v>
      </c>
      <c r="E109" s="2691">
        <f>(-0.161*(E108^2)-7.509*E108+6533)*(10^(-4))/E101</f>
        <v>0.18147222222222223</v>
      </c>
      <c r="F109" s="2691">
        <f>(-0.161*(F108^2)-7.509*F108+6533)*(10^(-4))/F101</f>
        <v>0.18147222222222223</v>
      </c>
      <c r="G109" s="2691">
        <f>(-0.161*(G108^2)-7.509*G108+6533)*(10^(-4))/G101</f>
        <v>0.18147222222222223</v>
      </c>
      <c r="H109" s="2691">
        <f>(-0.161*(H108^2)-7.509*H108+6533)*(10^(-4))/H101</f>
        <v>0.18147222222222223</v>
      </c>
      <c r="I109" s="2691">
        <f>(-0.161*(I108^2)-7.509*I108+6533)*(10^(-4))/I101</f>
        <v>0.18147222222222223</v>
      </c>
      <c r="J109" s="2691">
        <f>(-0.214*(J108^2)-21.991*J108+4665)*(10^(-4))/J101</f>
        <v>0.12958333333333333</v>
      </c>
      <c r="K109" s="2691">
        <f>(-0.214*(K108^2)-21.991*K108+4665)*(10^(-4))/K101</f>
        <v>0.12958333333333333</v>
      </c>
      <c r="L109" s="2691">
        <f>(-0.214*(L108^2)-21.991*L108+4665)*(10^(-4))/L101</f>
        <v>0.12958333333333333</v>
      </c>
      <c r="M109" s="2691">
        <f>(-0.214*(M108^2)-21.991*M108+4665)*(10^(-4))/M101</f>
        <v>0.12958333333333333</v>
      </c>
      <c r="N109" s="2691">
        <f>(-0.214*(N108^2)-21.991*N108+4665)*(10^(-4))/N101</f>
        <v>0.12958333333333333</v>
      </c>
    </row>
    <row r="110" spans="1:14">
      <c r="A110" s="3082" t="s">
        <v>2781</v>
      </c>
      <c r="B110" s="3082"/>
      <c r="C110" s="3082"/>
      <c r="D110" s="3082"/>
      <c r="E110" s="3082"/>
      <c r="F110" s="3082"/>
      <c r="G110" s="3082"/>
      <c r="H110" s="3082"/>
      <c r="I110" s="3082"/>
      <c r="J110" s="3082"/>
      <c r="K110" s="2694"/>
      <c r="L110" s="2694"/>
      <c r="M110" s="2694"/>
      <c r="N110" s="2694"/>
    </row>
    <row r="112" spans="1:14" ht="13.5" thickBot="1"/>
    <row r="113" spans="1:13" ht="25.5" thickBot="1">
      <c r="A113" s="928" t="s">
        <v>2782</v>
      </c>
      <c r="B113" s="1377">
        <f>G3</f>
        <v>3.6</v>
      </c>
      <c r="C113" s="929" t="s">
        <v>2783</v>
      </c>
      <c r="D113" s="930">
        <f>SUMPRODUCT((A115:A118=F113)*(B114:M114=H113)*B115:M118)</f>
        <v>0.90580000000000005</v>
      </c>
      <c r="E113" s="2696" t="s">
        <v>2668</v>
      </c>
      <c r="F113" s="2697" t="str">
        <f>E2</f>
        <v>办公</v>
      </c>
      <c r="G113" s="2696" t="s">
        <v>2602</v>
      </c>
      <c r="H113" s="2697" t="str">
        <f>G2</f>
        <v>二级</v>
      </c>
      <c r="I113" s="2696"/>
      <c r="J113" s="2698"/>
      <c r="K113" s="2698"/>
      <c r="L113" s="2698"/>
      <c r="M113" s="2698"/>
    </row>
    <row r="114" spans="1:13">
      <c r="A114" s="933"/>
      <c r="B114" s="2699" t="s">
        <v>2784</v>
      </c>
      <c r="C114" s="2699" t="s">
        <v>2785</v>
      </c>
      <c r="D114" s="2699" t="s">
        <v>2786</v>
      </c>
      <c r="E114" s="2700" t="s">
        <v>2787</v>
      </c>
      <c r="F114" s="2700" t="s">
        <v>2788</v>
      </c>
      <c r="G114" s="2700" t="s">
        <v>2789</v>
      </c>
      <c r="H114" s="2701" t="s">
        <v>2790</v>
      </c>
      <c r="I114" s="2701" t="s">
        <v>2791</v>
      </c>
      <c r="J114" s="2702" t="s">
        <v>2792</v>
      </c>
      <c r="K114" s="2702" t="s">
        <v>2793</v>
      </c>
      <c r="L114" s="2702" t="s">
        <v>2794</v>
      </c>
      <c r="M114" s="2703" t="s">
        <v>2795</v>
      </c>
    </row>
    <row r="115" spans="1:13">
      <c r="A115" s="934" t="s">
        <v>2669</v>
      </c>
      <c r="B115" s="935">
        <f>ROUND(0.9335-0.0094*B113,4)</f>
        <v>0.89970000000000006</v>
      </c>
      <c r="C115" s="935">
        <f>B115</f>
        <v>0.89970000000000006</v>
      </c>
      <c r="D115" s="935">
        <f>ROUND(0.8331-0.0109*B113,4)</f>
        <v>0.79390000000000005</v>
      </c>
      <c r="E115" s="935">
        <f>D115</f>
        <v>0.79390000000000005</v>
      </c>
      <c r="F115" s="935">
        <f>E115</f>
        <v>0.79390000000000005</v>
      </c>
      <c r="G115" s="935">
        <f>F115</f>
        <v>0.79390000000000005</v>
      </c>
      <c r="H115" s="935">
        <f>G115</f>
        <v>0.79390000000000005</v>
      </c>
      <c r="I115" s="935">
        <f>ROUND(0.689-0.0155*B113,4)</f>
        <v>0.63319999999999999</v>
      </c>
      <c r="J115" s="935">
        <f t="shared" ref="J115:M118" si="33">I115</f>
        <v>0.63319999999999999</v>
      </c>
      <c r="K115" s="935">
        <f t="shared" si="33"/>
        <v>0.63319999999999999</v>
      </c>
      <c r="L115" s="935">
        <f t="shared" si="33"/>
        <v>0.63319999999999999</v>
      </c>
      <c r="M115" s="936">
        <f t="shared" si="33"/>
        <v>0.63319999999999999</v>
      </c>
    </row>
    <row r="116" spans="1:13">
      <c r="A116" s="934" t="s">
        <v>2670</v>
      </c>
      <c r="B116" s="935">
        <f>ROUND(0.949-0.012*B113,4)</f>
        <v>0.90580000000000005</v>
      </c>
      <c r="C116" s="935">
        <f>B116</f>
        <v>0.90580000000000005</v>
      </c>
      <c r="D116" s="935">
        <f>ROUND(0.8567-0.013*B113,4)</f>
        <v>0.80989999999999995</v>
      </c>
      <c r="E116" s="935">
        <f t="shared" ref="E116:H117" si="34">D116</f>
        <v>0.80989999999999995</v>
      </c>
      <c r="F116" s="935">
        <f t="shared" si="34"/>
        <v>0.80989999999999995</v>
      </c>
      <c r="G116" s="935">
        <f t="shared" si="34"/>
        <v>0.80989999999999995</v>
      </c>
      <c r="H116" s="935">
        <f t="shared" si="34"/>
        <v>0.80989999999999995</v>
      </c>
      <c r="I116" s="935">
        <f>ROUND(0.7694-0.014*B113,4)</f>
        <v>0.71899999999999997</v>
      </c>
      <c r="J116" s="935">
        <f t="shared" si="33"/>
        <v>0.71899999999999997</v>
      </c>
      <c r="K116" s="935">
        <f t="shared" si="33"/>
        <v>0.71899999999999997</v>
      </c>
      <c r="L116" s="935">
        <f t="shared" si="33"/>
        <v>0.71899999999999997</v>
      </c>
      <c r="M116" s="936">
        <f t="shared" si="33"/>
        <v>0.71899999999999997</v>
      </c>
    </row>
    <row r="117" spans="1:13">
      <c r="A117" s="934" t="s">
        <v>2671</v>
      </c>
      <c r="B117" s="935">
        <f>ROUND(0.8808-0.006*B113,4)</f>
        <v>0.85919999999999996</v>
      </c>
      <c r="C117" s="935">
        <f>B117</f>
        <v>0.85919999999999996</v>
      </c>
      <c r="D117" s="935">
        <f>ROUND(0.8748-0.008*B113,4)</f>
        <v>0.84599999999999997</v>
      </c>
      <c r="E117" s="935">
        <f t="shared" si="34"/>
        <v>0.84599999999999997</v>
      </c>
      <c r="F117" s="935">
        <f t="shared" si="34"/>
        <v>0.84599999999999997</v>
      </c>
      <c r="G117" s="935">
        <f t="shared" si="34"/>
        <v>0.84599999999999997</v>
      </c>
      <c r="H117" s="935">
        <f t="shared" si="34"/>
        <v>0.84599999999999997</v>
      </c>
      <c r="I117" s="935">
        <f>ROUND(0.7412-0.0095*B113,4)</f>
        <v>0.70699999999999996</v>
      </c>
      <c r="J117" s="935">
        <f t="shared" si="33"/>
        <v>0.70699999999999996</v>
      </c>
      <c r="K117" s="935">
        <f t="shared" si="33"/>
        <v>0.70699999999999996</v>
      </c>
      <c r="L117" s="935">
        <f t="shared" si="33"/>
        <v>0.70699999999999996</v>
      </c>
      <c r="M117" s="936">
        <f t="shared" si="33"/>
        <v>0.70699999999999996</v>
      </c>
    </row>
    <row r="118" spans="1:13" ht="13.5" thickBot="1">
      <c r="A118" s="702" t="s">
        <v>2672</v>
      </c>
      <c r="B118" s="937">
        <f>ROUND(0.7275-0.01*B113,4)</f>
        <v>0.6915</v>
      </c>
      <c r="C118" s="937">
        <f>B118</f>
        <v>0.6915</v>
      </c>
      <c r="D118" s="937">
        <f>ROUND(0.7043-0.012*B113,4)</f>
        <v>0.66110000000000002</v>
      </c>
      <c r="E118" s="937">
        <f>D118</f>
        <v>0.66110000000000002</v>
      </c>
      <c r="F118" s="937">
        <f>E118</f>
        <v>0.66110000000000002</v>
      </c>
      <c r="G118" s="937">
        <f>ROUND(0.6299-0.0122*B113,4)</f>
        <v>0.58599999999999997</v>
      </c>
      <c r="H118" s="937">
        <f>G118</f>
        <v>0.58599999999999997</v>
      </c>
      <c r="I118" s="937">
        <f>ROUND(0.5667-0.0136*B113,4)</f>
        <v>0.51770000000000005</v>
      </c>
      <c r="J118" s="937">
        <f t="shared" si="33"/>
        <v>0.51770000000000005</v>
      </c>
      <c r="K118" s="937">
        <f t="shared" si="33"/>
        <v>0.51770000000000005</v>
      </c>
      <c r="L118" s="937">
        <f t="shared" si="33"/>
        <v>0.51770000000000005</v>
      </c>
      <c r="M118" s="938">
        <f t="shared" si="33"/>
        <v>0.51770000000000005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787</v>
      </c>
      <c r="B1" s="3092"/>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7.0999999999999994E-2</v>
      </c>
      <c r="H15" s="969">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23180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0.99219999999999997</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2" t="s">
        <v>1033</v>
      </c>
      <c r="C1" s="3102"/>
      <c r="D1" s="3102"/>
      <c r="E1" s="3102"/>
      <c r="F1" s="3102"/>
      <c r="G1" s="3098" t="s">
        <v>1034</v>
      </c>
      <c r="H1" s="3098"/>
      <c r="I1" s="3098"/>
      <c r="J1" s="3098"/>
      <c r="K1" s="3098"/>
      <c r="L1" s="3098"/>
      <c r="N1" s="3098" t="s">
        <v>1035</v>
      </c>
      <c r="O1" s="3098"/>
      <c r="P1" s="3098"/>
      <c r="Q1" s="3098"/>
      <c r="R1" s="1546"/>
      <c r="S1" s="3098" t="s">
        <v>1036</v>
      </c>
      <c r="T1" s="3098"/>
      <c r="U1" s="3098"/>
      <c r="V1" s="3098"/>
      <c r="X1" s="3097" t="s">
        <v>1037</v>
      </c>
      <c r="Y1" s="3098"/>
      <c r="Z1" s="3098"/>
      <c r="AA1" s="3098"/>
      <c r="AB1" s="3098"/>
      <c r="AD1" s="3097" t="s">
        <v>1038</v>
      </c>
      <c r="AE1" s="3098"/>
      <c r="AF1" s="3098"/>
      <c r="AG1" s="3098"/>
      <c r="AH1" s="3098"/>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8" customFormat="1" ht="14.25">
      <c r="A3" s="2729" t="s">
        <v>2803</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3" customFormat="1" ht="14.25">
      <c r="B4" s="1554"/>
      <c r="C4" s="1554"/>
      <c r="D4" s="1555"/>
      <c r="E4" s="1555"/>
      <c r="F4" s="1554"/>
      <c r="G4" s="1556"/>
      <c r="H4" s="1557"/>
      <c r="I4" s="2710"/>
      <c r="J4" s="2710"/>
      <c r="K4" s="2710"/>
      <c r="L4" s="2710"/>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2807</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30">
        <v>2018</v>
      </c>
      <c r="H5" s="1819">
        <v>2</v>
      </c>
      <c r="I5" s="2711">
        <v>0</v>
      </c>
      <c r="J5" s="2711">
        <v>0</v>
      </c>
      <c r="K5" s="2711">
        <v>0</v>
      </c>
      <c r="L5" s="2712">
        <v>0</v>
      </c>
      <c r="N5" s="1568">
        <f t="shared" ref="N5" si="7">I5/100</f>
        <v>0</v>
      </c>
      <c r="O5" s="1568">
        <f t="shared" ref="O5" si="8">J5/100</f>
        <v>0</v>
      </c>
      <c r="P5" s="1568">
        <f t="shared" ref="P5" si="9">K5/100</f>
        <v>0</v>
      </c>
      <c r="Q5" s="1568">
        <f t="shared" ref="Q5" si="10">L5/100</f>
        <v>0</v>
      </c>
      <c r="R5" s="1821"/>
      <c r="S5" s="1822"/>
      <c r="T5" s="1821"/>
      <c r="U5" s="1821"/>
      <c r="V5" s="1821"/>
      <c r="W5" s="2717" t="s">
        <v>2802</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2808</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9">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2804</v>
      </c>
      <c r="B7" s="1570">
        <v>439</v>
      </c>
      <c r="C7" s="1570">
        <v>327</v>
      </c>
      <c r="D7" s="1570">
        <f t="shared" si="14"/>
        <v>327</v>
      </c>
      <c r="E7" s="1570">
        <v>627</v>
      </c>
      <c r="F7" s="1571">
        <v>283</v>
      </c>
      <c r="G7" s="2716">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2799</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9"/>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8"/>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9"/>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3">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100"/>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100"/>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101"/>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9">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100"/>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100"/>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101"/>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9">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100"/>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100"/>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101"/>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4">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5"/>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5"/>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6"/>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9">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100"/>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100"/>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101"/>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9">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100">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100">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101">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9">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100">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100">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101">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9">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100">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100">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101">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9">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100">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100">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101">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9">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100">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100">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101">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9">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100">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100">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101">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9">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100">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100">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101">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9">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100">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100">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101">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9">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100">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100">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101">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9">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100">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100">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101">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43257</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S14"/>
  <sheetViews>
    <sheetView topLeftCell="I22" workbookViewId="0">
      <selection activeCell="P14" sqref="P14"/>
    </sheetView>
  </sheetViews>
  <sheetFormatPr defaultRowHeight="13.5"/>
  <sheetData>
    <row r="11" spans="10:19">
      <c r="J11" s="1907" t="s">
        <v>2840</v>
      </c>
      <c r="L11" s="1907" t="s">
        <v>2848</v>
      </c>
      <c r="M11" s="1907" t="s">
        <v>2835</v>
      </c>
      <c r="N11" s="1907" t="s">
        <v>2839</v>
      </c>
      <c r="O11" s="1907" t="s">
        <v>2841</v>
      </c>
      <c r="P11" s="1907" t="s">
        <v>2842</v>
      </c>
      <c r="Q11" s="1907" t="s">
        <v>2847</v>
      </c>
      <c r="R11" s="1907" t="s">
        <v>2852</v>
      </c>
      <c r="S11" s="1907" t="s">
        <v>2853</v>
      </c>
    </row>
    <row r="12" spans="10:19">
      <c r="J12">
        <v>0.98</v>
      </c>
      <c r="K12" s="1907" t="s">
        <v>2836</v>
      </c>
      <c r="L12" s="1907" t="s">
        <v>2849</v>
      </c>
      <c r="M12">
        <v>42187</v>
      </c>
      <c r="N12">
        <f>ROUND(M12*$J$12,0)</f>
        <v>41343</v>
      </c>
      <c r="O12">
        <v>192</v>
      </c>
      <c r="P12" s="1907" t="s">
        <v>2846</v>
      </c>
      <c r="Q12">
        <v>2001</v>
      </c>
      <c r="R12">
        <f>ROUND(1-(1-0%)*(2018-Q12)/60,2)</f>
        <v>0.72</v>
      </c>
      <c r="S12">
        <f>ROUND(50-2-(2018-Q12),0)</f>
        <v>31</v>
      </c>
    </row>
    <row r="13" spans="10:19">
      <c r="K13" s="1907" t="s">
        <v>2837</v>
      </c>
      <c r="L13" s="1907" t="s">
        <v>2850</v>
      </c>
      <c r="M13">
        <v>37900</v>
      </c>
      <c r="N13">
        <f t="shared" ref="N13:N14" si="0">ROUND(M13*$J$12,0)</f>
        <v>37142</v>
      </c>
      <c r="O13">
        <v>2623</v>
      </c>
      <c r="P13" s="1907" t="s">
        <v>2844</v>
      </c>
      <c r="Q13">
        <v>2003</v>
      </c>
      <c r="R13">
        <f t="shared" ref="R13:R14" si="1">ROUND(1-(1-0%)*(2018-Q13)/60,2)</f>
        <v>0.75</v>
      </c>
      <c r="S13">
        <f t="shared" ref="S13:S14" si="2">ROUND(50-2-(2018-Q13),0)</f>
        <v>33</v>
      </c>
    </row>
    <row r="14" spans="10:19">
      <c r="K14" s="1907" t="s">
        <v>2838</v>
      </c>
      <c r="L14" s="1907" t="s">
        <v>2851</v>
      </c>
      <c r="M14">
        <v>44000</v>
      </c>
      <c r="N14">
        <f t="shared" si="0"/>
        <v>43120</v>
      </c>
      <c r="O14">
        <v>470</v>
      </c>
      <c r="P14" s="1907" t="s">
        <v>2844</v>
      </c>
      <c r="Q14">
        <v>2006</v>
      </c>
      <c r="R14">
        <f t="shared" si="1"/>
        <v>0.8</v>
      </c>
      <c r="S14">
        <f t="shared" si="2"/>
        <v>36</v>
      </c>
    </row>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9"/>
      <c r="C2" s="2769"/>
      <c r="D2" s="2769"/>
      <c r="E2" s="2769"/>
    </row>
    <row r="3" spans="1:5" ht="13.5" customHeight="1">
      <c r="A3" s="1928"/>
      <c r="B3" s="1928"/>
      <c r="C3" s="1928"/>
      <c r="D3" s="1928"/>
      <c r="E3" s="1928"/>
    </row>
    <row r="4" spans="1:5" ht="19.5" thickBot="1">
      <c r="A4" s="2770" t="str">
        <f>IF(项目基本情况!D5="房地产市场价值","估价结果一览表（市场价值不需本页表格)","估价结果一览表")</f>
        <v>估价结果一览表（市场价值不需本页表格)</v>
      </c>
      <c r="B4" s="2770"/>
      <c r="C4" s="2770"/>
      <c r="D4" s="2770"/>
      <c r="E4" s="2770"/>
    </row>
    <row r="5" spans="1:5" ht="14.25" customHeight="1" thickTop="1">
      <c r="A5" s="1925"/>
      <c r="B5" s="1929" t="s">
        <v>742</v>
      </c>
      <c r="C5" s="2771" t="s">
        <v>783</v>
      </c>
      <c r="D5" s="2772"/>
      <c r="E5" s="1925"/>
    </row>
    <row r="6" spans="1:5" ht="14.25">
      <c r="A6" s="1925"/>
      <c r="B6" s="1930" t="str">
        <f>项目基本情况!I1</f>
        <v>北京市房地产</v>
      </c>
      <c r="C6" s="2773">
        <f>项目基本情况!C12</f>
        <v>218.48</v>
      </c>
      <c r="D6" s="2773"/>
      <c r="E6" s="1925"/>
    </row>
    <row r="7" spans="1:5" ht="14.25">
      <c r="A7" s="1925"/>
      <c r="B7" s="2767" t="s">
        <v>784</v>
      </c>
      <c r="C7" s="1931" t="str">
        <f>IF('数据-取费表'!B3="万元","总价（万元）","总价（元）")</f>
        <v>总价（元）</v>
      </c>
      <c r="D7" s="1932">
        <f ca="1">IF('数据-取费表'!E3="否",结果表!I102,'结果表 (1修多)'!I103)</f>
        <v>5476390</v>
      </c>
      <c r="E7" s="1925"/>
    </row>
    <row r="8" spans="1:5" ht="28.5">
      <c r="A8" s="1925"/>
      <c r="B8" s="2767"/>
      <c r="C8" s="1933" t="s">
        <v>1175</v>
      </c>
      <c r="D8" s="1934" t="str">
        <f ca="1">IF('数据-取费表'!B3="万元",NUMBERSTRING(INT(D7*10000),2)&amp;"元整",NUMBERSTRING(INT(D7),2)&amp;"元整")</f>
        <v>伍佰肆拾柒万陆仟叁佰玖拾元整</v>
      </c>
      <c r="E8" s="1925"/>
    </row>
    <row r="9" spans="1:5" ht="14.25">
      <c r="A9" s="1925"/>
      <c r="B9" s="2767"/>
      <c r="C9" s="1935" t="s">
        <v>1273</v>
      </c>
      <c r="D9" s="1932">
        <f ca="1">IF('数据-取费表'!E3="否",结果表!I103,'结果表 (1修多)'!I104)</f>
        <v>25066</v>
      </c>
      <c r="E9" s="1925"/>
    </row>
    <row r="10" spans="1:5" ht="14.25">
      <c r="A10" s="1925"/>
      <c r="B10" s="2774"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28.5">
      <c r="A11" s="1925"/>
      <c r="B11" s="2774"/>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74" t="str">
        <f>IF('数据-取费表'!E3="否",结果表!F110,'结果表 (1修多)'!F111)</f>
        <v>3.房地产抵押价值</v>
      </c>
      <c r="C15" s="1926" t="str">
        <f>C7</f>
        <v>总价（元）</v>
      </c>
      <c r="D15" s="1932">
        <f ca="1">IF('数据-取费表'!E3="否",结果表!I110,'结果表 (1修多)'!I111)</f>
        <v>5476390</v>
      </c>
      <c r="E15" s="1925"/>
    </row>
    <row r="16" spans="1:5" ht="28.5">
      <c r="A16" s="1925"/>
      <c r="B16" s="2774"/>
      <c r="C16" s="1933" t="s">
        <v>1175</v>
      </c>
      <c r="D16" s="1932" t="str">
        <f ca="1">IF('数据-取费表'!B3="万元",NUMBERSTRING(INT(D15*10000),2)&amp;"元整",NUMBERSTRING(INT(D15),2)&amp;"元整")</f>
        <v>伍佰肆拾柒万陆仟叁佰玖拾元整</v>
      </c>
      <c r="E16" s="1925"/>
    </row>
    <row r="17" spans="1:5" ht="14.25">
      <c r="A17" s="1925"/>
      <c r="B17" s="2774"/>
      <c r="C17" s="1935" t="s">
        <v>1273</v>
      </c>
      <c r="D17" s="1932">
        <f ca="1">IF('数据-取费表'!E3="否",结果表!I111,'结果表 (1修多)'!I112)</f>
        <v>25066</v>
      </c>
      <c r="E17" s="1925"/>
    </row>
    <row r="18" spans="1:5" ht="14.25">
      <c r="A18" s="1925"/>
      <c r="B18" s="2774" t="str">
        <f>IF('数据-取费表'!E3="否",结果表!F112,'结果表 (1修多)'!F113)</f>
        <v>——</v>
      </c>
      <c r="C18" s="1926" t="str">
        <f>C7</f>
        <v>总价（元）</v>
      </c>
      <c r="D18" s="1932" t="str">
        <f>IF('数据-取费表'!E3="否",结果表!I112,'结果表 (1修多)'!I113)</f>
        <v>——</v>
      </c>
      <c r="E18" s="1925"/>
    </row>
    <row r="19" spans="1:5" ht="14.25">
      <c r="A19" s="1925"/>
      <c r="B19" s="2774"/>
      <c r="C19" s="1933" t="s">
        <v>1175</v>
      </c>
      <c r="D19" s="1932" t="e">
        <f>IF('数据-取费表'!B3="万元",NUMBERSTRING(INT(D18*10000),2)&amp;"元整",NUMBERSTRING(INT(D18),2)&amp;"元整")</f>
        <v>#VALUE!</v>
      </c>
      <c r="E19" s="1925"/>
    </row>
    <row r="20" spans="1:5" ht="14.25">
      <c r="A20" s="1925"/>
      <c r="B20" s="2774"/>
      <c r="C20" s="1935" t="s">
        <v>1273</v>
      </c>
      <c r="D20" s="1932" t="str">
        <f>IF('数据-取费表'!E3="否",结果表!I113,'结果表 (1修多)'!I114)</f>
        <v>——</v>
      </c>
      <c r="E20" s="1925"/>
    </row>
    <row r="21" spans="1:5" ht="14.25">
      <c r="A21" s="1925"/>
      <c r="B21" s="2767" t="str">
        <f>IF('数据-取费表'!E3="否",结果表!F114,'结果表 (1修多)'!F115)</f>
        <v>——</v>
      </c>
      <c r="C21" s="1931" t="str">
        <f>C7</f>
        <v>总价（元）</v>
      </c>
      <c r="D21" s="1932" t="str">
        <f>IF('数据-取费表'!E3="否",结果表!I114,'结果表 (1修多)'!I115)</f>
        <v>——</v>
      </c>
      <c r="E21" s="1925"/>
    </row>
    <row r="22" spans="1:5" ht="14.25">
      <c r="A22" s="1925"/>
      <c r="B22" s="2767"/>
      <c r="C22" s="1933" t="s">
        <v>1175</v>
      </c>
      <c r="D22" s="1934" t="e">
        <f>IF('数据-取费表'!B3="万元",NUMBERSTRING(INT(D21*10000),2)&amp;"元整",NUMBERSTRING(INT(D21),2)&amp;"元整")</f>
        <v>#VALUE!</v>
      </c>
      <c r="E22" s="1925"/>
    </row>
    <row r="23" spans="1:5" ht="15" thickBot="1">
      <c r="A23" s="1925"/>
      <c r="B23" s="2768"/>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9" t="s">
        <v>1274</v>
      </c>
      <c r="C25" s="2759"/>
      <c r="D25" s="2759"/>
      <c r="E25" s="1925"/>
    </row>
    <row r="26" spans="1:5" ht="18.75" customHeight="1" thickTop="1">
      <c r="A26" s="1925"/>
      <c r="B26" s="2762" t="s">
        <v>1174</v>
      </c>
      <c r="C26" s="2763"/>
      <c r="D26" s="2760" t="s">
        <v>1173</v>
      </c>
      <c r="E26" s="1925"/>
    </row>
    <row r="27" spans="1:5" ht="18.75" customHeight="1">
      <c r="A27" s="1925"/>
      <c r="B27" s="2764"/>
      <c r="C27" s="2765"/>
      <c r="D27" s="2761"/>
      <c r="E27" s="1925"/>
    </row>
    <row r="28" spans="1:5" ht="14.25">
      <c r="A28" s="1925"/>
      <c r="B28" s="2752" t="s">
        <v>784</v>
      </c>
      <c r="C28" s="1942" t="s">
        <v>1176</v>
      </c>
      <c r="D28" s="1943">
        <f ca="1">IF('数据-取费表'!E3="否",结果表!I102,'结果表 (1修多)'!I103)</f>
        <v>5476390</v>
      </c>
      <c r="E28" s="1925"/>
    </row>
    <row r="29" spans="1:5" ht="28.5">
      <c r="A29" s="1925"/>
      <c r="B29" s="2753"/>
      <c r="C29" s="1944" t="s">
        <v>1175</v>
      </c>
      <c r="D29" s="1945" t="str">
        <f ca="1">IF('数据-取费表'!B3="万元",NUMBERSTRING(INT(D28*10000),2)&amp;"元整",NUMBERSTRING(INT(D28),2)&amp;"元整")</f>
        <v>伍佰肆拾柒万陆仟叁佰玖拾元整</v>
      </c>
      <c r="E29" s="1925"/>
    </row>
    <row r="30" spans="1:5" ht="14.25">
      <c r="A30" s="1925"/>
      <c r="B30" s="2754"/>
      <c r="C30" s="1935" t="s">
        <v>1178</v>
      </c>
      <c r="D30" s="1946">
        <f ca="1">IF('数据-取费表'!E3="否",结果表!I103,'结果表 (1修多)'!I104)</f>
        <v>25066</v>
      </c>
      <c r="E30" s="1925"/>
    </row>
    <row r="31" spans="1:5" ht="14.25">
      <c r="A31" s="1925"/>
      <c r="B31" s="2757" t="str">
        <f>B10</f>
        <v>2.估价师所知悉的法定优先受偿款</v>
      </c>
      <c r="C31" s="1947" t="s">
        <v>1177</v>
      </c>
      <c r="D31" s="1948">
        <f>IF('数据-取费表'!E3="否",结果表!I105,'结果表 (1修多)'!I106)</f>
        <v>0</v>
      </c>
      <c r="E31" s="1925"/>
    </row>
    <row r="32" spans="1:5" ht="28.5">
      <c r="A32" s="1925"/>
      <c r="B32" s="2766"/>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55" t="str">
        <f>B15</f>
        <v>3.房地产抵押价值</v>
      </c>
      <c r="C36" s="1947" t="str">
        <f>C28</f>
        <v>总价</v>
      </c>
      <c r="D36" s="1948">
        <f ca="1">IF('数据-取费表'!E3="否",结果表!I110,'结果表 (1修多)'!I111)</f>
        <v>5476390</v>
      </c>
      <c r="E36" s="1925"/>
    </row>
    <row r="37" spans="1:5" ht="28.5">
      <c r="A37" s="1925"/>
      <c r="B37" s="2755"/>
      <c r="C37" s="1944" t="s">
        <v>1175</v>
      </c>
      <c r="D37" s="1949" t="str">
        <f ca="1">IF('数据-取费表'!B3="万元",NUMBERSTRING(INT(D36*10000),2)&amp;"元整",NUMBERSTRING(INT(D36),2)&amp;"元整")</f>
        <v>伍佰肆拾柒万陆仟叁佰玖拾元整</v>
      </c>
      <c r="E37" s="1925"/>
    </row>
    <row r="38" spans="1:5" ht="14.25">
      <c r="A38" s="1925"/>
      <c r="B38" s="2755"/>
      <c r="C38" s="1935" t="s">
        <v>1179</v>
      </c>
      <c r="D38" s="1946">
        <f ca="1">IF('数据-取费表'!E3="否",结果表!D113,'结果表 (1修多)'!D116)</f>
        <v>25066</v>
      </c>
      <c r="E38" s="1925"/>
    </row>
    <row r="39" spans="1:5" ht="14.25">
      <c r="A39" s="1925"/>
      <c r="B39" s="2756" t="str">
        <f>B18</f>
        <v>——</v>
      </c>
      <c r="C39" s="1947" t="str">
        <f>C28</f>
        <v>总价</v>
      </c>
      <c r="D39" s="1948" t="str">
        <f>IF('数据-取费表'!E3="否",结果表!I112,'结果表 (1修多)'!I113)</f>
        <v>——</v>
      </c>
      <c r="E39" s="1925"/>
    </row>
    <row r="40" spans="1:5" ht="14.25">
      <c r="A40" s="1925"/>
      <c r="B40" s="2756"/>
      <c r="C40" s="1944" t="s">
        <v>1175</v>
      </c>
      <c r="D40" s="1949" t="e">
        <f>IF('数据-取费表'!B3="万元",NUMBERSTRING(INT(D39*10000),2)&amp;"元整",NUMBERSTRING(INT(D39),2)&amp;"元整")</f>
        <v>#VALUE!</v>
      </c>
      <c r="E40" s="1925"/>
    </row>
    <row r="41" spans="1:5" ht="14.25">
      <c r="A41" s="1925"/>
      <c r="B41" s="2756"/>
      <c r="C41" s="1935" t="s">
        <v>1179</v>
      </c>
      <c r="D41" s="1946" t="str">
        <f>IF('数据-取费表'!E3="否",结果表!D115,'结果表 (1修多)'!D118)</f>
        <v>——</v>
      </c>
      <c r="E41" s="1925"/>
    </row>
    <row r="42" spans="1:5" ht="14.25">
      <c r="A42" s="1925"/>
      <c r="B42" s="2755" t="str">
        <f>B21</f>
        <v>——</v>
      </c>
      <c r="C42" s="1947" t="str">
        <f>C28</f>
        <v>总价</v>
      </c>
      <c r="D42" s="1948" t="str">
        <f>IF('数据-取费表'!E3="否",结果表!I114,'结果表 (1修多)'!I115)</f>
        <v>——</v>
      </c>
      <c r="E42" s="1925"/>
    </row>
    <row r="43" spans="1:5" ht="14.25">
      <c r="A43" s="1925"/>
      <c r="B43" s="2757"/>
      <c r="C43" s="1944" t="s">
        <v>1175</v>
      </c>
      <c r="D43" s="1950" t="e">
        <f>IF('数据-取费表'!B3="万元",NUMBERSTRING(INT(D42*10000),2)&amp;"元整",NUMBERSTRING(INT(D42),2)&amp;"元整")</f>
        <v>#VALUE!</v>
      </c>
      <c r="E43" s="1925"/>
    </row>
    <row r="44" spans="1:5" ht="15" thickBot="1">
      <c r="A44" s="1925"/>
      <c r="B44" s="2758"/>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1275</v>
      </c>
      <c r="B2" s="2782" t="s">
        <v>1276</v>
      </c>
      <c r="C2" s="2782" t="s">
        <v>1277</v>
      </c>
      <c r="D2" s="2782" t="str">
        <f>IF('数据-取费表'!E3="否",结果表!D119,'结果表 (1修多)'!D122)</f>
        <v>出让国有建设用地使用权价值</v>
      </c>
      <c r="E2" s="2782"/>
      <c r="F2" s="2782" t="s">
        <v>1278</v>
      </c>
      <c r="G2" s="2782"/>
      <c r="H2" s="2782" t="s">
        <v>1279</v>
      </c>
      <c r="I2" s="2782"/>
    </row>
    <row r="3" spans="1:9" ht="15">
      <c r="A3" s="2775"/>
      <c r="B3" s="2775"/>
      <c r="C3" s="2775"/>
      <c r="D3" s="1048" t="s">
        <v>1280</v>
      </c>
      <c r="E3" s="1048" t="s">
        <v>1281</v>
      </c>
      <c r="F3" s="1048" t="s">
        <v>1280</v>
      </c>
      <c r="G3" s="1048" t="s">
        <v>1282</v>
      </c>
      <c r="H3" s="1048" t="s">
        <v>1280</v>
      </c>
      <c r="I3" s="1048" t="s">
        <v>1282</v>
      </c>
    </row>
    <row r="4" spans="1:9" ht="46.5" customHeight="1">
      <c r="A4" s="1048" t="str">
        <f>项目基本情况!I1</f>
        <v>北京市房地产</v>
      </c>
      <c r="B4" s="1048">
        <f>结果表!B121</f>
        <v>218.48</v>
      </c>
      <c r="C4" s="1048">
        <f>结果表!C121</f>
        <v>0</v>
      </c>
      <c r="D4" s="1048">
        <f ca="1">IF('数据-取费表'!E3="否",结果表!D121,'结果表 (1修多)'!D124)</f>
        <v>4726125</v>
      </c>
      <c r="E4" s="1048">
        <f ca="1">IF('数据-取费表'!E3="否",结果表!E121,'结果表 (1修多)'!E124)</f>
        <v>21632</v>
      </c>
      <c r="F4" s="1048">
        <f ca="1">IF('数据-取费表'!E3="否",结果表!F121,'结果表 (1修多)'!F124)</f>
        <v>750265</v>
      </c>
      <c r="G4" s="1048">
        <f ca="1">IF('数据-取费表'!E3="否",结果表!G121,'结果表 (1修多)'!G124)</f>
        <v>3434</v>
      </c>
      <c r="H4" s="1048">
        <f ca="1">IF('数据-取费表'!E3="否",结果表!H121,'结果表 (1修多)'!H124)</f>
        <v>5476390</v>
      </c>
      <c r="I4" s="1048">
        <f ca="1">IF('数据-取费表'!E3="否",结果表!I121,'结果表 (1修多)'!I124)</f>
        <v>25066</v>
      </c>
    </row>
    <row r="5" spans="1:9" ht="15">
      <c r="A5" s="2775" t="s">
        <v>1283</v>
      </c>
      <c r="B5" s="2775"/>
      <c r="C5" s="2775"/>
      <c r="D5" s="2776" t="str">
        <f ca="1">IF('数据-取费表'!E3="否",结果表!D122,'结果表 (1修多)'!D125)</f>
        <v>肆佰柒拾贰万陆仟壹佰贰拾伍元整</v>
      </c>
      <c r="E5" s="2776"/>
      <c r="F5" s="2776" t="str">
        <f ca="1">IF('数据-取费表'!E3="否",结果表!F122,'结果表 (1修多)'!F125)</f>
        <v>柒拾伍万零贰佰陆拾伍元整</v>
      </c>
      <c r="G5" s="2776"/>
      <c r="H5" s="2776" t="str">
        <f ca="1">IF('数据-取费表'!E3="否",结果表!H122,'结果表 (1修多)'!H125)</f>
        <v>伍佰肆拾柒万陆仟叁佰玖拾元整</v>
      </c>
      <c r="I5" s="2776"/>
    </row>
    <row r="6" spans="1:9" ht="15.75">
      <c r="A6" s="2777" t="str">
        <f>IF('数据-取费表'!E3="否",结果表!A123,'结果表 (1修多)'!A126)</f>
        <v>——</v>
      </c>
      <c r="B6" s="2777"/>
      <c r="C6" s="2777"/>
      <c r="D6" s="2777">
        <f>IF('数据-取费表'!E3="否",结果表!D123,'结果表 (1修多)'!D126)</f>
        <v>0</v>
      </c>
      <c r="E6" s="2777"/>
      <c r="F6" s="2777"/>
      <c r="G6" s="2777"/>
      <c r="H6" s="2777"/>
      <c r="I6" s="2777"/>
    </row>
    <row r="7" spans="1:9" ht="15">
      <c r="A7" s="2775" t="s">
        <v>1283</v>
      </c>
      <c r="B7" s="2775"/>
      <c r="C7" s="2775"/>
      <c r="D7" s="2783">
        <f>IF('数据-取费表'!E3="否",结果表!D124,'结果表 (1修多)'!D127)</f>
        <v>0</v>
      </c>
      <c r="E7" s="2784"/>
      <c r="F7" s="2784"/>
      <c r="G7" s="2784"/>
      <c r="H7" s="2784"/>
      <c r="I7" s="2785"/>
    </row>
    <row r="8" spans="1:9" ht="15.75">
      <c r="A8" s="2777" t="str">
        <f>IF('数据-取费表'!E3="否",结果表!A125,'结果表 (1修多)'!A128)</f>
        <v>——</v>
      </c>
      <c r="B8" s="2777"/>
      <c r="C8" s="2777"/>
      <c r="D8" s="2777">
        <f ca="1">IF('数据-取费表'!E3="否",结果表!D125,'结果表 (1修多)'!D128)</f>
        <v>5476390</v>
      </c>
      <c r="E8" s="2777"/>
      <c r="F8" s="2777"/>
      <c r="G8" s="2777"/>
      <c r="H8" s="2777"/>
      <c r="I8" s="2777"/>
    </row>
    <row r="9" spans="1:9" ht="15">
      <c r="A9" s="2775" t="s">
        <v>1283</v>
      </c>
      <c r="B9" s="2775"/>
      <c r="C9" s="2775"/>
      <c r="D9" s="2776">
        <f ca="1">IF('数据-取费表'!E3="否",结果表!D126,'结果表 (1修多)'!D129)</f>
        <v>25066</v>
      </c>
      <c r="E9" s="2776"/>
      <c r="F9" s="2776"/>
      <c r="G9" s="2776"/>
      <c r="H9" s="2776"/>
      <c r="I9" s="2776"/>
    </row>
    <row r="10" spans="1:9" ht="15.75">
      <c r="A10" s="2777" t="str">
        <f>IF('数据-取费表'!E3="否",结果表!A127,'结果表 (1修多)'!A130)</f>
        <v>——</v>
      </c>
      <c r="B10" s="2777"/>
      <c r="C10" s="2777"/>
      <c r="D10" s="2777" t="str">
        <f>IF('数据-取费表'!E3="否",结果表!D127,'结果表 (1修多)'!D129)</f>
        <v>——</v>
      </c>
      <c r="E10" s="2777"/>
      <c r="F10" s="2777"/>
      <c r="G10" s="2777"/>
      <c r="H10" s="2777"/>
      <c r="I10" s="2777"/>
    </row>
    <row r="11" spans="1:9" ht="15">
      <c r="A11" s="2775" t="s">
        <v>1283</v>
      </c>
      <c r="B11" s="2775"/>
      <c r="C11" s="2775"/>
      <c r="D11" s="2776" t="str">
        <f>IF('数据-取费表'!E3="否",结果表!D128,'结果表 (1修多)'!D131)</f>
        <v>——</v>
      </c>
      <c r="E11" s="2776"/>
      <c r="F11" s="2776"/>
      <c r="G11" s="2776"/>
      <c r="H11" s="2776"/>
      <c r="I11" s="2776"/>
    </row>
    <row r="12" spans="1:9" ht="15.75">
      <c r="A12" s="2777" t="str">
        <f>IF('数据-取费表'!E3="否",结果表!A129,'结果表 (1修多)'!A132)</f>
        <v>——</v>
      </c>
      <c r="B12" s="2777"/>
      <c r="C12" s="2777"/>
      <c r="D12" s="2777" t="str">
        <f>IF('数据-取费表'!E3="否",结果表!D129,'结果表 (1修多)'!D132)</f>
        <v>——</v>
      </c>
      <c r="E12" s="2777"/>
      <c r="F12" s="2777"/>
      <c r="G12" s="2777"/>
      <c r="H12" s="2777"/>
      <c r="I12" s="2777"/>
    </row>
    <row r="13" spans="1:9" ht="15.75" thickBot="1">
      <c r="A13" s="2778" t="s">
        <v>1283</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7" t="s">
        <v>1297</v>
      </c>
      <c r="B1" s="2787"/>
      <c r="C1" s="2787"/>
      <c r="D1" s="2787"/>
    </row>
    <row r="2" spans="1:4" ht="18">
      <c r="A2" s="2786" t="s">
        <v>1285</v>
      </c>
      <c r="B2" s="2786"/>
      <c r="C2" s="2786"/>
      <c r="D2" s="2786"/>
    </row>
    <row r="3" spans="1:4" ht="18.75">
      <c r="A3" s="1954" t="s">
        <v>1286</v>
      </c>
      <c r="B3" s="1954" t="s">
        <v>1287</v>
      </c>
      <c r="C3" s="1954" t="s">
        <v>1288</v>
      </c>
      <c r="D3" s="1954" t="s">
        <v>1289</v>
      </c>
    </row>
    <row r="4" spans="1:4" ht="56.25" customHeight="1">
      <c r="A4" s="1955" t="str">
        <f>项目基本情况!B3</f>
        <v>欧红伟</v>
      </c>
      <c r="B4" s="1956">
        <f ca="1">项目基本情况!C3</f>
        <v>1120000080</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786" t="s">
        <v>1290</v>
      </c>
      <c r="B7" s="2786"/>
      <c r="C7" s="2786"/>
      <c r="D7" s="2786"/>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88" t="s">
        <v>1299</v>
      </c>
      <c r="B12" s="2789"/>
      <c r="C12" s="2789"/>
      <c r="D12" s="2789"/>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8" t="str">
        <f>IF(项目基本情况!D4="抵押","3.抵押双方在办理抵押登记手续时，应使用本公司出具的正式《房地产评估报告》，特提醒报告使用者注意。","——")</f>
        <v>——</v>
      </c>
      <c r="B14" s="2789"/>
      <c r="C14" s="2789"/>
      <c r="D14" s="2789"/>
    </row>
    <row r="15" spans="1:4" ht="15.75" customHeight="1">
      <c r="A15" s="2788" t="str">
        <f>IF(项目基本情况!D4="抵押","4.本次评估估价师所知悉的法定优先受偿款情况说明如下：","——")</f>
        <v>——</v>
      </c>
      <c r="B15" s="2789"/>
      <c r="C15" s="2789"/>
      <c r="D15" s="2789"/>
    </row>
    <row r="16" spans="1:4" ht="75" customHeight="1">
      <c r="A16" s="2788" t="str">
        <f>IF(项目基本情况!D4="抵押",CONCATENATE(项目基本情况!J13,项目基本情况!J14,项目基本情况!J15),"——")</f>
        <v>——</v>
      </c>
      <c r="B16" s="2788"/>
      <c r="C16" s="2788"/>
      <c r="D16" s="2788"/>
    </row>
    <row r="17" spans="1:4" ht="63.75" customHeight="1">
      <c r="A17" s="2790" t="s">
        <v>1300</v>
      </c>
      <c r="B17" s="2790"/>
      <c r="C17" s="2790"/>
      <c r="D17" s="2790"/>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90" t="s">
        <v>1293</v>
      </c>
      <c r="B20" s="2790"/>
      <c r="C20" s="2790"/>
      <c r="D20" s="2790"/>
    </row>
    <row r="21" spans="1:4">
      <c r="A21" s="1963"/>
      <c r="B21" s="1289"/>
      <c r="C21" s="1289"/>
      <c r="D21" s="1289"/>
    </row>
    <row r="22" spans="1:4">
      <c r="A22" s="1963"/>
      <c r="B22" s="1289"/>
      <c r="C22" s="1289"/>
      <c r="D22" s="1289"/>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96" t="s">
        <v>1379</v>
      </c>
      <c r="B15" s="2791" t="s">
        <v>1380</v>
      </c>
      <c r="C15" s="2792"/>
    </row>
    <row r="16" spans="1:7" ht="14.25">
      <c r="A16" s="2797"/>
      <c r="B16" s="2791" t="s">
        <v>1381</v>
      </c>
      <c r="C16" s="2792"/>
    </row>
    <row r="17" spans="1:3" ht="14.25">
      <c r="A17" s="2797"/>
      <c r="B17" s="2791" t="s">
        <v>1382</v>
      </c>
      <c r="C17" s="2792"/>
    </row>
    <row r="18" spans="1:3" ht="14.25">
      <c r="A18" s="2798"/>
      <c r="B18" s="2793" t="s">
        <v>1383</v>
      </c>
      <c r="C18" s="2792"/>
    </row>
    <row r="19" spans="1:3" ht="14.25">
      <c r="A19" s="1978" t="s">
        <v>1384</v>
      </c>
      <c r="B19" s="1979"/>
      <c r="C19" s="1980"/>
    </row>
    <row r="20" spans="1:3" ht="14.25">
      <c r="A20" s="2794" t="s">
        <v>1385</v>
      </c>
      <c r="B20" s="2793" t="s">
        <v>1386</v>
      </c>
      <c r="C20" s="2792"/>
    </row>
    <row r="21" spans="1:3" ht="14.25">
      <c r="A21" s="2794"/>
      <c r="B21" s="2793" t="s">
        <v>1387</v>
      </c>
      <c r="C21" s="2792"/>
    </row>
    <row r="22" spans="1:3" ht="14.25">
      <c r="A22" s="2794"/>
      <c r="B22" s="2793" t="s">
        <v>1388</v>
      </c>
      <c r="C22" s="2792"/>
    </row>
    <row r="23" spans="1:3" ht="14.25">
      <c r="A23" s="2794"/>
      <c r="B23" s="2795" t="s">
        <v>1389</v>
      </c>
      <c r="C23" s="1981" t="s">
        <v>1390</v>
      </c>
    </row>
    <row r="24" spans="1:3" ht="14.25">
      <c r="A24" s="2794"/>
      <c r="B24" s="2795"/>
      <c r="C24" s="1981" t="s">
        <v>1391</v>
      </c>
    </row>
    <row r="25" spans="1:3" ht="14.25">
      <c r="A25" s="2794"/>
      <c r="B25" s="2795"/>
      <c r="C25" s="1981" t="s">
        <v>1392</v>
      </c>
    </row>
    <row r="26" spans="1:3" ht="14.25">
      <c r="A26" s="2794"/>
      <c r="B26" s="2795"/>
      <c r="C26" s="1981" t="s">
        <v>1393</v>
      </c>
    </row>
    <row r="27" spans="1:3" ht="14.25">
      <c r="A27" s="2794"/>
      <c r="B27" s="2795"/>
      <c r="C27" s="1981" t="s">
        <v>1394</v>
      </c>
    </row>
    <row r="28" spans="1:3" ht="14.25">
      <c r="A28" s="2794"/>
      <c r="B28" s="2795"/>
      <c r="C28" s="1981" t="s">
        <v>1395</v>
      </c>
    </row>
    <row r="29" spans="1:3" ht="14.25">
      <c r="A29" s="2794"/>
      <c r="B29" s="2795"/>
      <c r="C29" s="1981" t="s">
        <v>1396</v>
      </c>
    </row>
    <row r="30" spans="1:3" ht="14.25">
      <c r="A30" s="2794"/>
      <c r="B30" s="2795"/>
      <c r="C30" s="1981" t="s">
        <v>1397</v>
      </c>
    </row>
    <row r="31" spans="1:3" ht="14.25">
      <c r="A31" s="2794"/>
      <c r="B31" s="2795"/>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2809</v>
      </c>
      <c r="B12" s="1030">
        <v>1120110054</v>
      </c>
      <c r="C12" s="1809">
        <v>43937</v>
      </c>
      <c r="D12" s="1810" t="str">
        <f t="shared" si="0"/>
        <v>白景生（注册号：1120110054）</v>
      </c>
      <c r="E12" s="1808" t="s">
        <v>2809</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9" t="s">
        <v>768</v>
      </c>
      <c r="B25" s="2799"/>
      <c r="C25" s="2799"/>
      <c r="D25" s="2799"/>
      <c r="E25" s="2799"/>
      <c r="F25" s="2799"/>
      <c r="G25" s="2799"/>
      <c r="H25" s="2799"/>
    </row>
    <row r="26" spans="1:8" s="1033" customFormat="1" ht="24" customHeight="1">
      <c r="A26" s="2800" t="s">
        <v>769</v>
      </c>
      <c r="B26" s="2800"/>
      <c r="C26" s="2800"/>
      <c r="D26" s="1061"/>
      <c r="E26" s="1061"/>
      <c r="F26" s="2800" t="s">
        <v>770</v>
      </c>
      <c r="G26" s="2800"/>
      <c r="H26" s="2800"/>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0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row>
    <row r="54" spans="1:4">
      <c r="A54" s="2801"/>
      <c r="B54" s="9" t="s">
        <v>1535</v>
      </c>
      <c r="C54" s="9" t="s">
        <v>1536</v>
      </c>
    </row>
    <row r="55" spans="1:4">
      <c r="A55" s="2801"/>
      <c r="B55" s="9" t="s">
        <v>1537</v>
      </c>
      <c r="C55" s="9" t="s">
        <v>1538</v>
      </c>
    </row>
    <row r="56" spans="1:4">
      <c r="A56" s="2801"/>
      <c r="B56" s="9" t="s">
        <v>1539</v>
      </c>
      <c r="C56" s="9" t="s">
        <v>1540</v>
      </c>
    </row>
    <row r="57" spans="1:4">
      <c r="A57" s="2801"/>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2018-06-12T08:37:06Z</dcterms:modified>
</cp:coreProperties>
</file>