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地下商业" sheetId="69" r:id="rId39"/>
    <sheet name="不动产收益法-车库" sheetId="68" r:id="rId40"/>
    <sheet name="典型户型修正" sheetId="31" state="hidden" r:id="rId41"/>
    <sheet name="存贷款利率" sheetId="65" state="hidden" r:id="rId42"/>
    <sheet name="不动产收益法-地下仓储" sheetId="71" r:id="rId43"/>
    <sheet name="土地案例" sheetId="70"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0">'数据-基础表'!$A$1:$AO$17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14" i="3" l="1"/>
  <c r="V25" i="1"/>
  <c r="U7" i="1"/>
  <c r="G35" i="9"/>
  <c r="E59" i="39"/>
  <c r="F6" i="68"/>
  <c r="F8" i="68"/>
  <c r="F7" i="68"/>
  <c r="F9" i="68"/>
  <c r="C6" i="68"/>
  <c r="N4" i="65"/>
  <c r="C4" i="65"/>
  <c r="B39" i="1"/>
  <c r="F11" i="68"/>
  <c r="C10" i="68"/>
  <c r="C5" i="68"/>
  <c r="C32" i="68"/>
  <c r="C33" i="68"/>
  <c r="BB13" i="3"/>
  <c r="BA13" i="3"/>
  <c r="BQ13" i="3"/>
  <c r="BL13" i="3"/>
  <c r="AZ13" i="3"/>
  <c r="BC14" i="3"/>
  <c r="BA14" i="3"/>
  <c r="AZ14" i="3"/>
  <c r="AZ5" i="3"/>
  <c r="H13" i="3"/>
  <c r="AC13" i="3"/>
  <c r="G13" i="3"/>
  <c r="H14" i="3"/>
  <c r="G14" i="3"/>
  <c r="G5" i="3"/>
  <c r="B3" i="3"/>
  <c r="AY6" i="3"/>
  <c r="D3" i="6"/>
  <c r="E3" i="6"/>
  <c r="D22" i="6"/>
  <c r="F19" i="6"/>
  <c r="E19" i="6"/>
  <c r="BA5" i="3"/>
  <c r="F20" i="6"/>
  <c r="E20" i="6"/>
  <c r="E27" i="6"/>
  <c r="BQ5" i="3"/>
  <c r="F28" i="6"/>
  <c r="E28" i="6"/>
  <c r="K22" i="6"/>
  <c r="L22" i="6"/>
  <c r="M22" i="6"/>
  <c r="I22" i="6"/>
  <c r="H22" i="6"/>
  <c r="R22" i="6"/>
  <c r="R9" i="1"/>
  <c r="F35" i="68"/>
  <c r="C34" i="68"/>
  <c r="C31" i="68"/>
  <c r="K9" i="1"/>
  <c r="M9" i="1"/>
  <c r="K14" i="1"/>
  <c r="M14" i="1"/>
  <c r="S9" i="1"/>
  <c r="K19" i="6"/>
  <c r="S6" i="1"/>
  <c r="K20" i="6"/>
  <c r="S7" i="1"/>
  <c r="K21" i="6"/>
  <c r="S8" i="1"/>
  <c r="K23" i="6"/>
  <c r="S10" i="1"/>
  <c r="S11" i="1"/>
  <c r="S12" i="1"/>
  <c r="S13" i="1"/>
  <c r="S16" i="1"/>
  <c r="T9" i="1"/>
  <c r="C14" i="68"/>
  <c r="C15" i="68"/>
  <c r="F16" i="68"/>
  <c r="C16" i="68"/>
  <c r="F43" i="68"/>
  <c r="C17" i="68"/>
  <c r="C18" i="68"/>
  <c r="C19" i="68"/>
  <c r="F20" i="68"/>
  <c r="C20" i="68"/>
  <c r="I5" i="65"/>
  <c r="B22" i="1"/>
  <c r="C2" i="65"/>
  <c r="I6" i="65"/>
  <c r="I1" i="65"/>
  <c r="E2" i="65"/>
  <c r="B40" i="1"/>
  <c r="F24" i="68"/>
  <c r="F23" i="68"/>
  <c r="C23" i="68"/>
  <c r="F26" i="68"/>
  <c r="C26" i="68"/>
  <c r="F21" i="68"/>
  <c r="C24" i="68"/>
  <c r="C27" i="68"/>
  <c r="C29" i="68"/>
  <c r="F36" i="68"/>
  <c r="C36" i="68"/>
  <c r="F13" i="68"/>
  <c r="C13" i="68"/>
  <c r="F37" i="68"/>
  <c r="C37" i="68"/>
  <c r="F38" i="68"/>
  <c r="C38" i="68"/>
  <c r="C30" i="68"/>
  <c r="C39" i="68"/>
  <c r="F42" i="68"/>
  <c r="F40" i="68"/>
  <c r="L48" i="68"/>
  <c r="J53" i="68"/>
  <c r="F1" i="68"/>
  <c r="AE9" i="1"/>
  <c r="F41" i="68"/>
  <c r="C40" i="68"/>
  <c r="C43" i="68"/>
  <c r="C44" i="68"/>
  <c r="E39" i="9"/>
  <c r="E38" i="9"/>
  <c r="E37" i="9"/>
  <c r="C39" i="9"/>
  <c r="B39" i="9"/>
  <c r="F6" i="71"/>
  <c r="F8" i="71"/>
  <c r="K10" i="1"/>
  <c r="F7" i="71"/>
  <c r="F9" i="71"/>
  <c r="C6" i="71"/>
  <c r="F11" i="71"/>
  <c r="C10" i="71"/>
  <c r="C5" i="71"/>
  <c r="C32" i="71"/>
  <c r="C33" i="71"/>
  <c r="D23" i="6"/>
  <c r="L23" i="6"/>
  <c r="M23" i="6"/>
  <c r="I23" i="6"/>
  <c r="H23" i="6"/>
  <c r="R23" i="6"/>
  <c r="R10" i="1"/>
  <c r="F35" i="71"/>
  <c r="C34" i="71"/>
  <c r="C31" i="71"/>
  <c r="M10" i="1"/>
  <c r="T10" i="1"/>
  <c r="C14" i="71"/>
  <c r="C15" i="71"/>
  <c r="F16" i="71"/>
  <c r="C16" i="71"/>
  <c r="F43" i="71"/>
  <c r="C17" i="71"/>
  <c r="C18" i="71"/>
  <c r="C19" i="71"/>
  <c r="F20" i="71"/>
  <c r="C20" i="71"/>
  <c r="F24" i="71"/>
  <c r="F23" i="71"/>
  <c r="C23" i="71"/>
  <c r="F26" i="71"/>
  <c r="C26" i="71"/>
  <c r="F21" i="71"/>
  <c r="C24" i="71"/>
  <c r="C27" i="71"/>
  <c r="C29" i="71"/>
  <c r="F36" i="71"/>
  <c r="C36" i="71"/>
  <c r="F13" i="71"/>
  <c r="C13" i="71"/>
  <c r="F37" i="71"/>
  <c r="C37" i="71"/>
  <c r="F38" i="71"/>
  <c r="C38" i="71"/>
  <c r="C30" i="71"/>
  <c r="C39" i="71"/>
  <c r="F42" i="71"/>
  <c r="F40" i="71"/>
  <c r="L48" i="71"/>
  <c r="J53" i="71"/>
  <c r="F1" i="71"/>
  <c r="AE10" i="1"/>
  <c r="F41" i="71"/>
  <c r="C40" i="71"/>
  <c r="M6" i="71"/>
  <c r="M8" i="71"/>
  <c r="M7" i="71"/>
  <c r="M9" i="71"/>
  <c r="J6" i="71"/>
  <c r="M11" i="71"/>
  <c r="J10" i="71"/>
  <c r="J5" i="71"/>
  <c r="J26" i="71"/>
  <c r="J29" i="71"/>
  <c r="B2" i="71"/>
  <c r="G10" i="12"/>
  <c r="B3" i="71"/>
  <c r="G8" i="12"/>
  <c r="G1" i="71"/>
  <c r="F32" i="71"/>
  <c r="F33" i="71"/>
  <c r="F34" i="71"/>
  <c r="F15" i="71"/>
  <c r="F17" i="71"/>
  <c r="F18" i="71"/>
  <c r="F28" i="71"/>
  <c r="C28" i="71"/>
  <c r="F8" i="1"/>
  <c r="L48" i="69"/>
  <c r="J53" i="69"/>
  <c r="F1" i="69"/>
  <c r="AE8" i="1"/>
  <c r="AE6" i="1"/>
  <c r="H19" i="4"/>
  <c r="F10" i="1"/>
  <c r="Q66" i="71"/>
  <c r="M47" i="71"/>
  <c r="J50" i="71"/>
  <c r="J51" i="71"/>
  <c r="L60" i="71"/>
  <c r="Q67" i="71"/>
  <c r="Q76" i="71"/>
  <c r="D10"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G23" i="6"/>
  <c r="C23" i="6"/>
  <c r="AN13" i="3"/>
  <c r="C38" i="9"/>
  <c r="C37" i="9"/>
  <c r="U8" i="1"/>
  <c r="BB17" i="3"/>
  <c r="BC17" i="3"/>
  <c r="BD17" i="3"/>
  <c r="BE17" i="3"/>
  <c r="BF17" i="3"/>
  <c r="BG17" i="3"/>
  <c r="BH17" i="3"/>
  <c r="BI17" i="3"/>
  <c r="BJ17" i="3"/>
  <c r="BK17" i="3"/>
  <c r="BA17" i="3"/>
  <c r="BM17" i="3"/>
  <c r="BN17" i="3"/>
  <c r="BO17" i="3"/>
  <c r="BP17" i="3"/>
  <c r="BQ17" i="3"/>
  <c r="BR17" i="3"/>
  <c r="BS17" i="3"/>
  <c r="BT17" i="3"/>
  <c r="BL17" i="3"/>
  <c r="AZ17" i="3"/>
  <c r="BR13" i="3"/>
  <c r="H17" i="3"/>
  <c r="G17" i="3"/>
  <c r="C40" i="39"/>
  <c r="K5" i="3"/>
  <c r="AL5" i="3"/>
  <c r="I5" i="3"/>
  <c r="I4" i="6"/>
  <c r="C13" i="39"/>
  <c r="B38" i="9"/>
  <c r="B37" i="9"/>
  <c r="P75" i="69"/>
  <c r="Q73" i="69"/>
  <c r="P62" i="69"/>
  <c r="Q60" i="69"/>
  <c r="D60" i="69"/>
  <c r="Q59" i="69"/>
  <c r="K59" i="69"/>
  <c r="F58" i="69"/>
  <c r="Q52" i="69"/>
  <c r="J50" i="69"/>
  <c r="J51" i="69"/>
  <c r="M47" i="69"/>
  <c r="L46" i="69"/>
  <c r="F34" i="69"/>
  <c r="F33" i="69"/>
  <c r="F60" i="69"/>
  <c r="F32" i="69"/>
  <c r="F59" i="69"/>
  <c r="F31" i="69"/>
  <c r="F28" i="69"/>
  <c r="C28" i="69"/>
  <c r="F23" i="69"/>
  <c r="D24" i="69"/>
  <c r="D22" i="69"/>
  <c r="F21" i="69"/>
  <c r="M20" i="69"/>
  <c r="F20" i="69"/>
  <c r="M19" i="69"/>
  <c r="M18" i="69"/>
  <c r="F18" i="69"/>
  <c r="M17" i="69"/>
  <c r="F17" i="69"/>
  <c r="F15" i="69"/>
  <c r="C19" i="6"/>
  <c r="A6" i="1"/>
  <c r="C20" i="6"/>
  <c r="A7" i="1"/>
  <c r="C21" i="6"/>
  <c r="A8" i="1"/>
  <c r="G1" i="69"/>
  <c r="V24" i="1"/>
  <c r="V23" i="1"/>
  <c r="V22" i="1"/>
  <c r="C22" i="6"/>
  <c r="C9" i="12"/>
  <c r="C10" i="12"/>
  <c r="Q73" i="68"/>
  <c r="Q60" i="68"/>
  <c r="D60" i="68"/>
  <c r="Q59" i="68"/>
  <c r="K59" i="68"/>
  <c r="P75" i="68"/>
  <c r="F58" i="68"/>
  <c r="Q52" i="68"/>
  <c r="J50" i="68"/>
  <c r="M47" i="68"/>
  <c r="F34" i="68"/>
  <c r="F61" i="68"/>
  <c r="F33" i="68"/>
  <c r="F60" i="68"/>
  <c r="F32" i="68"/>
  <c r="F59" i="68"/>
  <c r="F31" i="68"/>
  <c r="F28" i="68"/>
  <c r="C28" i="68"/>
  <c r="D24" i="68"/>
  <c r="D22" i="68"/>
  <c r="M20" i="68"/>
  <c r="M19" i="68"/>
  <c r="M18" i="68"/>
  <c r="F18" i="68"/>
  <c r="M17" i="68"/>
  <c r="F17" i="68"/>
  <c r="F15" i="68"/>
  <c r="A9" i="1"/>
  <c r="G1" i="68"/>
  <c r="AH9" i="1"/>
  <c r="M22" i="68"/>
  <c r="M22" i="69"/>
  <c r="M28" i="68"/>
  <c r="D9" i="1"/>
  <c r="L47" i="68"/>
  <c r="D8" i="1"/>
  <c r="L47" i="69"/>
  <c r="M24" i="69"/>
  <c r="K8" i="1"/>
  <c r="F7" i="69"/>
  <c r="M28" i="69"/>
  <c r="F36" i="69"/>
  <c r="F9" i="69"/>
  <c r="F42" i="69"/>
  <c r="F8" i="69"/>
  <c r="M24" i="68"/>
  <c r="D23" i="68"/>
  <c r="D23" i="69"/>
  <c r="F49" i="69"/>
  <c r="M7" i="69"/>
  <c r="F50" i="69"/>
  <c r="C48" i="69"/>
  <c r="F63" i="69"/>
  <c r="L59" i="69"/>
  <c r="F61" i="69"/>
  <c r="P62" i="68"/>
  <c r="F49" i="68"/>
  <c r="M7" i="68"/>
  <c r="F50" i="68"/>
  <c r="J51" i="68"/>
  <c r="M23" i="69"/>
  <c r="M9" i="69"/>
  <c r="BS5" i="3"/>
  <c r="BR5" i="3"/>
  <c r="BT5" i="3"/>
  <c r="G28" i="6"/>
  <c r="BB5" i="3"/>
  <c r="BC5" i="3"/>
  <c r="E8" i="6"/>
  <c r="F27" i="6"/>
  <c r="E23" i="6"/>
  <c r="E24" i="6"/>
  <c r="E25" i="6"/>
  <c r="E26" i="6"/>
  <c r="AG9" i="1"/>
  <c r="M27" i="68"/>
  <c r="J15" i="68"/>
  <c r="J15" i="69"/>
  <c r="F26" i="69"/>
  <c r="M29" i="68"/>
  <c r="F43" i="69"/>
  <c r="M6" i="68"/>
  <c r="M8" i="68"/>
  <c r="L21" i="6"/>
  <c r="M21" i="6"/>
  <c r="I21" i="6"/>
  <c r="H21" i="6"/>
  <c r="D21" i="6"/>
  <c r="R21" i="6"/>
  <c r="R8" i="1"/>
  <c r="M21" i="69"/>
  <c r="F35" i="69"/>
  <c r="M23" i="68"/>
  <c r="F38" i="69"/>
  <c r="M8" i="69"/>
  <c r="F13" i="69"/>
  <c r="M6" i="69"/>
  <c r="M9" i="68"/>
  <c r="F40" i="69"/>
  <c r="M29" i="69"/>
  <c r="F37" i="69"/>
  <c r="M27" i="69"/>
  <c r="F16" i="69"/>
  <c r="F9" i="1"/>
  <c r="M26" i="68"/>
  <c r="J36" i="69"/>
  <c r="J36" i="68"/>
  <c r="M21" i="68"/>
  <c r="F6" i="69"/>
  <c r="M26" i="69"/>
  <c r="C48" i="68"/>
  <c r="F70" i="69"/>
  <c r="F67" i="69"/>
  <c r="F64" i="69"/>
  <c r="C27" i="69"/>
  <c r="J20" i="69"/>
  <c r="C6" i="69"/>
  <c r="L57" i="69"/>
  <c r="L56" i="69"/>
  <c r="L60" i="69"/>
  <c r="L58" i="69"/>
  <c r="J59" i="69"/>
  <c r="J60" i="69"/>
  <c r="Q49" i="69"/>
  <c r="I54" i="69"/>
  <c r="J57" i="69"/>
  <c r="J55" i="69"/>
  <c r="J58" i="69"/>
  <c r="Q51" i="69"/>
  <c r="F65" i="69"/>
  <c r="Q72" i="69"/>
  <c r="J6" i="69"/>
  <c r="F62" i="69"/>
  <c r="C34" i="69"/>
  <c r="C61" i="69"/>
  <c r="Q75" i="69"/>
  <c r="Q62" i="69"/>
  <c r="F63" i="68"/>
  <c r="F70" i="68"/>
  <c r="F67" i="68"/>
  <c r="F64" i="68"/>
  <c r="F62" i="68"/>
  <c r="C61" i="68"/>
  <c r="J6" i="68"/>
  <c r="L56" i="68"/>
  <c r="L58" i="68"/>
  <c r="F65" i="68"/>
  <c r="Q72" i="68"/>
  <c r="J20" i="68"/>
  <c r="J57" i="68"/>
  <c r="J55" i="68"/>
  <c r="J58" i="68"/>
  <c r="Q51" i="68"/>
  <c r="I54" i="68"/>
  <c r="L59" i="68"/>
  <c r="C17" i="69"/>
  <c r="Q53" i="69"/>
  <c r="Q67" i="69"/>
  <c r="Q58" i="69"/>
  <c r="Q74" i="69"/>
  <c r="Q61" i="69"/>
  <c r="Q53" i="68"/>
  <c r="Q75" i="68"/>
  <c r="Q62" i="68"/>
  <c r="Q61" i="68"/>
  <c r="Q74" i="68"/>
  <c r="G22" i="6"/>
  <c r="G21" i="6"/>
  <c r="O16" i="3"/>
  <c r="A3" i="3"/>
  <c r="AH5" i="59"/>
  <c r="AG5" i="59"/>
  <c r="AE5" i="59"/>
  <c r="AF5" i="59"/>
  <c r="AD5" i="59"/>
  <c r="Q6" i="59"/>
  <c r="Q5" i="59"/>
  <c r="P6" i="59"/>
  <c r="P5" i="59"/>
  <c r="O6" i="59"/>
  <c r="O5" i="59"/>
  <c r="N6" i="59"/>
  <c r="N5" i="59"/>
  <c r="M19" i="46"/>
  <c r="J50" i="15"/>
  <c r="J51" i="15"/>
  <c r="D8" i="59"/>
  <c r="AH6" i="59"/>
  <c r="AG6" i="59"/>
  <c r="AE6" i="59"/>
  <c r="AF6" i="59"/>
  <c r="AD6" i="59"/>
  <c r="I3" i="59"/>
  <c r="L3" i="59"/>
  <c r="K3" i="59"/>
  <c r="J3" i="59"/>
  <c r="AE3" i="59"/>
  <c r="AE7" i="59"/>
  <c r="AF7" i="59"/>
  <c r="AG7" i="59"/>
  <c r="AH7" i="59"/>
  <c r="AD7" i="59"/>
  <c r="Q7" i="59"/>
  <c r="P7" i="59"/>
  <c r="O7" i="59"/>
  <c r="N7" i="59"/>
  <c r="N8" i="59"/>
  <c r="Q8" i="59"/>
  <c r="P8" i="59"/>
  <c r="O8" i="59"/>
  <c r="K59" i="15"/>
  <c r="P62" i="15"/>
  <c r="Q74" i="44"/>
  <c r="Q61" i="44"/>
  <c r="Q60" i="44"/>
  <c r="Q53" i="44"/>
  <c r="J51" i="44"/>
  <c r="J52" i="44"/>
  <c r="M48" i="44"/>
  <c r="A16" i="55"/>
  <c r="A15" i="55"/>
  <c r="A10" i="55"/>
  <c r="A9" i="55"/>
  <c r="A8" i="55"/>
  <c r="A6" i="54"/>
  <c r="A8" i="54"/>
  <c r="A7" i="54"/>
  <c r="B51" i="63"/>
  <c r="A27" i="51"/>
  <c r="D5" i="46"/>
  <c r="Q9" i="59"/>
  <c r="O9" i="59"/>
  <c r="N10" i="59"/>
  <c r="O10" i="59"/>
  <c r="P10" i="59"/>
  <c r="Q10" i="59"/>
  <c r="N9" i="59"/>
  <c r="P9" i="59"/>
  <c r="K75" i="9"/>
  <c r="K6" i="4"/>
  <c r="B22" i="31"/>
  <c r="E15" i="66"/>
  <c r="F15" i="66"/>
  <c r="E16" i="66"/>
  <c r="F16" i="66"/>
  <c r="E17" i="66"/>
  <c r="F17" i="66"/>
  <c r="E18" i="66"/>
  <c r="F18" i="66"/>
  <c r="E19" i="66"/>
  <c r="F19" i="66"/>
  <c r="E20" i="66"/>
  <c r="F20" i="66"/>
  <c r="E21" i="66"/>
  <c r="F21" i="66"/>
  <c r="E22" i="66"/>
  <c r="F22" i="66"/>
  <c r="E23" i="66"/>
  <c r="F23" i="66"/>
  <c r="B3" i="66"/>
  <c r="B7" i="59"/>
  <c r="B6" i="59"/>
  <c r="B5" i="59"/>
  <c r="E7" i="59"/>
  <c r="E6" i="59"/>
  <c r="E5" i="59"/>
  <c r="F7" i="59"/>
  <c r="U7" i="59"/>
  <c r="S7" i="59"/>
  <c r="AD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N1" i="65"/>
  <c r="T7" i="59"/>
  <c r="D7"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67" i="63"/>
  <c r="I19" i="46"/>
  <c r="Q11" i="59"/>
  <c r="F11" i="59"/>
  <c r="V11" i="59"/>
  <c r="P11" i="59"/>
  <c r="O11" i="59"/>
  <c r="C11" i="59"/>
  <c r="N11" i="59"/>
  <c r="X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C54" i="59"/>
  <c r="B55" i="59"/>
  <c r="S55" i="59"/>
  <c r="Q54" i="59"/>
  <c r="P54" i="59"/>
  <c r="O54" i="59"/>
  <c r="N54" i="59"/>
  <c r="F54" i="59"/>
  <c r="F53" i="59"/>
  <c r="B54" i="59"/>
  <c r="B53" i="59"/>
  <c r="Q53" i="59"/>
  <c r="P53" i="59"/>
  <c r="O53" i="59"/>
  <c r="N53" i="59"/>
  <c r="Q52" i="59"/>
  <c r="P52" i="59"/>
  <c r="O52" i="59"/>
  <c r="N52" i="59"/>
  <c r="D52" i="59"/>
  <c r="F51" i="59"/>
  <c r="V51" i="59"/>
  <c r="E51" i="59"/>
  <c r="E50" i="59"/>
  <c r="C51" i="59"/>
  <c r="B51" i="59"/>
  <c r="N51" i="59"/>
  <c r="F50" i="59"/>
  <c r="F49" i="59"/>
  <c r="B50" i="59"/>
  <c r="B49" i="59"/>
  <c r="N49"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C42" i="59"/>
  <c r="C43" i="59"/>
  <c r="D43" i="59"/>
  <c r="N41" i="59"/>
  <c r="Q40" i="59"/>
  <c r="F41" i="59"/>
  <c r="F42"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C34" i="59"/>
  <c r="D34" i="59"/>
  <c r="N32" i="59"/>
  <c r="B33" i="59"/>
  <c r="D32" i="59"/>
  <c r="T31" i="59"/>
  <c r="Q31" i="59"/>
  <c r="P31" i="59"/>
  <c r="O31" i="59"/>
  <c r="N31" i="59"/>
  <c r="D31" i="59"/>
  <c r="Q30" i="59"/>
  <c r="P30" i="59"/>
  <c r="O30" i="59"/>
  <c r="N30" i="59"/>
  <c r="Q29" i="59"/>
  <c r="P29" i="59"/>
  <c r="O29" i="59"/>
  <c r="C30" i="59"/>
  <c r="D30"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11" i="59"/>
  <c r="P22" i="59"/>
  <c r="O22" i="59"/>
  <c r="Y22" i="59"/>
  <c r="Z22" i="59"/>
  <c r="N22" i="59"/>
  <c r="X22" i="59"/>
  <c r="Q21" i="59"/>
  <c r="P21" i="59"/>
  <c r="AA21" i="59"/>
  <c r="O21" i="59"/>
  <c r="Y21" i="59"/>
  <c r="Z21" i="59"/>
  <c r="N21" i="59"/>
  <c r="X21" i="59"/>
  <c r="Q20" i="59"/>
  <c r="P20" i="59"/>
  <c r="O20" i="59"/>
  <c r="Y20" i="59"/>
  <c r="Z20" i="59"/>
  <c r="C21" i="59"/>
  <c r="D21" i="59"/>
  <c r="N20" i="59"/>
  <c r="B21" i="59"/>
  <c r="B22" i="59"/>
  <c r="D20" i="59"/>
  <c r="Q19" i="59"/>
  <c r="P19" i="59"/>
  <c r="AA19" i="59"/>
  <c r="O19" i="59"/>
  <c r="Y19" i="59"/>
  <c r="Z19" i="59"/>
  <c r="N19" i="59"/>
  <c r="X19" i="59"/>
  <c r="Q18" i="59"/>
  <c r="P18" i="59"/>
  <c r="AA18" i="59"/>
  <c r="O18" i="59"/>
  <c r="Y18" i="59"/>
  <c r="Z18" i="59"/>
  <c r="N18" i="59"/>
  <c r="X18" i="59"/>
  <c r="Q17" i="59"/>
  <c r="P17" i="59"/>
  <c r="AA17" i="59"/>
  <c r="O17" i="59"/>
  <c r="N17" i="59"/>
  <c r="X17" i="59"/>
  <c r="Q16" i="59"/>
  <c r="F17" i="59"/>
  <c r="P16" i="59"/>
  <c r="E17" i="59"/>
  <c r="E18" i="59"/>
  <c r="E19" i="59"/>
  <c r="U19" i="59"/>
  <c r="O16" i="59"/>
  <c r="N16" i="59"/>
  <c r="D16" i="59"/>
  <c r="Q15" i="59"/>
  <c r="P15" i="59"/>
  <c r="O15" i="59"/>
  <c r="N15" i="59"/>
  <c r="X15" i="59"/>
  <c r="Q14" i="59"/>
  <c r="P14" i="59"/>
  <c r="AA14" i="59"/>
  <c r="O14" i="59"/>
  <c r="N14" i="59"/>
  <c r="Q13" i="59"/>
  <c r="P13" i="59"/>
  <c r="O13" i="59"/>
  <c r="N13" i="59"/>
  <c r="X13" i="59"/>
  <c r="Q12" i="59"/>
  <c r="P12" i="59"/>
  <c r="AA12" i="59"/>
  <c r="O12" i="59"/>
  <c r="C13" i="59"/>
  <c r="N12" i="59"/>
  <c r="B13" i="59"/>
  <c r="B14" i="59"/>
  <c r="B15" i="59"/>
  <c r="S15" i="59"/>
  <c r="D12" i="59"/>
  <c r="X3" i="59"/>
  <c r="AA10" i="59"/>
  <c r="Y9" i="59"/>
  <c r="Z9" i="59"/>
  <c r="Y11" i="59"/>
  <c r="Z11" i="59"/>
  <c r="AB10" i="59"/>
  <c r="B34" i="59"/>
  <c r="B35" i="59"/>
  <c r="S35" i="59"/>
  <c r="S51" i="59"/>
  <c r="AA22" i="59"/>
  <c r="F18" i="59"/>
  <c r="F19" i="59"/>
  <c r="V19" i="59"/>
  <c r="F26" i="59"/>
  <c r="F27" i="59"/>
  <c r="V27" i="59"/>
  <c r="F38" i="59"/>
  <c r="F39" i="59"/>
  <c r="V39" i="59"/>
  <c r="F43" i="59"/>
  <c r="V43" i="59"/>
  <c r="F46" i="59"/>
  <c r="F47" i="59"/>
  <c r="V47" i="59"/>
  <c r="C22" i="59"/>
  <c r="D22" i="59"/>
  <c r="C26" i="59"/>
  <c r="D26" i="59"/>
  <c r="D25" i="59"/>
  <c r="D29" i="59"/>
  <c r="C38" i="59"/>
  <c r="D37" i="59"/>
  <c r="D41" i="59"/>
  <c r="C46" i="59"/>
  <c r="D45" i="59"/>
  <c r="N50" i="59"/>
  <c r="Q50" i="59"/>
  <c r="T51" i="59"/>
  <c r="O51" i="59"/>
  <c r="D51" i="59"/>
  <c r="C50" i="59"/>
  <c r="P51" i="59"/>
  <c r="U51" i="59"/>
  <c r="Q51" i="59"/>
  <c r="E54" i="59"/>
  <c r="E53" i="59"/>
  <c r="C58" i="59"/>
  <c r="D58" i="59"/>
  <c r="E58" i="59"/>
  <c r="E57" i="59"/>
  <c r="D59" i="59"/>
  <c r="C62" i="59"/>
  <c r="D62" i="59"/>
  <c r="E62" i="59"/>
  <c r="E61" i="59"/>
  <c r="C66" i="59"/>
  <c r="C65" i="59"/>
  <c r="C70" i="59"/>
  <c r="U16" i="4"/>
  <c r="S16" i="4"/>
  <c r="Q16" i="4"/>
  <c r="R16" i="4"/>
  <c r="O16" i="4"/>
  <c r="M16" i="4"/>
  <c r="K16" i="4"/>
  <c r="D70" i="59"/>
  <c r="C69" i="59"/>
  <c r="D69" i="59"/>
  <c r="O50" i="59"/>
  <c r="D66" i="59"/>
  <c r="D65" i="59"/>
  <c r="N48" i="59"/>
  <c r="C47" i="59"/>
  <c r="D47" i="59"/>
  <c r="D46" i="59"/>
  <c r="D42" i="59"/>
  <c r="C39" i="59"/>
  <c r="D39" i="59"/>
  <c r="D38" i="59"/>
  <c r="C27" i="59"/>
  <c r="D27" i="59"/>
  <c r="T43" i="59"/>
  <c r="T39" i="59"/>
  <c r="T47" i="59"/>
  <c r="O27" i="6"/>
  <c r="N27" i="6"/>
  <c r="P26" i="6"/>
  <c r="L26" i="6"/>
  <c r="P25" i="6"/>
  <c r="L25" i="6"/>
  <c r="P24" i="6"/>
  <c r="L24" i="6"/>
  <c r="P23" i="6"/>
  <c r="P22" i="6"/>
  <c r="P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18" i="35"/>
  <c r="S21" i="37"/>
  <c r="S21" i="21"/>
  <c r="C31" i="39"/>
  <c r="E66" i="36"/>
  <c r="H18" i="35"/>
  <c r="J18" i="35"/>
  <c r="H21" i="37"/>
  <c r="J21" i="37"/>
  <c r="E84" i="34"/>
  <c r="F84" i="34"/>
  <c r="G84" i="34"/>
  <c r="J21" i="34"/>
  <c r="H21" i="34"/>
  <c r="F21" i="33"/>
  <c r="H21" i="33"/>
  <c r="J21" i="33"/>
  <c r="F83" i="21"/>
  <c r="H21" i="21"/>
  <c r="G83" i="21"/>
  <c r="J21" i="21"/>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11" i="1"/>
  <c r="AE12" i="1"/>
  <c r="AE13" i="1"/>
  <c r="M47" i="15"/>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AP10" i="1"/>
  <c r="B2" i="1"/>
  <c r="C42" i="1"/>
  <c r="A12" i="1"/>
  <c r="R12" i="1"/>
  <c r="A13" i="1"/>
  <c r="B13" i="1"/>
  <c r="E13" i="1"/>
  <c r="A10" i="1"/>
  <c r="A11" i="1"/>
  <c r="T4" i="1"/>
  <c r="K12" i="1"/>
  <c r="M12" i="1"/>
  <c r="O12" i="1"/>
  <c r="P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G19" i="4"/>
  <c r="G9" i="1"/>
  <c r="F19" i="4"/>
  <c r="G8" i="1"/>
  <c r="E19" i="4"/>
  <c r="F7" i="1"/>
  <c r="G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1" i="6"/>
  <c r="M8" i="1"/>
  <c r="E22"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24" i="1"/>
  <c r="E77" i="9"/>
  <c r="O75" i="9"/>
  <c r="L75" i="9"/>
  <c r="F77" i="9"/>
  <c r="P75" i="9"/>
  <c r="O74" i="9"/>
  <c r="O73" i="9"/>
  <c r="E66" i="9"/>
  <c r="O72" i="9"/>
  <c r="F74" i="9"/>
  <c r="P74" i="9"/>
  <c r="N67" i="9"/>
  <c r="K44" i="9"/>
  <c r="K43" i="9"/>
  <c r="B31" i="1"/>
  <c r="E10" i="11"/>
  <c r="B23" i="1"/>
  <c r="BM14" i="3"/>
  <c r="BM15" i="3"/>
  <c r="BM16" i="3"/>
  <c r="BO14" i="3"/>
  <c r="BO15" i="3"/>
  <c r="BO16" i="3"/>
  <c r="BN14" i="3"/>
  <c r="BN15" i="3"/>
  <c r="BN16" i="3"/>
  <c r="BP14" i="3"/>
  <c r="BP15" i="3"/>
  <c r="BP16" i="3"/>
  <c r="BQ14" i="3"/>
  <c r="BQ15" i="3"/>
  <c r="BQ16" i="3"/>
  <c r="BS14" i="3"/>
  <c r="BS15" i="3"/>
  <c r="BS16" i="3"/>
  <c r="BR14" i="3"/>
  <c r="BR15" i="3"/>
  <c r="BR16" i="3"/>
  <c r="BT14" i="3"/>
  <c r="BT15" i="3"/>
  <c r="BT16" i="3"/>
  <c r="BL14"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H16" i="3"/>
  <c r="AC16"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A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B129" i="39"/>
  <c r="H45" i="39"/>
  <c r="D128" i="39"/>
  <c r="D124" i="39"/>
  <c r="E124" i="39"/>
  <c r="F124" i="39"/>
  <c r="G124" i="39"/>
  <c r="H124" i="39"/>
  <c r="I124" i="39"/>
  <c r="J124" i="39"/>
  <c r="K124" i="39"/>
  <c r="L124" i="39"/>
  <c r="M124" i="39"/>
  <c r="B106" i="39"/>
  <c r="H33"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W26" i="37"/>
  <c r="D79" i="37"/>
  <c r="E79" i="37"/>
  <c r="F79" i="37"/>
  <c r="G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F78" i="36"/>
  <c r="G78" i="36"/>
  <c r="H78" i="36"/>
  <c r="I78" i="36"/>
  <c r="J78" i="36"/>
  <c r="K78" i="36"/>
  <c r="L78" i="36"/>
  <c r="M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W23" i="35"/>
  <c r="B57" i="35"/>
  <c r="B61" i="35"/>
  <c r="B59" i="35"/>
  <c r="H12" i="35"/>
  <c r="B131" i="34"/>
  <c r="B129" i="34"/>
  <c r="H46" i="34"/>
  <c r="B127" i="34"/>
  <c r="B99" i="34"/>
  <c r="H32" i="34"/>
  <c r="B97" i="34"/>
  <c r="B95" i="34"/>
  <c r="H30" i="34"/>
  <c r="AB30" i="34"/>
  <c r="B93" i="34"/>
  <c r="B75" i="34"/>
  <c r="J14" i="34"/>
  <c r="B73" i="34"/>
  <c r="B71" i="34"/>
  <c r="J12" i="34"/>
  <c r="AC12" i="34"/>
  <c r="B130" i="33"/>
  <c r="B128" i="33"/>
  <c r="H45" i="33"/>
  <c r="U45" i="33"/>
  <c r="B126" i="33"/>
  <c r="B98" i="33"/>
  <c r="B96" i="33"/>
  <c r="B94" i="33"/>
  <c r="J29" i="33"/>
  <c r="W29" i="33"/>
  <c r="B74" i="33"/>
  <c r="B72" i="33"/>
  <c r="F13" i="33"/>
  <c r="AA13" i="33"/>
  <c r="B70" i="33"/>
  <c r="D96" i="35"/>
  <c r="E96" i="35"/>
  <c r="F96" i="35"/>
  <c r="G96" i="35"/>
  <c r="D94" i="35"/>
  <c r="D84" i="35"/>
  <c r="E84" i="35"/>
  <c r="F84" i="35"/>
  <c r="G84" i="35"/>
  <c r="H84" i="35"/>
  <c r="I84" i="35"/>
  <c r="J84" i="35"/>
  <c r="K84" i="35"/>
  <c r="L84" i="35"/>
  <c r="M84" i="35"/>
  <c r="D80" i="35"/>
  <c r="D72" i="35"/>
  <c r="E72" i="35"/>
  <c r="F72" i="35"/>
  <c r="G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E78" i="34"/>
  <c r="F78" i="34"/>
  <c r="D70" i="34"/>
  <c r="E70" i="34"/>
  <c r="F70" i="34"/>
  <c r="G70" i="34"/>
  <c r="H70" i="34"/>
  <c r="I70" i="34"/>
  <c r="J70" i="34"/>
  <c r="K70" i="34"/>
  <c r="L70" i="34"/>
  <c r="M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H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M102" i="21"/>
  <c r="D102" i="21"/>
  <c r="E102" i="21"/>
  <c r="F102" i="21"/>
  <c r="G102" i="21"/>
  <c r="H102" i="21"/>
  <c r="I102" i="21"/>
  <c r="J102" i="21"/>
  <c r="K102" i="21"/>
  <c r="L102" i="21"/>
  <c r="C102" i="21"/>
  <c r="C63"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AA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E10" i="3"/>
  <c r="BD13" i="3"/>
  <c r="BE13" i="3"/>
  <c r="BF13" i="3"/>
  <c r="BF5"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F39" i="21"/>
  <c r="AA39" i="21"/>
  <c r="J40" i="21"/>
  <c r="H35" i="21"/>
  <c r="AB35" i="21"/>
  <c r="J8" i="21"/>
  <c r="J9" i="21"/>
  <c r="AC9" i="21"/>
  <c r="H8" i="21"/>
  <c r="AB8" i="21"/>
  <c r="H10" i="21"/>
  <c r="U10" i="21"/>
  <c r="H39" i="21"/>
  <c r="AB39" i="21"/>
  <c r="J34" i="21"/>
  <c r="W34" i="21"/>
  <c r="H36" i="21"/>
  <c r="U36" i="21"/>
  <c r="F35" i="21"/>
  <c r="AA35" i="21"/>
  <c r="J33" i="21"/>
  <c r="W33" i="21"/>
  <c r="H33" i="21"/>
  <c r="U33" i="21"/>
  <c r="F33" i="21"/>
  <c r="J10" i="21"/>
  <c r="AC10" i="21"/>
  <c r="H26" i="21"/>
  <c r="U26" i="21"/>
  <c r="F19" i="21"/>
  <c r="AA19" i="21"/>
  <c r="H19" i="21"/>
  <c r="AB19" i="21"/>
  <c r="J19" i="21"/>
  <c r="W19" i="21"/>
  <c r="J12" i="21"/>
  <c r="H12" i="21"/>
  <c r="U12" i="21"/>
  <c r="J26" i="21"/>
  <c r="W26" i="21"/>
  <c r="F26" i="21"/>
  <c r="AA26" i="21"/>
  <c r="AB41" i="21"/>
  <c r="AA41" i="21"/>
  <c r="W41" i="21"/>
  <c r="S10" i="39"/>
  <c r="E103" i="37"/>
  <c r="F103" i="37"/>
  <c r="F39" i="37"/>
  <c r="F29" i="36"/>
  <c r="AA29" i="36"/>
  <c r="F16" i="36"/>
  <c r="AA16" i="36"/>
  <c r="U22" i="36"/>
  <c r="W23" i="36"/>
  <c r="W22" i="36"/>
  <c r="U26" i="36"/>
  <c r="J33" i="36"/>
  <c r="W33" i="36"/>
  <c r="U31" i="35"/>
  <c r="S34" i="35"/>
  <c r="W24" i="35"/>
  <c r="S31" i="35"/>
  <c r="W31" i="35"/>
  <c r="F36" i="34"/>
  <c r="S36" i="34"/>
  <c r="W9" i="34"/>
  <c r="S34" i="34"/>
  <c r="W39" i="34"/>
  <c r="H39" i="33"/>
  <c r="AB39" i="33"/>
  <c r="U33" i="33"/>
  <c r="W38" i="33"/>
  <c r="S40" i="33"/>
  <c r="S33" i="33"/>
  <c r="W33" i="33"/>
  <c r="U38" i="33"/>
  <c r="S8" i="21"/>
  <c r="AB27" i="35"/>
  <c r="S10" i="40"/>
  <c r="W10" i="40"/>
  <c r="S11" i="40"/>
  <c r="U11" i="40"/>
  <c r="S36" i="40"/>
  <c r="U36" i="40"/>
  <c r="S40" i="39"/>
  <c r="F11" i="21"/>
  <c r="S11" i="21"/>
  <c r="AA38" i="21"/>
  <c r="AB36" i="21"/>
  <c r="C23" i="39"/>
  <c r="U36" i="39"/>
  <c r="S42" i="39"/>
  <c r="H32" i="33"/>
  <c r="AB32" i="33"/>
  <c r="H11" i="21"/>
  <c r="U11" i="21"/>
  <c r="J11" i="21"/>
  <c r="W11" i="21"/>
  <c r="F100" i="40"/>
  <c r="F86" i="40"/>
  <c r="G86" i="40"/>
  <c r="AA12" i="33"/>
  <c r="J27" i="36"/>
  <c r="W27" i="36"/>
  <c r="J30" i="35"/>
  <c r="W30" i="35"/>
  <c r="F22" i="35"/>
  <c r="AA22" i="35"/>
  <c r="H10" i="35"/>
  <c r="U10" i="35"/>
  <c r="U29" i="36"/>
  <c r="E85" i="36"/>
  <c r="F85" i="36"/>
  <c r="G85" i="36"/>
  <c r="H85" i="36"/>
  <c r="I85" i="36"/>
  <c r="J85" i="36"/>
  <c r="K85" i="36"/>
  <c r="L85" i="36"/>
  <c r="M85" i="36"/>
  <c r="J29" i="36"/>
  <c r="AC29" i="36"/>
  <c r="F12" i="36"/>
  <c r="S12" i="36"/>
  <c r="S10" i="36"/>
  <c r="AB8" i="36"/>
  <c r="H16" i="35"/>
  <c r="U16" i="35"/>
  <c r="H33" i="35"/>
  <c r="AB33" i="35"/>
  <c r="W8" i="35"/>
  <c r="AC8" i="35"/>
  <c r="F35" i="37"/>
  <c r="E101" i="37"/>
  <c r="F101" i="37"/>
  <c r="G101" i="37"/>
  <c r="H101" i="37"/>
  <c r="I101" i="37"/>
  <c r="J101" i="37"/>
  <c r="K101" i="37"/>
  <c r="L101" i="37"/>
  <c r="M101" i="37"/>
  <c r="J34" i="37"/>
  <c r="W34" i="37"/>
  <c r="H43" i="34"/>
  <c r="AB43" i="34"/>
  <c r="U42" i="34"/>
  <c r="E114" i="34"/>
  <c r="F114" i="34"/>
  <c r="G114" i="34"/>
  <c r="H114" i="34"/>
  <c r="I114" i="34"/>
  <c r="J114" i="34"/>
  <c r="K114" i="34"/>
  <c r="L114" i="34"/>
  <c r="M114" i="34"/>
  <c r="H36" i="34"/>
  <c r="U36" i="34"/>
  <c r="F37" i="34"/>
  <c r="AA37" i="34"/>
  <c r="F33" i="34"/>
  <c r="S33" i="34"/>
  <c r="F19" i="34"/>
  <c r="AA19" i="34"/>
  <c r="J10" i="34"/>
  <c r="AC10" i="34"/>
  <c r="J28" i="34"/>
  <c r="W28" i="34"/>
  <c r="S38" i="33"/>
  <c r="F36" i="33"/>
  <c r="S36" i="33"/>
  <c r="F19" i="33"/>
  <c r="S19" i="33"/>
  <c r="J19" i="33"/>
  <c r="W19" i="33"/>
  <c r="S10" i="21"/>
  <c r="W40" i="33"/>
  <c r="AB30" i="36"/>
  <c r="S22" i="35"/>
  <c r="H29" i="35"/>
  <c r="U34" i="37"/>
  <c r="S34" i="37"/>
  <c r="AA34" i="37"/>
  <c r="AB42" i="34"/>
  <c r="AB40" i="34"/>
  <c r="W36" i="34"/>
  <c r="J19" i="34"/>
  <c r="AC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J27" i="33"/>
  <c r="AC27" i="33"/>
  <c r="F27" i="33"/>
  <c r="S27" i="33"/>
  <c r="S13" i="33"/>
  <c r="J45" i="33"/>
  <c r="W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J30" i="33"/>
  <c r="AC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U46" i="21"/>
  <c r="W30" i="21"/>
  <c r="S28" i="21"/>
  <c r="AA28" i="21"/>
  <c r="AB14" i="21"/>
  <c r="W42" i="21"/>
  <c r="W31" i="34"/>
  <c r="S46" i="33"/>
  <c r="U36" i="37"/>
  <c r="AB45" i="33"/>
  <c r="AA27" i="33"/>
  <c r="U28" i="21"/>
  <c r="AB44" i="21"/>
  <c r="S19" i="21"/>
  <c r="G529" i="3"/>
  <c r="G521" i="3"/>
  <c r="G513" i="3"/>
  <c r="G499" i="3"/>
  <c r="G493" i="3"/>
  <c r="G485" i="3"/>
  <c r="G565" i="3"/>
  <c r="G561" i="3"/>
  <c r="G557" i="3"/>
  <c r="G549" i="3"/>
  <c r="G545" i="3"/>
  <c r="G539" i="3"/>
  <c r="BL569" i="3"/>
  <c r="BL561" i="3"/>
  <c r="BL557" i="3"/>
  <c r="BL553" i="3"/>
  <c r="BL545" i="3"/>
  <c r="BL535" i="3"/>
  <c r="BL519" i="3"/>
  <c r="BL511" i="3"/>
  <c r="BL501" i="3"/>
  <c r="BL491" i="3"/>
  <c r="BL483" i="3"/>
  <c r="G16" i="3"/>
  <c r="BL563" i="3"/>
  <c r="BL559" i="3"/>
  <c r="BL555" i="3"/>
  <c r="BL551" i="3"/>
  <c r="BL533" i="3"/>
  <c r="G518" i="3"/>
  <c r="G514" i="3"/>
  <c r="G510" i="3"/>
  <c r="BL503" i="3"/>
  <c r="BL495" i="3"/>
  <c r="BL485" i="3"/>
  <c r="G18" i="3"/>
  <c r="BA565" i="3"/>
  <c r="BA561" i="3"/>
  <c r="BA559" i="3"/>
  <c r="AZ559" i="3"/>
  <c r="BA557" i="3"/>
  <c r="BA555" i="3"/>
  <c r="AZ555" i="3"/>
  <c r="BA551" i="3"/>
  <c r="BA545" i="3"/>
  <c r="AZ545" i="3"/>
  <c r="BA543" i="3"/>
  <c r="BA541" i="3"/>
  <c r="BA531" i="3"/>
  <c r="BA521" i="3"/>
  <c r="BA509" i="3"/>
  <c r="BA501" i="3"/>
  <c r="AZ501" i="3"/>
  <c r="BA493" i="3"/>
  <c r="AZ493" i="3"/>
  <c r="BA19" i="3"/>
  <c r="BA566" i="3"/>
  <c r="BA562" i="3"/>
  <c r="BA560" i="3"/>
  <c r="BA558" i="3"/>
  <c r="BA556" i="3"/>
  <c r="BA550" i="3"/>
  <c r="BA546" i="3"/>
  <c r="BA544" i="3"/>
  <c r="BA540" i="3"/>
  <c r="BA536" i="3"/>
  <c r="BA532" i="3"/>
  <c r="BA528" i="3"/>
  <c r="BA524" i="3"/>
  <c r="AZ524" i="3"/>
  <c r="BA520" i="3"/>
  <c r="BA512" i="3"/>
  <c r="BA502" i="3"/>
  <c r="BA498" i="3"/>
  <c r="BA492" i="3"/>
  <c r="BA484" i="3"/>
  <c r="BA20" i="3"/>
  <c r="G566" i="3"/>
  <c r="G562" i="3"/>
  <c r="G560" i="3"/>
  <c r="G558" i="3"/>
  <c r="G556"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0" i="3"/>
  <c r="G522" i="3"/>
  <c r="BQ540" i="3"/>
  <c r="BL540" i="3"/>
  <c r="BQ538" i="3"/>
  <c r="BL538" i="3"/>
  <c r="BQ536" i="3"/>
  <c r="BQ534" i="3"/>
  <c r="BQ532" i="3"/>
  <c r="BQ530" i="3"/>
  <c r="BL530" i="3"/>
  <c r="BQ528" i="3"/>
  <c r="BQ526" i="3"/>
  <c r="BQ524" i="3"/>
  <c r="BL524" i="3"/>
  <c r="BQ522" i="3"/>
  <c r="BQ520" i="3"/>
  <c r="BL520" i="3"/>
  <c r="AZ520" i="3"/>
  <c r="BQ518" i="3"/>
  <c r="BQ516" i="3"/>
  <c r="BQ514" i="3"/>
  <c r="BL514" i="3"/>
  <c r="BQ512" i="3"/>
  <c r="BQ510" i="3"/>
  <c r="BL510" i="3"/>
  <c r="BQ508" i="3"/>
  <c r="BL508" i="3"/>
  <c r="AC506" i="3"/>
  <c r="G506" i="3"/>
  <c r="BQ506" i="3"/>
  <c r="G502" i="3"/>
  <c r="BQ504" i="3"/>
  <c r="BQ502" i="3"/>
  <c r="BL502" i="3"/>
  <c r="BQ500" i="3"/>
  <c r="BL500" i="3"/>
  <c r="BQ498" i="3"/>
  <c r="BQ496" i="3"/>
  <c r="AC494" i="3"/>
  <c r="BQ494" i="3"/>
  <c r="BL493" i="3"/>
  <c r="G492" i="3"/>
  <c r="G484" i="3"/>
  <c r="BQ492" i="3"/>
  <c r="BL492" i="3"/>
  <c r="AZ492" i="3"/>
  <c r="BQ490" i="3"/>
  <c r="BQ488" i="3"/>
  <c r="BL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H43" i="33"/>
  <c r="U43" i="33"/>
  <c r="H17" i="37"/>
  <c r="F23" i="37"/>
  <c r="F39" i="33"/>
  <c r="AA39" i="33"/>
  <c r="E123" i="33"/>
  <c r="F123" i="33"/>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J23" i="37"/>
  <c r="F17" i="37"/>
  <c r="AA17" i="37"/>
  <c r="D3" i="21"/>
  <c r="AC12" i="35"/>
  <c r="S27" i="37"/>
  <c r="AC36" i="34"/>
  <c r="AC37" i="33"/>
  <c r="AC45" i="33"/>
  <c r="U19" i="21"/>
  <c r="AC33" i="21"/>
  <c r="F43" i="33"/>
  <c r="AA43" i="33"/>
  <c r="S10" i="35"/>
  <c r="AB44" i="33"/>
  <c r="G107" i="37"/>
  <c r="H107" i="37"/>
  <c r="I107" i="37"/>
  <c r="J107" i="37"/>
  <c r="K107" i="37"/>
  <c r="L107" i="37"/>
  <c r="M107" i="37"/>
  <c r="F37" i="21"/>
  <c r="S37" i="21"/>
  <c r="J37" i="21"/>
  <c r="W37" i="21"/>
  <c r="H19" i="34"/>
  <c r="AB19" i="34"/>
  <c r="J10" i="37"/>
  <c r="W10" i="37"/>
  <c r="F36" i="35"/>
  <c r="H9" i="37"/>
  <c r="U9" i="37"/>
  <c r="F11" i="37"/>
  <c r="S11" i="37"/>
  <c r="J12" i="37"/>
  <c r="AC12" i="37"/>
  <c r="H12" i="37"/>
  <c r="F12" i="37"/>
  <c r="AA12" i="37"/>
  <c r="H15" i="37"/>
  <c r="E94" i="37"/>
  <c r="F94" i="37"/>
  <c r="F31" i="37"/>
  <c r="S31" i="37"/>
  <c r="G94" i="37"/>
  <c r="H94" i="37"/>
  <c r="I94" i="37"/>
  <c r="J94" i="37"/>
  <c r="K94" i="37"/>
  <c r="L94" i="37"/>
  <c r="M94" i="37"/>
  <c r="H31" i="37"/>
  <c r="AB31" i="37"/>
  <c r="J15" i="37"/>
  <c r="W15" i="37"/>
  <c r="AB10" i="37"/>
  <c r="J11" i="37"/>
  <c r="W11" i="37"/>
  <c r="U31" i="37"/>
  <c r="E90" i="40"/>
  <c r="F90" i="40"/>
  <c r="F21" i="40"/>
  <c r="S21" i="40"/>
  <c r="W36" i="40"/>
  <c r="U40" i="39"/>
  <c r="J21" i="40"/>
  <c r="AC21" i="40"/>
  <c r="G90" i="40"/>
  <c r="S27" i="31"/>
  <c r="AZ558" i="3"/>
  <c r="G483" i="3"/>
  <c r="G515" i="3"/>
  <c r="G501" i="3"/>
  <c r="BA15" i="3"/>
  <c r="BL15" i="3"/>
  <c r="J57" i="39"/>
  <c r="H13" i="40"/>
  <c r="U13" i="40"/>
  <c r="H12" i="48"/>
  <c r="I4" i="4"/>
  <c r="K141" i="21"/>
  <c r="K143" i="21"/>
  <c r="K144" i="21"/>
  <c r="I59" i="40"/>
  <c r="C59" i="40"/>
  <c r="I60" i="40"/>
  <c r="C60" i="40"/>
  <c r="G297" i="3"/>
  <c r="BL298" i="3"/>
  <c r="G299" i="3"/>
  <c r="BL300" i="3"/>
  <c r="BA302" i="3"/>
  <c r="BA303" i="3"/>
  <c r="AZ303" i="3"/>
  <c r="BL303" i="3"/>
  <c r="G304" i="3"/>
  <c r="BA305" i="3"/>
  <c r="G321" i="3"/>
  <c r="BL322" i="3"/>
  <c r="G323" i="3"/>
  <c r="BL324" i="3"/>
  <c r="BA326" i="3"/>
  <c r="AZ326" i="3"/>
  <c r="BA327" i="3"/>
  <c r="BL327" i="3"/>
  <c r="AZ327" i="3"/>
  <c r="G328" i="3"/>
  <c r="BA329" i="3"/>
  <c r="G337" i="3"/>
  <c r="BL338" i="3"/>
  <c r="G339" i="3"/>
  <c r="BL340" i="3"/>
  <c r="BA342" i="3"/>
  <c r="BA343" i="3"/>
  <c r="BL343" i="3"/>
  <c r="AZ343" i="3"/>
  <c r="G344" i="3"/>
  <c r="BA345" i="3"/>
  <c r="G353" i="3"/>
  <c r="BL354" i="3"/>
  <c r="G355" i="3"/>
  <c r="BL356" i="3"/>
  <c r="G357" i="3"/>
  <c r="BL358" i="3"/>
  <c r="G359" i="3"/>
  <c r="BA360" i="3"/>
  <c r="AZ360" i="3"/>
  <c r="BA361" i="3"/>
  <c r="BL361" i="3"/>
  <c r="AZ361" i="3"/>
  <c r="G362" i="3"/>
  <c r="BA363" i="3"/>
  <c r="G371" i="3"/>
  <c r="BL372" i="3"/>
  <c r="G373" i="3"/>
  <c r="BL374" i="3"/>
  <c r="BA376" i="3"/>
  <c r="AZ376" i="3"/>
  <c r="BA377" i="3"/>
  <c r="AZ377" i="3"/>
  <c r="BL377" i="3"/>
  <c r="G378" i="3"/>
  <c r="BA379" i="3"/>
  <c r="BA114" i="3"/>
  <c r="AZ114" i="3"/>
  <c r="BL115" i="3"/>
  <c r="AZ115" i="3"/>
  <c r="G116" i="3"/>
  <c r="BA118" i="3"/>
  <c r="BL119" i="3"/>
  <c r="AZ119" i="3"/>
  <c r="G120" i="3"/>
  <c r="BA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BL143" i="3"/>
  <c r="AZ143" i="3"/>
  <c r="G144" i="3"/>
  <c r="BA146" i="3"/>
  <c r="AZ146" i="3"/>
  <c r="BL147" i="3"/>
  <c r="G148" i="3"/>
  <c r="BA150" i="3"/>
  <c r="BL151" i="3"/>
  <c r="AZ151" i="3"/>
  <c r="BA153" i="3"/>
  <c r="BL154" i="3"/>
  <c r="G155" i="3"/>
  <c r="BA157" i="3"/>
  <c r="AZ157" i="3"/>
  <c r="BL158" i="3"/>
  <c r="AZ158" i="3"/>
  <c r="G159" i="3"/>
  <c r="BA161" i="3"/>
  <c r="AZ161" i="3"/>
  <c r="BL162" i="3"/>
  <c r="AZ162" i="3"/>
  <c r="G163" i="3"/>
  <c r="BA165" i="3"/>
  <c r="AZ165" i="3"/>
  <c r="BL166" i="3"/>
  <c r="AZ166" i="3"/>
  <c r="G167" i="3"/>
  <c r="BA169" i="3"/>
  <c r="BL170" i="3"/>
  <c r="G171" i="3"/>
  <c r="BA173" i="3"/>
  <c r="AZ173" i="3"/>
  <c r="BL174" i="3"/>
  <c r="AZ174" i="3"/>
  <c r="G175" i="3"/>
  <c r="BA178" i="3"/>
  <c r="AZ178" i="3"/>
  <c r="BL179" i="3"/>
  <c r="AZ179" i="3"/>
  <c r="G180" i="3"/>
  <c r="AZ27" i="3"/>
  <c r="AZ31" i="3"/>
  <c r="AZ43" i="3"/>
  <c r="AZ47" i="3"/>
  <c r="AZ51" i="3"/>
  <c r="G537" i="3"/>
  <c r="BL181" i="3"/>
  <c r="AZ181" i="3"/>
  <c r="G182" i="3"/>
  <c r="BA184" i="3"/>
  <c r="BL185" i="3"/>
  <c r="AZ185" i="3"/>
  <c r="G186" i="3"/>
  <c r="BA188" i="3"/>
  <c r="BL189" i="3"/>
  <c r="AZ189" i="3"/>
  <c r="G190" i="3"/>
  <c r="BA192" i="3"/>
  <c r="BL193" i="3"/>
  <c r="AZ193" i="3"/>
  <c r="G194" i="3"/>
  <c r="BA196" i="3"/>
  <c r="BL197" i="3"/>
  <c r="AZ197" i="3"/>
  <c r="G198" i="3"/>
  <c r="BA200" i="3"/>
  <c r="BL201" i="3"/>
  <c r="AZ201" i="3"/>
  <c r="AZ66" i="3"/>
  <c r="AZ70" i="3"/>
  <c r="AZ78" i="3"/>
  <c r="AZ82" i="3"/>
  <c r="AZ86" i="3"/>
  <c r="AZ90" i="3"/>
  <c r="AZ106" i="3"/>
  <c r="G491" i="3"/>
  <c r="BA298" i="3"/>
  <c r="AZ298" i="3"/>
  <c r="BA299" i="3"/>
  <c r="AZ299" i="3"/>
  <c r="BL299" i="3"/>
  <c r="G300" i="3"/>
  <c r="G303" i="3"/>
  <c r="BL304" i="3"/>
  <c r="BA306" i="3"/>
  <c r="AZ306" i="3"/>
  <c r="BA307" i="3"/>
  <c r="BL307" i="3"/>
  <c r="AZ307" i="3"/>
  <c r="G308" i="3"/>
  <c r="G319" i="3"/>
  <c r="BL320" i="3"/>
  <c r="BA322" i="3"/>
  <c r="BA323" i="3"/>
  <c r="BL323" i="3"/>
  <c r="G324" i="3"/>
  <c r="G327" i="3"/>
  <c r="BL328" i="3"/>
  <c r="BA330" i="3"/>
  <c r="BA331" i="3"/>
  <c r="BL331" i="3"/>
  <c r="G332" i="3"/>
  <c r="G335" i="3"/>
  <c r="BL336" i="3"/>
  <c r="BA338" i="3"/>
  <c r="AZ338" i="3"/>
  <c r="BA339" i="3"/>
  <c r="BL339" i="3"/>
  <c r="G340" i="3"/>
  <c r="G343" i="3"/>
  <c r="BL344" i="3"/>
  <c r="BA346" i="3"/>
  <c r="AZ346" i="3"/>
  <c r="BA347" i="3"/>
  <c r="AZ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70" i="3"/>
  <c r="G523" i="3"/>
  <c r="BL297" i="3"/>
  <c r="G298" i="3"/>
  <c r="BA300" i="3"/>
  <c r="BL301" i="3"/>
  <c r="G302" i="3"/>
  <c r="BA304" i="3"/>
  <c r="BL305" i="3"/>
  <c r="AZ305" i="3"/>
  <c r="G306" i="3"/>
  <c r="BA308" i="3"/>
  <c r="BL309" i="3"/>
  <c r="G310" i="3"/>
  <c r="BA310" i="3"/>
  <c r="BL311" i="3"/>
  <c r="G312" i="3"/>
  <c r="BA312" i="3"/>
  <c r="AZ312" i="3"/>
  <c r="BL313" i="3"/>
  <c r="AZ313" i="3"/>
  <c r="G314" i="3"/>
  <c r="BA314" i="3"/>
  <c r="AZ314" i="3"/>
  <c r="BL315" i="3"/>
  <c r="AZ315" i="3"/>
  <c r="G316" i="3"/>
  <c r="BA316" i="3"/>
  <c r="BL317" i="3"/>
  <c r="G318" i="3"/>
  <c r="BA320" i="3"/>
  <c r="AZ320" i="3"/>
  <c r="BL321" i="3"/>
  <c r="G322" i="3"/>
  <c r="BA324" i="3"/>
  <c r="BL325" i="3"/>
  <c r="G326" i="3"/>
  <c r="BA328" i="3"/>
  <c r="AZ328" i="3"/>
  <c r="BL329" i="3"/>
  <c r="AZ329" i="3"/>
  <c r="G330" i="3"/>
  <c r="BA332" i="3"/>
  <c r="AZ332" i="3"/>
  <c r="BL333" i="3"/>
  <c r="G334" i="3"/>
  <c r="BA336" i="3"/>
  <c r="AZ336" i="3"/>
  <c r="BL337" i="3"/>
  <c r="AZ337" i="3"/>
  <c r="G338" i="3"/>
  <c r="BA340" i="3"/>
  <c r="AZ340" i="3"/>
  <c r="BL341" i="3"/>
  <c r="AZ341" i="3"/>
  <c r="G342" i="3"/>
  <c r="BA344" i="3"/>
  <c r="BL345" i="3"/>
  <c r="G346" i="3"/>
  <c r="BA348" i="3"/>
  <c r="BL349" i="3"/>
  <c r="G350" i="3"/>
  <c r="BA352" i="3"/>
  <c r="BL353" i="3"/>
  <c r="G354" i="3"/>
  <c r="BA356" i="3"/>
  <c r="BL357" i="3"/>
  <c r="G358" i="3"/>
  <c r="BA362" i="3"/>
  <c r="AZ362" i="3"/>
  <c r="BL363" i="3"/>
  <c r="G364" i="3"/>
  <c r="BA366" i="3"/>
  <c r="AZ366" i="3"/>
  <c r="BL367" i="3"/>
  <c r="AZ213" i="3"/>
  <c r="AZ217" i="3"/>
  <c r="AZ229" i="3"/>
  <c r="AZ233" i="3"/>
  <c r="AZ245" i="3"/>
  <c r="AZ333" i="3"/>
  <c r="G368" i="3"/>
  <c r="BA370" i="3"/>
  <c r="BL371" i="3"/>
  <c r="AZ371" i="3"/>
  <c r="G372" i="3"/>
  <c r="BA374" i="3"/>
  <c r="AZ374" i="3"/>
  <c r="BL375" i="3"/>
  <c r="G376" i="3"/>
  <c r="BA378" i="3"/>
  <c r="AZ378" i="3"/>
  <c r="BL379" i="3"/>
  <c r="AZ379" i="3"/>
  <c r="G380" i="3"/>
  <c r="BA382" i="3"/>
  <c r="BL383" i="3"/>
  <c r="G384" i="3"/>
  <c r="AZ249" i="3"/>
  <c r="AZ253" i="3"/>
  <c r="AZ257" i="3"/>
  <c r="AZ261" i="3"/>
  <c r="AZ270" i="3"/>
  <c r="AZ274" i="3"/>
  <c r="AZ278" i="3"/>
  <c r="AZ286" i="3"/>
  <c r="AZ290" i="3"/>
  <c r="AZ295" i="3"/>
  <c r="AZ351" i="3"/>
  <c r="AZ369" i="3"/>
  <c r="AZ385" i="3"/>
  <c r="AZ390" i="3"/>
  <c r="AZ398" i="3"/>
  <c r="AZ414" i="3"/>
  <c r="AZ422" i="3"/>
  <c r="AZ438" i="3"/>
  <c r="AZ450" i="3"/>
  <c r="AZ455" i="3"/>
  <c r="AZ471" i="3"/>
  <c r="H113" i="46"/>
  <c r="H17" i="46"/>
  <c r="F33" i="46"/>
  <c r="F35" i="46"/>
  <c r="F37" i="46"/>
  <c r="H9" i="48"/>
  <c r="C12" i="46"/>
  <c r="AB16" i="35"/>
  <c r="AA43" i="21"/>
  <c r="U43" i="21"/>
  <c r="AA13" i="40"/>
  <c r="E78" i="40"/>
  <c r="F78" i="40"/>
  <c r="G78" i="40"/>
  <c r="H78" i="40"/>
  <c r="I78" i="40"/>
  <c r="J78" i="40"/>
  <c r="K78" i="40"/>
  <c r="L78" i="40"/>
  <c r="M78" i="40"/>
  <c r="BH5" i="3"/>
  <c r="P16" i="4"/>
  <c r="D3" i="35"/>
  <c r="G4" i="4"/>
  <c r="S37" i="34"/>
  <c r="J16" i="35"/>
  <c r="W16" i="35"/>
  <c r="U42" i="21"/>
  <c r="AC26" i="36"/>
  <c r="H13" i="39"/>
  <c r="AB13" i="39"/>
  <c r="F13" i="39"/>
  <c r="AA13" i="39"/>
  <c r="J13" i="39"/>
  <c r="AC13" i="39"/>
  <c r="H11" i="37"/>
  <c r="AB11" i="37"/>
  <c r="W37" i="37"/>
  <c r="AA36" i="37"/>
  <c r="S42" i="33"/>
  <c r="U32" i="33"/>
  <c r="AC29" i="33"/>
  <c r="AC11" i="36"/>
  <c r="AB45" i="34"/>
  <c r="W44" i="33"/>
  <c r="AC29" i="37"/>
  <c r="W32" i="36"/>
  <c r="AC32" i="36"/>
  <c r="U28" i="33"/>
  <c r="AB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H11" i="35"/>
  <c r="J11" i="35"/>
  <c r="AC11" i="35"/>
  <c r="F96" i="37"/>
  <c r="H32" i="37"/>
  <c r="AB32" i="37"/>
  <c r="F19" i="39"/>
  <c r="S19" i="39"/>
  <c r="H19" i="39"/>
  <c r="AB19" i="39"/>
  <c r="J19" i="39"/>
  <c r="W19" i="39"/>
  <c r="F43" i="39"/>
  <c r="S43" i="39"/>
  <c r="H43" i="39"/>
  <c r="U43" i="39"/>
  <c r="J43" i="39"/>
  <c r="AC43" i="39"/>
  <c r="F99" i="37"/>
  <c r="AC27" i="37"/>
  <c r="S45" i="34"/>
  <c r="U31" i="34"/>
  <c r="W27" i="33"/>
  <c r="S28" i="33"/>
  <c r="S14" i="21"/>
  <c r="AA44" i="34"/>
  <c r="AB29" i="35"/>
  <c r="U29" i="35"/>
  <c r="AC19" i="33"/>
  <c r="U43" i="34"/>
  <c r="AC34" i="37"/>
  <c r="S35" i="37"/>
  <c r="AA35" i="37"/>
  <c r="AB10" i="35"/>
  <c r="AA32" i="21"/>
  <c r="S32" i="21"/>
  <c r="U38" i="21"/>
  <c r="AB34" i="21"/>
  <c r="F42" i="21"/>
  <c r="AA42" i="21"/>
  <c r="AB40" i="33"/>
  <c r="U40" i="33"/>
  <c r="AA35" i="34"/>
  <c r="S35" i="34"/>
  <c r="E90" i="34"/>
  <c r="H27" i="34"/>
  <c r="AB27" i="34"/>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F26" i="36"/>
  <c r="S26" i="36"/>
  <c r="H33" i="36"/>
  <c r="U33" i="36"/>
  <c r="F33" i="36"/>
  <c r="AA33" i="36"/>
  <c r="H27" i="36"/>
  <c r="AB27" i="36"/>
  <c r="AA31" i="36"/>
  <c r="AC25" i="37"/>
  <c r="AC26" i="37"/>
  <c r="AB29" i="37"/>
  <c r="AA30" i="37"/>
  <c r="S30" i="37"/>
  <c r="AC30" i="37"/>
  <c r="AC31" i="37"/>
  <c r="W31" i="37"/>
  <c r="F17" i="39"/>
  <c r="AA17" i="39"/>
  <c r="H17" i="39"/>
  <c r="U17" i="39"/>
  <c r="J17" i="39"/>
  <c r="W17" i="39"/>
  <c r="F21" i="39"/>
  <c r="S21" i="39"/>
  <c r="H21" i="39"/>
  <c r="AB21" i="39"/>
  <c r="J21" i="39"/>
  <c r="W21" i="39"/>
  <c r="F33" i="39"/>
  <c r="AA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BL566" i="3"/>
  <c r="BL565" i="3"/>
  <c r="BA564" i="3"/>
  <c r="AZ564" i="3"/>
  <c r="BA563" i="3"/>
  <c r="AZ563" i="3"/>
  <c r="BL554" i="3"/>
  <c r="BA553" i="3"/>
  <c r="AZ553" i="3"/>
  <c r="BA552" i="3"/>
  <c r="AZ552" i="3"/>
  <c r="BL549" i="3"/>
  <c r="AZ549" i="3"/>
  <c r="BA549" i="3"/>
  <c r="BL548" i="3"/>
  <c r="BA548" i="3"/>
  <c r="BL547" i="3"/>
  <c r="AZ547" i="3"/>
  <c r="BA547" i="3"/>
  <c r="BL539" i="3"/>
  <c r="BA539" i="3"/>
  <c r="AZ539" i="3"/>
  <c r="BA538" i="3"/>
  <c r="AZ538" i="3"/>
  <c r="BL537" i="3"/>
  <c r="BA537" i="3"/>
  <c r="BL536" i="3"/>
  <c r="AZ536" i="3"/>
  <c r="BA535" i="3"/>
  <c r="AZ535" i="3"/>
  <c r="BA534" i="3"/>
  <c r="BA533" i="3"/>
  <c r="AZ533" i="3"/>
  <c r="BL531" i="3"/>
  <c r="AZ531" i="3"/>
  <c r="BA530" i="3"/>
  <c r="BL529" i="3"/>
  <c r="BA529" i="3"/>
  <c r="AZ529" i="3"/>
  <c r="BL528" i="3"/>
  <c r="AZ528" i="3"/>
  <c r="BA527" i="3"/>
  <c r="BA526" i="3"/>
  <c r="BA525" i="3"/>
  <c r="BL523" i="3"/>
  <c r="BA523" i="3"/>
  <c r="BL522" i="3"/>
  <c r="BA522" i="3"/>
  <c r="AZ522" i="3"/>
  <c r="BL521" i="3"/>
  <c r="AZ521" i="3"/>
  <c r="BA519" i="3"/>
  <c r="AZ519" i="3"/>
  <c r="BL518" i="3"/>
  <c r="BA518" i="3"/>
  <c r="AZ518" i="3"/>
  <c r="BL517" i="3"/>
  <c r="BA517" i="3"/>
  <c r="AZ517" i="3"/>
  <c r="BL515" i="3"/>
  <c r="BA515" i="3"/>
  <c r="BA514" i="3"/>
  <c r="AZ514" i="3"/>
  <c r="BL513" i="3"/>
  <c r="BA513" i="3"/>
  <c r="BL512" i="3"/>
  <c r="AZ512" i="3"/>
  <c r="BA511" i="3"/>
  <c r="AZ511" i="3"/>
  <c r="BA510" i="3"/>
  <c r="AZ510" i="3"/>
  <c r="BL509" i="3"/>
  <c r="AZ509" i="3"/>
  <c r="BL507" i="3"/>
  <c r="BA507" i="3"/>
  <c r="AZ507" i="3"/>
  <c r="BL506" i="3"/>
  <c r="BA506" i="3"/>
  <c r="AZ506" i="3"/>
  <c r="BL505" i="3"/>
  <c r="BL504" i="3"/>
  <c r="AZ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BL487" i="3"/>
  <c r="BL486" i="3"/>
  <c r="BA486" i="3"/>
  <c r="AZ486" i="3"/>
  <c r="BA485" i="3"/>
  <c r="AZ485" i="3"/>
  <c r="BA483" i="3"/>
  <c r="AZ483" i="3"/>
  <c r="BA482" i="3"/>
  <c r="AZ482" i="3"/>
  <c r="BL481" i="3"/>
  <c r="BA481" i="3"/>
  <c r="BL19" i="3"/>
  <c r="AZ19" i="3"/>
  <c r="BA18" i="3"/>
  <c r="F36" i="44"/>
  <c r="H38" i="34"/>
  <c r="U38" i="34"/>
  <c r="H30" i="40"/>
  <c r="AB30" i="40"/>
  <c r="G100" i="40"/>
  <c r="J30" i="40"/>
  <c r="AC30" i="40"/>
  <c r="F38" i="40"/>
  <c r="AA38" i="40"/>
  <c r="AA36" i="34"/>
  <c r="AC12" i="21"/>
  <c r="W12" i="21"/>
  <c r="AB33" i="21"/>
  <c r="S35" i="21"/>
  <c r="AB10" i="21"/>
  <c r="U8" i="21"/>
  <c r="S34" i="21"/>
  <c r="AC36" i="21"/>
  <c r="AB8" i="33"/>
  <c r="U8" i="33"/>
  <c r="E106" i="33"/>
  <c r="H34" i="33"/>
  <c r="U34" i="33"/>
  <c r="F34" i="33"/>
  <c r="S34" i="33"/>
  <c r="E121" i="33"/>
  <c r="F41" i="33"/>
  <c r="S41" i="33"/>
  <c r="AC34" i="34"/>
  <c r="W34" i="34"/>
  <c r="AA39" i="34"/>
  <c r="S39" i="34"/>
  <c r="S43" i="34"/>
  <c r="F15" i="34"/>
  <c r="AC28" i="35"/>
  <c r="W28" i="35"/>
  <c r="J20" i="35"/>
  <c r="AC20" i="35"/>
  <c r="H22" i="35"/>
  <c r="AB22" i="35"/>
  <c r="H23" i="35"/>
  <c r="U36" i="35"/>
  <c r="W12" i="36"/>
  <c r="AC12" i="36"/>
  <c r="U31" i="36"/>
  <c r="S8" i="37"/>
  <c r="F14" i="39"/>
  <c r="AA14" i="39"/>
  <c r="H14" i="39"/>
  <c r="AB14" i="39"/>
  <c r="J14" i="39"/>
  <c r="AC14" i="39"/>
  <c r="F16" i="39"/>
  <c r="AA16" i="39"/>
  <c r="H16" i="39"/>
  <c r="U16" i="39"/>
  <c r="J16" i="39"/>
  <c r="AC16" i="39"/>
  <c r="E97" i="39"/>
  <c r="F23" i="39"/>
  <c r="AA23"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J45" i="39"/>
  <c r="AC45" i="39"/>
  <c r="H47" i="39"/>
  <c r="AB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407" i="3"/>
  <c r="AZ423" i="3"/>
  <c r="AZ454" i="3"/>
  <c r="B41" i="1"/>
  <c r="J42" i="40"/>
  <c r="AC42" i="40"/>
  <c r="J40" i="40"/>
  <c r="AC40" i="40"/>
  <c r="J34" i="40"/>
  <c r="AC34" i="40"/>
  <c r="H16" i="40"/>
  <c r="AB16" i="40"/>
  <c r="H14" i="40"/>
  <c r="U14" i="40"/>
  <c r="F32" i="40"/>
  <c r="AA32" i="40"/>
  <c r="AZ436" i="3"/>
  <c r="AZ449" i="3"/>
  <c r="AZ452" i="3"/>
  <c r="M6" i="46"/>
  <c r="N2" i="46"/>
  <c r="F58" i="46"/>
  <c r="H61" i="46"/>
  <c r="F47" i="46"/>
  <c r="H49" i="46"/>
  <c r="N7" i="46"/>
  <c r="AZ456" i="3"/>
  <c r="AZ458" i="3"/>
  <c r="AZ469" i="3"/>
  <c r="AZ474" i="3"/>
  <c r="AZ212" i="3"/>
  <c r="AZ215" i="3"/>
  <c r="AZ228" i="3"/>
  <c r="AZ231" i="3"/>
  <c r="AZ244" i="3"/>
  <c r="AZ247" i="3"/>
  <c r="AZ255" i="3"/>
  <c r="AZ273" i="3"/>
  <c r="AZ276" i="3"/>
  <c r="AZ289" i="3"/>
  <c r="AZ292" i="3"/>
  <c r="AZ124" i="3"/>
  <c r="AZ137" i="3"/>
  <c r="M7" i="46"/>
  <c r="N3" i="46"/>
  <c r="N10" i="46"/>
  <c r="AZ164" i="3"/>
  <c r="AZ177" i="3"/>
  <c r="AZ32" i="3"/>
  <c r="AZ48" i="3"/>
  <c r="AZ71" i="3"/>
  <c r="AZ107" i="3"/>
  <c r="AZ112" i="3"/>
  <c r="H47" i="46"/>
  <c r="J13" i="40"/>
  <c r="W13" i="40"/>
  <c r="AB14" i="40"/>
  <c r="W40" i="40"/>
  <c r="F34" i="44"/>
  <c r="F27" i="43"/>
  <c r="F66" i="9"/>
  <c r="P72" i="9"/>
  <c r="F71" i="9"/>
  <c r="F72" i="9"/>
  <c r="AC14" i="40"/>
  <c r="W35" i="40"/>
  <c r="S33" i="40"/>
  <c r="AB32" i="40"/>
  <c r="U37" i="34"/>
  <c r="AB37" i="34"/>
  <c r="AC41" i="40"/>
  <c r="W41" i="40"/>
  <c r="U41" i="40"/>
  <c r="J23" i="40"/>
  <c r="AC23" i="40"/>
  <c r="F23" i="40"/>
  <c r="AC15" i="40"/>
  <c r="W15" i="40"/>
  <c r="AB16" i="39"/>
  <c r="U23" i="35"/>
  <c r="AB23" i="35"/>
  <c r="H20" i="35"/>
  <c r="U20" i="35"/>
  <c r="F20" i="35"/>
  <c r="S20" i="35"/>
  <c r="H15" i="34"/>
  <c r="AB15" i="34"/>
  <c r="G78" i="34"/>
  <c r="J15" i="34"/>
  <c r="H41" i="33"/>
  <c r="U41" i="33"/>
  <c r="F121" i="33"/>
  <c r="G121" i="33"/>
  <c r="H121" i="33"/>
  <c r="I121" i="33"/>
  <c r="J121" i="33"/>
  <c r="K121" i="33"/>
  <c r="L121" i="33"/>
  <c r="M121" i="33"/>
  <c r="F30" i="40"/>
  <c r="H100" i="40"/>
  <c r="I100" i="40"/>
  <c r="J100" i="40"/>
  <c r="K100" i="40"/>
  <c r="L100" i="40"/>
  <c r="M100" i="40"/>
  <c r="AB38" i="34"/>
  <c r="AZ497" i="3"/>
  <c r="AZ515" i="3"/>
  <c r="AZ537" i="3"/>
  <c r="AZ548" i="3"/>
  <c r="AB37" i="39"/>
  <c r="AA29" i="35"/>
  <c r="U39" i="39"/>
  <c r="J29" i="39"/>
  <c r="AC29" i="39"/>
  <c r="AB33" i="36"/>
  <c r="AA11" i="36"/>
  <c r="AA14" i="35"/>
  <c r="S14" i="35"/>
  <c r="G99" i="37"/>
  <c r="F33" i="37"/>
  <c r="AA33" i="37"/>
  <c r="U19" i="39"/>
  <c r="W12" i="34"/>
  <c r="U17" i="34"/>
  <c r="AA11" i="34"/>
  <c r="W32" i="33"/>
  <c r="H15" i="33"/>
  <c r="U15" i="33"/>
  <c r="AA11" i="33"/>
  <c r="AA40" i="21"/>
  <c r="U17" i="21"/>
  <c r="S13" i="39"/>
  <c r="U16" i="40"/>
  <c r="W34" i="40"/>
  <c r="AB34" i="40"/>
  <c r="AB42" i="40"/>
  <c r="U42" i="40"/>
  <c r="AC16" i="40"/>
  <c r="W32" i="40"/>
  <c r="H25" i="40"/>
  <c r="F94" i="40"/>
  <c r="G94" i="40"/>
  <c r="W15" i="39"/>
  <c r="J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G96" i="37"/>
  <c r="H96" i="37"/>
  <c r="I96" i="37"/>
  <c r="J96" i="37"/>
  <c r="K96" i="37"/>
  <c r="L96" i="37"/>
  <c r="M96" i="37"/>
  <c r="F32" i="37"/>
  <c r="U11" i="35"/>
  <c r="AB11" i="35"/>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K11" i="1"/>
  <c r="M11" i="1"/>
  <c r="O11" i="1"/>
  <c r="B9" i="1"/>
  <c r="E9" i="1"/>
  <c r="B7" i="1"/>
  <c r="E7" i="1"/>
  <c r="K7" i="1"/>
  <c r="M7" i="1"/>
  <c r="O7" i="1"/>
  <c r="C20" i="43"/>
  <c r="F6" i="1"/>
  <c r="AP6" i="1"/>
  <c r="G11" i="1"/>
  <c r="M22" i="44"/>
  <c r="F32" i="15"/>
  <c r="F59" i="15"/>
  <c r="F29" i="12"/>
  <c r="F70" i="9"/>
  <c r="D86" i="9"/>
  <c r="M20" i="44"/>
  <c r="F31" i="43"/>
  <c r="F30" i="44"/>
  <c r="C30" i="44"/>
  <c r="C27" i="43"/>
  <c r="C25" i="12"/>
  <c r="C31" i="43"/>
  <c r="AC25" i="36"/>
  <c r="S23" i="36"/>
  <c r="S8" i="36"/>
  <c r="AA26" i="36"/>
  <c r="AA28" i="36"/>
  <c r="U25" i="36"/>
  <c r="H20" i="36"/>
  <c r="F68" i="36"/>
  <c r="G68" i="36"/>
  <c r="J20" i="36"/>
  <c r="AC20" i="36"/>
  <c r="F20" i="36"/>
  <c r="S20" i="36"/>
  <c r="F62" i="36"/>
  <c r="G62" i="36"/>
  <c r="J14" i="36"/>
  <c r="AC14" i="36"/>
  <c r="H14" i="36"/>
  <c r="F14" i="36"/>
  <c r="AA14" i="36"/>
  <c r="W20" i="36"/>
  <c r="U27" i="36"/>
  <c r="U32" i="36"/>
  <c r="AB12" i="36"/>
  <c r="S33" i="36"/>
  <c r="AA27" i="36"/>
  <c r="S16" i="36"/>
  <c r="S29" i="36"/>
  <c r="AC33" i="35"/>
  <c r="U22" i="35"/>
  <c r="AC9" i="35"/>
  <c r="S8" i="35"/>
  <c r="U33" i="35"/>
  <c r="AA20" i="35"/>
  <c r="W20" i="35"/>
  <c r="S16" i="35"/>
  <c r="AB14" i="35"/>
  <c r="AC10" i="35"/>
  <c r="U9" i="35"/>
  <c r="AC18" i="35"/>
  <c r="W18" i="35"/>
  <c r="U18" i="35"/>
  <c r="AB18" i="35"/>
  <c r="S30" i="35"/>
  <c r="AB30" i="35"/>
  <c r="S27" i="35"/>
  <c r="S28" i="35"/>
  <c r="J26" i="35"/>
  <c r="W26" i="35"/>
  <c r="F26" i="35"/>
  <c r="H26" i="35"/>
  <c r="U26" i="35"/>
  <c r="AB9" i="37"/>
  <c r="W12" i="37"/>
  <c r="S17" i="37"/>
  <c r="AB37" i="37"/>
  <c r="AA31" i="37"/>
  <c r="U32" i="37"/>
  <c r="J33" i="37"/>
  <c r="W33" i="37"/>
  <c r="H99" i="37"/>
  <c r="I99" i="37"/>
  <c r="J99" i="37"/>
  <c r="K99" i="37"/>
  <c r="L99" i="37"/>
  <c r="M99" i="37"/>
  <c r="S29" i="37"/>
  <c r="J19" i="37"/>
  <c r="AC19" i="37"/>
  <c r="G75" i="37"/>
  <c r="F19" i="37"/>
  <c r="H19" i="37"/>
  <c r="AB19" i="37"/>
  <c r="J17" i="37"/>
  <c r="S15" i="37"/>
  <c r="AC10" i="37"/>
  <c r="AC21" i="37"/>
  <c r="W21" i="37"/>
  <c r="AC11" i="37"/>
  <c r="W32" i="37"/>
  <c r="U35" i="37"/>
  <c r="U8" i="37"/>
  <c r="AB25" i="37"/>
  <c r="AB21" i="37"/>
  <c r="U21" i="37"/>
  <c r="S37" i="37"/>
  <c r="S40" i="37"/>
  <c r="AA11" i="37"/>
  <c r="S10" i="37"/>
  <c r="AC45" i="34"/>
  <c r="AA40" i="34"/>
  <c r="W33" i="34"/>
  <c r="U30" i="34"/>
  <c r="AB33" i="34"/>
  <c r="AC35" i="34"/>
  <c r="AA33" i="34"/>
  <c r="U44" i="34"/>
  <c r="U34" i="34"/>
  <c r="J25" i="34"/>
  <c r="W25" i="34"/>
  <c r="H25" i="34"/>
  <c r="F25" i="34"/>
  <c r="AA25" i="34"/>
  <c r="J23" i="34"/>
  <c r="F86" i="34"/>
  <c r="G86" i="34"/>
  <c r="F23" i="34"/>
  <c r="AA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W43" i="33"/>
  <c r="U46" i="33"/>
  <c r="W39" i="33"/>
  <c r="U35" i="33"/>
  <c r="AB34" i="33"/>
  <c r="H25" i="33"/>
  <c r="J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U23" i="21"/>
  <c r="AA17" i="21"/>
  <c r="W17" i="21"/>
  <c r="F15" i="21"/>
  <c r="S15" i="21"/>
  <c r="F77" i="21"/>
  <c r="G77" i="21"/>
  <c r="J15" i="21"/>
  <c r="H15" i="21"/>
  <c r="U15" i="2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W42" i="40"/>
  <c r="U35" i="40"/>
  <c r="F37" i="40"/>
  <c r="S37" i="40"/>
  <c r="J37" i="40"/>
  <c r="AC37" i="40"/>
  <c r="H37" i="40"/>
  <c r="G113" i="40"/>
  <c r="H113" i="40"/>
  <c r="I113" i="40"/>
  <c r="J113" i="40"/>
  <c r="K113" i="40"/>
  <c r="L113" i="40"/>
  <c r="M113" i="40"/>
  <c r="F39" i="40"/>
  <c r="S38" i="40"/>
  <c r="H39" i="40"/>
  <c r="J39" i="40"/>
  <c r="W39" i="40"/>
  <c r="W38" i="40"/>
  <c r="F29" i="40"/>
  <c r="S29" i="40"/>
  <c r="H29" i="40"/>
  <c r="J29" i="40"/>
  <c r="W29" i="40"/>
  <c r="F98" i="40"/>
  <c r="G98" i="40"/>
  <c r="H98" i="40"/>
  <c r="I98" i="40"/>
  <c r="J98" i="40"/>
  <c r="K98" i="40"/>
  <c r="L98" i="40"/>
  <c r="M98" i="40"/>
  <c r="S25" i="40"/>
  <c r="F88" i="40"/>
  <c r="G88" i="40"/>
  <c r="F19" i="40"/>
  <c r="S19" i="40"/>
  <c r="H19" i="40"/>
  <c r="J19" i="40"/>
  <c r="AC19" i="40"/>
  <c r="W17" i="40"/>
  <c r="AC17" i="40"/>
  <c r="F17" i="40"/>
  <c r="AA17" i="40"/>
  <c r="H17" i="40"/>
  <c r="AB17" i="40"/>
  <c r="W21" i="40"/>
  <c r="AB40" i="40"/>
  <c r="U10" i="40"/>
  <c r="U27" i="40"/>
  <c r="AB27" i="40"/>
  <c r="AC44" i="39"/>
  <c r="W13" i="39"/>
  <c r="S11" i="39"/>
  <c r="AA21" i="39"/>
  <c r="AC19" i="39"/>
  <c r="AC38" i="39"/>
  <c r="S29" i="39"/>
  <c r="AC21" i="39"/>
  <c r="AB15" i="39"/>
  <c r="U11" i="39"/>
  <c r="AB38" i="39"/>
  <c r="U31" i="39"/>
  <c r="AB31" i="39"/>
  <c r="S38" i="39"/>
  <c r="S22" i="31"/>
  <c r="R22" i="31"/>
  <c r="M20" i="15"/>
  <c r="D96" i="9"/>
  <c r="F28" i="15"/>
  <c r="C28" i="15"/>
  <c r="M18" i="15"/>
  <c r="F3" i="35"/>
  <c r="K1" i="43"/>
  <c r="K1" i="12"/>
  <c r="G1" i="44"/>
  <c r="G3" i="46"/>
  <c r="H22" i="46"/>
  <c r="AZ15" i="3"/>
  <c r="BK5" i="3"/>
  <c r="BO5" i="3"/>
  <c r="BP5" i="3"/>
  <c r="BN5" i="3"/>
  <c r="BL18" i="3"/>
  <c r="AZ18" i="3"/>
  <c r="BD5" i="3"/>
  <c r="BL16" i="3"/>
  <c r="H48" i="46"/>
  <c r="H53" i="46"/>
  <c r="G28" i="12"/>
  <c r="G22" i="43"/>
  <c r="G26" i="12"/>
  <c r="D24" i="44"/>
  <c r="D26" i="44"/>
  <c r="G27" i="12"/>
  <c r="G23" i="43"/>
  <c r="G21" i="43"/>
  <c r="H50" i="46"/>
  <c r="H51" i="46"/>
  <c r="E11" i="46"/>
  <c r="E10" i="46"/>
  <c r="N8" i="46"/>
  <c r="N1" i="46"/>
  <c r="M2" i="46"/>
  <c r="N9" i="46"/>
  <c r="F69" i="46"/>
  <c r="H71" i="46"/>
  <c r="M4" i="46"/>
  <c r="M8" i="46"/>
  <c r="M5" i="46"/>
  <c r="C6" i="46"/>
  <c r="H6" i="48"/>
  <c r="E9" i="46"/>
  <c r="H15" i="48"/>
  <c r="H14" i="48"/>
  <c r="F38" i="46"/>
  <c r="F36" i="46"/>
  <c r="F34" i="46"/>
  <c r="J17" i="46"/>
  <c r="C17" i="46"/>
  <c r="F39" i="46"/>
  <c r="H11" i="48"/>
  <c r="E8" i="46"/>
  <c r="C7" i="46"/>
  <c r="I17" i="46"/>
  <c r="E17" i="46"/>
  <c r="D71" i="46"/>
  <c r="D84" i="46"/>
  <c r="E80" i="46"/>
  <c r="B78" i="46"/>
  <c r="D69" i="46"/>
  <c r="E69" i="46"/>
  <c r="B67" i="46"/>
  <c r="E47" i="46"/>
  <c r="E58" i="46"/>
  <c r="A4" i="64"/>
  <c r="A4" i="51"/>
  <c r="C51" i="10"/>
  <c r="H75" i="46"/>
  <c r="I100" i="46"/>
  <c r="B56" i="46"/>
  <c r="C24" i="46"/>
  <c r="N100" i="46"/>
  <c r="H100" i="46"/>
  <c r="F108" i="46"/>
  <c r="H80" i="46"/>
  <c r="B45" i="46"/>
  <c r="E100" i="46"/>
  <c r="G100" i="46"/>
  <c r="H84" i="46"/>
  <c r="H65" i="46"/>
  <c r="C100" i="46"/>
  <c r="J100" i="46"/>
  <c r="M100" i="46"/>
  <c r="AA12" i="36"/>
  <c r="U12" i="35"/>
  <c r="AB12" i="35"/>
  <c r="W11" i="35"/>
  <c r="AA11" i="35"/>
  <c r="U13" i="37"/>
  <c r="C24" i="9"/>
  <c r="C25" i="9"/>
  <c r="AP7" i="1"/>
  <c r="AP9" i="1"/>
  <c r="AP8" i="1"/>
  <c r="I20" i="46"/>
  <c r="C20" i="46"/>
  <c r="B6" i="63"/>
  <c r="B46" i="50"/>
  <c r="B4" i="63"/>
  <c r="C46" i="36"/>
  <c r="D46" i="36"/>
  <c r="C59" i="34"/>
  <c r="D59" i="34"/>
  <c r="E59" i="34"/>
  <c r="C48" i="35"/>
  <c r="D48" i="35"/>
  <c r="C52" i="37"/>
  <c r="D52" i="37"/>
  <c r="C67" i="40"/>
  <c r="D65" i="40"/>
  <c r="D67" i="40"/>
  <c r="P24" i="46"/>
  <c r="B68" i="40"/>
  <c r="P25" i="46"/>
  <c r="B73" i="39"/>
  <c r="P23" i="46"/>
  <c r="P21" i="46"/>
  <c r="P22" i="46"/>
  <c r="O19" i="46"/>
  <c r="H73" i="46"/>
  <c r="H74" i="46"/>
  <c r="H86" i="46"/>
  <c r="H82" i="46"/>
  <c r="H59" i="46"/>
  <c r="H10" i="48"/>
  <c r="H87" i="46"/>
  <c r="H85" i="46"/>
  <c r="H83" i="46"/>
  <c r="O13" i="1"/>
  <c r="P13" i="1"/>
  <c r="O10" i="1"/>
  <c r="R11" i="1"/>
  <c r="R13" i="1"/>
  <c r="B6" i="1"/>
  <c r="E6" i="1"/>
  <c r="B10" i="1"/>
  <c r="E10" i="1"/>
  <c r="B8" i="1"/>
  <c r="E8" i="1"/>
  <c r="B12" i="1"/>
  <c r="E12" i="1"/>
  <c r="K6" i="1"/>
  <c r="M6" i="1"/>
  <c r="O6" i="1"/>
  <c r="C15" i="43"/>
  <c r="G1" i="15"/>
  <c r="F66" i="36"/>
  <c r="H18" i="36"/>
  <c r="U18" i="36"/>
  <c r="U16" i="36"/>
  <c r="S25"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S43" i="33"/>
  <c r="AB42" i="33"/>
  <c r="AB14" i="33"/>
  <c r="AB12" i="33"/>
  <c r="S15" i="33"/>
  <c r="S39" i="21"/>
  <c r="AB25" i="21"/>
  <c r="W25" i="21"/>
  <c r="AA25" i="21"/>
  <c r="AC37" i="21"/>
  <c r="AA15" i="21"/>
  <c r="G96" i="40"/>
  <c r="J27" i="40"/>
  <c r="W37" i="40"/>
  <c r="S17" i="40"/>
  <c r="W30" i="40"/>
  <c r="S34" i="40"/>
  <c r="U17" i="40"/>
  <c r="U38" i="40"/>
  <c r="S40" i="40"/>
  <c r="S42" i="40"/>
  <c r="G105" i="39"/>
  <c r="J31" i="39"/>
  <c r="W31" i="39"/>
  <c r="AB43" i="39"/>
  <c r="AC46" i="39"/>
  <c r="W42" i="39"/>
  <c r="W36" i="39"/>
  <c r="AC37" i="39"/>
  <c r="W16" i="39"/>
  <c r="S15" i="39"/>
  <c r="W25" i="39"/>
  <c r="W45" i="39"/>
  <c r="S41" i="39"/>
  <c r="AA44" i="39"/>
  <c r="W10" i="39"/>
  <c r="W11" i="39"/>
  <c r="U42" i="39"/>
  <c r="W40" i="39"/>
  <c r="S32" i="40"/>
  <c r="C27" i="39"/>
  <c r="C17" i="40"/>
  <c r="C19" i="40"/>
  <c r="C17" i="39"/>
  <c r="C19" i="39"/>
  <c r="C21" i="39"/>
  <c r="C23" i="40"/>
  <c r="B48" i="46"/>
  <c r="B51" i="46"/>
  <c r="B55" i="46"/>
  <c r="B59" i="46"/>
  <c r="B62" i="46"/>
  <c r="B66" i="46"/>
  <c r="B53" i="46"/>
  <c r="B64" i="46"/>
  <c r="D24" i="15"/>
  <c r="AE11" i="46"/>
  <c r="AE13" i="46"/>
  <c r="F101" i="46"/>
  <c r="F107" i="46"/>
  <c r="B113" i="46"/>
  <c r="D118" i="46"/>
  <c r="E118" i="46"/>
  <c r="F118" i="46"/>
  <c r="AA20" i="36"/>
  <c r="U14" i="36"/>
  <c r="AB14" i="36"/>
  <c r="AB18" i="36"/>
  <c r="AA26" i="35"/>
  <c r="S26" i="35"/>
  <c r="AB26" i="35"/>
  <c r="AC26" i="35"/>
  <c r="W19" i="37"/>
  <c r="U19" i="37"/>
  <c r="AC17" i="37"/>
  <c r="W17" i="37"/>
  <c r="U25" i="34"/>
  <c r="AB25" i="34"/>
  <c r="S25" i="34"/>
  <c r="AC25" i="34"/>
  <c r="U23" i="34"/>
  <c r="AB23" i="34"/>
  <c r="AC23" i="34"/>
  <c r="W23" i="34"/>
  <c r="S25" i="33"/>
  <c r="U23" i="33"/>
  <c r="AB23" i="33"/>
  <c r="W23" i="33"/>
  <c r="AC23" i="33"/>
  <c r="W17" i="33"/>
  <c r="AC17" i="33"/>
  <c r="AA17" i="33"/>
  <c r="S17" i="33"/>
  <c r="AB17" i="33"/>
  <c r="AB23" i="21"/>
  <c r="AA23" i="21"/>
  <c r="S23" i="21"/>
  <c r="AB15" i="21"/>
  <c r="W15" i="21"/>
  <c r="AC15" i="21"/>
  <c r="AB39" i="40"/>
  <c r="U39" i="40"/>
  <c r="AA39" i="40"/>
  <c r="S39" i="40"/>
  <c r="U37" i="40"/>
  <c r="AB37" i="40"/>
  <c r="AA37" i="40"/>
  <c r="U29" i="40"/>
  <c r="AB29" i="40"/>
  <c r="AA29" i="40"/>
  <c r="AA19" i="40"/>
  <c r="AB19" i="40"/>
  <c r="U19" i="40"/>
  <c r="AC27" i="40"/>
  <c r="W27" i="40"/>
  <c r="B21" i="31"/>
  <c r="E5" i="6"/>
  <c r="D12" i="11"/>
  <c r="C12" i="11"/>
  <c r="H70" i="46"/>
  <c r="A9" i="64"/>
  <c r="A9" i="51"/>
  <c r="B9" i="63"/>
  <c r="E52" i="37"/>
  <c r="F52" i="37"/>
  <c r="E48" i="35"/>
  <c r="F48" i="35"/>
  <c r="G48" i="35"/>
  <c r="E46" i="36"/>
  <c r="F46" i="36"/>
  <c r="G46" i="36"/>
  <c r="E65" i="40"/>
  <c r="F65" i="40"/>
  <c r="F67" i="40"/>
  <c r="E4" i="4"/>
  <c r="B21" i="55"/>
  <c r="B72" i="63"/>
  <c r="G66" i="36"/>
  <c r="J18" i="36"/>
  <c r="AC18" i="36"/>
  <c r="W18" i="36"/>
  <c r="AG6" i="1"/>
  <c r="L20" i="6"/>
  <c r="BM5" i="3"/>
  <c r="F29" i="6"/>
  <c r="G29" i="6"/>
  <c r="E29" i="6"/>
  <c r="L19" i="6"/>
  <c r="F7" i="21"/>
  <c r="J7" i="21"/>
  <c r="W7" i="21"/>
  <c r="H7" i="21"/>
  <c r="E67" i="40"/>
  <c r="U7" i="21"/>
  <c r="AB7" i="21"/>
  <c r="T48" i="21"/>
  <c r="G48" i="21"/>
  <c r="S7" i="21"/>
  <c r="AA7" i="21"/>
  <c r="R48" i="21"/>
  <c r="C45" i="9"/>
  <c r="O40" i="9"/>
  <c r="N76" i="9"/>
  <c r="C46" i="9"/>
  <c r="O41" i="9"/>
  <c r="R8" i="54"/>
  <c r="B54" i="63"/>
  <c r="F33" i="44"/>
  <c r="F46" i="44"/>
  <c r="I7" i="65"/>
  <c r="M23" i="44"/>
  <c r="J4" i="65"/>
  <c r="F10" i="44"/>
  <c r="B10" i="67"/>
  <c r="F38" i="44"/>
  <c r="F9" i="44"/>
  <c r="E11" i="67"/>
  <c r="M24" i="44"/>
  <c r="J17" i="44"/>
  <c r="F11" i="44"/>
  <c r="F8" i="67"/>
  <c r="M29" i="15"/>
  <c r="F43" i="44"/>
  <c r="M24" i="15"/>
  <c r="J6" i="65"/>
  <c r="B9" i="67"/>
  <c r="L48" i="44"/>
  <c r="F15" i="44"/>
  <c r="F40" i="44"/>
  <c r="E9" i="67"/>
  <c r="C16" i="69"/>
  <c r="F39" i="44"/>
  <c r="M25" i="44"/>
  <c r="M31" i="44"/>
  <c r="E12" i="67"/>
  <c r="E13" i="67"/>
  <c r="F13" i="67"/>
  <c r="F14" i="67"/>
  <c r="B11" i="67"/>
  <c r="E14" i="67"/>
  <c r="M29" i="44"/>
  <c r="F12" i="67"/>
  <c r="M20" i="6"/>
  <c r="I20" i="6"/>
  <c r="H20" i="6"/>
  <c r="D20" i="6"/>
  <c r="R20" i="6"/>
  <c r="R7" i="1"/>
  <c r="M21" i="15"/>
  <c r="M28" i="44"/>
  <c r="L49" i="44"/>
  <c r="F45" i="44"/>
  <c r="N7" i="65"/>
  <c r="E10" i="67"/>
  <c r="F9" i="67"/>
  <c r="B8" i="67"/>
  <c r="N3" i="65"/>
  <c r="I4" i="65"/>
  <c r="M8" i="44"/>
  <c r="M11" i="44"/>
  <c r="M10" i="44"/>
  <c r="M26" i="44"/>
  <c r="B12" i="67"/>
  <c r="I3" i="65"/>
  <c r="B14" i="67"/>
  <c r="F43" i="15"/>
  <c r="F10" i="67"/>
  <c r="M8" i="15"/>
  <c r="M30" i="44"/>
  <c r="F8" i="44"/>
  <c r="F11" i="67"/>
  <c r="F37" i="44"/>
  <c r="E8" i="67"/>
  <c r="F28" i="44"/>
  <c r="C19" i="44"/>
  <c r="B13" i="67"/>
  <c r="F6" i="15"/>
  <c r="M22" i="15"/>
  <c r="F18" i="44"/>
  <c r="F36" i="39"/>
  <c r="D18" i="9"/>
  <c r="M44" i="9"/>
  <c r="M43" i="9"/>
  <c r="G109" i="39"/>
  <c r="H109" i="39"/>
  <c r="I109" i="39"/>
  <c r="J109" i="39"/>
  <c r="K109" i="39"/>
  <c r="L109" i="39"/>
  <c r="M109" i="39"/>
  <c r="H34" i="39"/>
  <c r="AB34" i="39"/>
  <c r="F34" i="39"/>
  <c r="J34" i="39"/>
  <c r="AC34" i="39"/>
  <c r="S33" i="39"/>
  <c r="F101" i="39"/>
  <c r="G101" i="39"/>
  <c r="F27" i="39"/>
  <c r="AA27" i="39"/>
  <c r="J27" i="39"/>
  <c r="AC27" i="39"/>
  <c r="H27" i="39"/>
  <c r="AB27" i="39"/>
  <c r="S23" i="39"/>
  <c r="U34" i="39"/>
  <c r="U41" i="39"/>
  <c r="AB44" i="39"/>
  <c r="W41" i="39"/>
  <c r="W34" i="39"/>
  <c r="AB25" i="39"/>
  <c r="S25" i="39"/>
  <c r="AA19" i="39"/>
  <c r="AB17" i="39"/>
  <c r="AC31" i="39"/>
  <c r="W23" i="39"/>
  <c r="U23" i="39"/>
  <c r="W29" i="39"/>
  <c r="AB29" i="39"/>
  <c r="S31" i="39"/>
  <c r="AC17" i="39"/>
  <c r="S17" i="39"/>
  <c r="AA43" i="39"/>
  <c r="U14" i="39"/>
  <c r="H60" i="46"/>
  <c r="H13" i="48"/>
  <c r="H5" i="48"/>
  <c r="M3" i="46"/>
  <c r="M12" i="46"/>
  <c r="N11" i="46"/>
  <c r="M9" i="46"/>
  <c r="N4" i="46"/>
  <c r="N6" i="46"/>
  <c r="M11" i="46"/>
  <c r="N5" i="46"/>
  <c r="M10" i="46"/>
  <c r="M1" i="46"/>
  <c r="H8" i="48"/>
  <c r="H16" i="48"/>
  <c r="H7" i="48"/>
  <c r="C16" i="46"/>
  <c r="C5" i="46"/>
  <c r="H72" i="46"/>
  <c r="H69" i="46"/>
  <c r="H77" i="46"/>
  <c r="H76" i="46"/>
  <c r="H55" i="46"/>
  <c r="H54" i="46"/>
  <c r="H52" i="46"/>
  <c r="W43" i="39"/>
  <c r="U45" i="39"/>
  <c r="AB45" i="39"/>
  <c r="AA47" i="39"/>
  <c r="S47" i="39"/>
  <c r="AA46" i="39"/>
  <c r="S45" i="39"/>
  <c r="U47" i="39"/>
  <c r="J47" i="39"/>
  <c r="U21" i="39"/>
  <c r="W14" i="39"/>
  <c r="S14" i="39"/>
  <c r="P75" i="15"/>
  <c r="B23" i="52"/>
  <c r="E11" i="52"/>
  <c r="E101" i="46"/>
  <c r="E104" i="46"/>
  <c r="C23" i="46"/>
  <c r="C21" i="46"/>
  <c r="D116" i="46"/>
  <c r="E116" i="46"/>
  <c r="F116" i="46"/>
  <c r="G116" i="46"/>
  <c r="H116" i="46"/>
  <c r="F104" i="46"/>
  <c r="AZ481" i="3"/>
  <c r="AZ489" i="3"/>
  <c r="AZ513" i="3"/>
  <c r="AZ523" i="3"/>
  <c r="AZ363" i="3"/>
  <c r="AZ569" i="3"/>
  <c r="AZ375" i="3"/>
  <c r="F106" i="46"/>
  <c r="AZ345" i="3"/>
  <c r="AZ322" i="3"/>
  <c r="AZ556" i="3"/>
  <c r="AZ560" i="3"/>
  <c r="AZ566" i="3"/>
  <c r="H5" i="3"/>
  <c r="BL572" i="3"/>
  <c r="BL571" i="3"/>
  <c r="BA571" i="3"/>
  <c r="BL570" i="3"/>
  <c r="AZ297" i="3"/>
  <c r="AZ301" i="3"/>
  <c r="G490" i="3"/>
  <c r="G482" i="3"/>
  <c r="G20" i="3"/>
  <c r="AZ565" i="3"/>
  <c r="AZ567" i="3"/>
  <c r="AZ382" i="3"/>
  <c r="AZ357" i="3"/>
  <c r="AZ352" i="3"/>
  <c r="AZ349" i="3"/>
  <c r="AZ344" i="3"/>
  <c r="AZ317" i="3"/>
  <c r="AZ310" i="3"/>
  <c r="AZ304" i="3"/>
  <c r="AZ300" i="3"/>
  <c r="AZ339" i="3"/>
  <c r="AZ331" i="3"/>
  <c r="AZ323" i="3"/>
  <c r="AZ354" i="3"/>
  <c r="AZ302" i="3"/>
  <c r="AZ530" i="3"/>
  <c r="AZ502" i="3"/>
  <c r="AZ551" i="3"/>
  <c r="AZ557" i="3"/>
  <c r="AZ561" i="3"/>
  <c r="BJ5" i="3"/>
  <c r="G567" i="3"/>
  <c r="G563" i="3"/>
  <c r="G552" i="3"/>
  <c r="G531" i="3"/>
  <c r="G525" i="3"/>
  <c r="G487" i="3"/>
  <c r="G390" i="3"/>
  <c r="G391" i="3"/>
  <c r="G392" i="3"/>
  <c r="BL392" i="3"/>
  <c r="BA393" i="3"/>
  <c r="AZ393" i="3"/>
  <c r="BA394" i="3"/>
  <c r="AZ394" i="3"/>
  <c r="G397" i="3"/>
  <c r="BL397" i="3"/>
  <c r="BL399" i="3"/>
  <c r="AZ399" i="3"/>
  <c r="BA400" i="3"/>
  <c r="AZ400" i="3"/>
  <c r="BA401" i="3"/>
  <c r="AZ401" i="3"/>
  <c r="BL403" i="3"/>
  <c r="AZ403" i="3"/>
  <c r="BA404" i="3"/>
  <c r="AZ404" i="3"/>
  <c r="G407" i="3"/>
  <c r="G408" i="3"/>
  <c r="BL408" i="3"/>
  <c r="BA409" i="3"/>
  <c r="AZ409" i="3"/>
  <c r="BA410" i="3"/>
  <c r="AZ410" i="3"/>
  <c r="G413" i="3"/>
  <c r="BL413" i="3"/>
  <c r="BL415" i="3"/>
  <c r="AZ415" i="3"/>
  <c r="BA416" i="3"/>
  <c r="AZ416" i="3"/>
  <c r="BL418" i="3"/>
  <c r="AZ418" i="3"/>
  <c r="BA419" i="3"/>
  <c r="AZ419" i="3"/>
  <c r="G422" i="3"/>
  <c r="G423" i="3"/>
  <c r="G424" i="3"/>
  <c r="BL424" i="3"/>
  <c r="BA425" i="3"/>
  <c r="AZ425" i="3"/>
  <c r="BA426" i="3"/>
  <c r="AZ426" i="3"/>
  <c r="BL428" i="3"/>
  <c r="AZ428" i="3"/>
  <c r="BA429" i="3"/>
  <c r="AZ429" i="3"/>
  <c r="BA430" i="3"/>
  <c r="AZ430" i="3"/>
  <c r="BA431" i="3"/>
  <c r="AZ431" i="3"/>
  <c r="BL433" i="3"/>
  <c r="AZ433" i="3"/>
  <c r="G436" i="3"/>
  <c r="G437" i="3"/>
  <c r="BL437" i="3"/>
  <c r="BL439" i="3"/>
  <c r="AZ439" i="3"/>
  <c r="BA440" i="3"/>
  <c r="AZ440" i="3"/>
  <c r="BA441" i="3"/>
  <c r="AZ441" i="3"/>
  <c r="BA442" i="3"/>
  <c r="AZ442" i="3"/>
  <c r="BL444" i="3"/>
  <c r="AZ444" i="3"/>
  <c r="BA445" i="3"/>
  <c r="AZ445" i="3"/>
  <c r="BA446" i="3"/>
  <c r="AZ446" i="3"/>
  <c r="G449" i="3"/>
  <c r="G450" i="3"/>
  <c r="G451" i="3"/>
  <c r="BL451" i="3"/>
  <c r="G454" i="3"/>
  <c r="G455" i="3"/>
  <c r="G456" i="3"/>
  <c r="G457" i="3"/>
  <c r="BL457" i="3"/>
  <c r="BL459" i="3"/>
  <c r="AZ459" i="3"/>
  <c r="BA460" i="3"/>
  <c r="AZ460" i="3"/>
  <c r="BA461" i="3"/>
  <c r="AZ461" i="3"/>
  <c r="BL463" i="3"/>
  <c r="AZ463" i="3"/>
  <c r="BA464" i="3"/>
  <c r="AZ464" i="3"/>
  <c r="BL466" i="3"/>
  <c r="AZ466" i="3"/>
  <c r="G469" i="3"/>
  <c r="G470" i="3"/>
  <c r="BL470" i="3"/>
  <c r="G473" i="3"/>
  <c r="BL473" i="3"/>
  <c r="BL475" i="3"/>
  <c r="AZ475" i="3"/>
  <c r="BA476" i="3"/>
  <c r="AZ476" i="3"/>
  <c r="BA477" i="3"/>
  <c r="AZ477" i="3"/>
  <c r="BL479" i="3"/>
  <c r="AZ479" i="3"/>
  <c r="BA480" i="3"/>
  <c r="AZ480" i="3"/>
  <c r="BL308" i="3"/>
  <c r="AZ308" i="3"/>
  <c r="BA311" i="3"/>
  <c r="AZ311" i="3"/>
  <c r="G315" i="3"/>
  <c r="BL316" i="3"/>
  <c r="AZ316" i="3"/>
  <c r="BA318" i="3"/>
  <c r="AZ318" i="3"/>
  <c r="BA321" i="3"/>
  <c r="AZ321" i="3"/>
  <c r="BA325" i="3"/>
  <c r="AZ325" i="3"/>
  <c r="BL330" i="3"/>
  <c r="AZ330" i="3"/>
  <c r="BL335" i="3"/>
  <c r="AZ335" i="3"/>
  <c r="G341" i="3"/>
  <c r="BL342" i="3"/>
  <c r="AZ342" i="3"/>
  <c r="BL348" i="3"/>
  <c r="AZ348" i="3"/>
  <c r="BA350" i="3"/>
  <c r="AZ350" i="3"/>
  <c r="BA353" i="3"/>
  <c r="AZ353" i="3"/>
  <c r="G365" i="3"/>
  <c r="BA367" i="3"/>
  <c r="AZ367" i="3"/>
  <c r="BL368" i="3"/>
  <c r="G370" i="3"/>
  <c r="G381" i="3"/>
  <c r="BA383" i="3"/>
  <c r="AZ383" i="3"/>
  <c r="BL384" i="3"/>
  <c r="G386" i="3"/>
  <c r="BL386" i="3"/>
  <c r="BA387" i="3"/>
  <c r="AZ387" i="3"/>
  <c r="BA388" i="3"/>
  <c r="AZ388" i="3"/>
  <c r="BA205" i="3"/>
  <c r="AZ205" i="3"/>
  <c r="BL207" i="3"/>
  <c r="AZ207" i="3"/>
  <c r="BA208" i="3"/>
  <c r="AZ208" i="3"/>
  <c r="BA209" i="3"/>
  <c r="AZ209" i="3"/>
  <c r="G212" i="3"/>
  <c r="G213" i="3"/>
  <c r="G214" i="3"/>
  <c r="BL214" i="3"/>
  <c r="G217" i="3"/>
  <c r="G218" i="3"/>
  <c r="BL218" i="3"/>
  <c r="BA219" i="3"/>
  <c r="AZ219" i="3"/>
  <c r="BA220" i="3"/>
  <c r="AZ220" i="3"/>
  <c r="BA221" i="3"/>
  <c r="AZ221" i="3"/>
  <c r="BL223" i="3"/>
  <c r="AZ223" i="3"/>
  <c r="BA224" i="3"/>
  <c r="AZ224" i="3"/>
  <c r="BA225" i="3"/>
  <c r="AZ225" i="3"/>
  <c r="G228" i="3"/>
  <c r="G229" i="3"/>
  <c r="G230" i="3"/>
  <c r="BL230" i="3"/>
  <c r="G233" i="3"/>
  <c r="G234" i="3"/>
  <c r="BL234" i="3"/>
  <c r="BA235" i="3"/>
  <c r="AZ235" i="3"/>
  <c r="BA236" i="3"/>
  <c r="AZ236" i="3"/>
  <c r="BA237" i="3"/>
  <c r="AZ237" i="3"/>
  <c r="BL239" i="3"/>
  <c r="AZ239" i="3"/>
  <c r="BA240" i="3"/>
  <c r="AZ240" i="3"/>
  <c r="BA241" i="3"/>
  <c r="AZ241" i="3"/>
  <c r="G244" i="3"/>
  <c r="G245" i="3"/>
  <c r="G246" i="3"/>
  <c r="BL246" i="3"/>
  <c r="G249" i="3"/>
  <c r="G250" i="3"/>
  <c r="BL250" i="3"/>
  <c r="BA251" i="3"/>
  <c r="AZ251" i="3"/>
  <c r="BA252" i="3"/>
  <c r="BL252" i="3"/>
  <c r="G255" i="3"/>
  <c r="G256" i="3"/>
  <c r="BL256" i="3"/>
  <c r="BA258" i="3"/>
  <c r="AZ258" i="3"/>
  <c r="BL260" i="3"/>
  <c r="AZ260" i="3"/>
  <c r="BA262" i="3"/>
  <c r="AZ262" i="3"/>
  <c r="BA263" i="3"/>
  <c r="AZ263" i="3"/>
  <c r="BL265" i="3"/>
  <c r="AZ265" i="3"/>
  <c r="BA266" i="3"/>
  <c r="AZ266" i="3"/>
  <c r="BL268" i="3"/>
  <c r="AZ268" i="3"/>
  <c r="G270" i="3"/>
  <c r="G271" i="3"/>
  <c r="BL271" i="3"/>
  <c r="G273" i="3"/>
  <c r="G274" i="3"/>
  <c r="G275" i="3"/>
  <c r="BL275" i="3"/>
  <c r="G278" i="3"/>
  <c r="G279" i="3"/>
  <c r="BL279" i="3"/>
  <c r="AZ279" i="3"/>
  <c r="BA280" i="3"/>
  <c r="AZ280" i="3"/>
  <c r="BA281" i="3"/>
  <c r="AZ281" i="3"/>
  <c r="BA282" i="3"/>
  <c r="AZ282" i="3"/>
  <c r="AZ256" i="3"/>
  <c r="AZ294" i="3"/>
  <c r="AZ148" i="3"/>
  <c r="AZ34" i="3"/>
  <c r="BL284" i="3"/>
  <c r="AZ284" i="3"/>
  <c r="G286" i="3"/>
  <c r="G287" i="3"/>
  <c r="BL287" i="3"/>
  <c r="G289" i="3"/>
  <c r="G290" i="3"/>
  <c r="G291" i="3"/>
  <c r="BL291" i="3"/>
  <c r="G294" i="3"/>
  <c r="BL294" i="3"/>
  <c r="BA296" i="3"/>
  <c r="AZ296" i="3"/>
  <c r="G115" i="3"/>
  <c r="BA117" i="3"/>
  <c r="AZ117" i="3"/>
  <c r="BL118" i="3"/>
  <c r="AZ118" i="3"/>
  <c r="BA120" i="3"/>
  <c r="AZ120" i="3"/>
  <c r="BA121" i="3"/>
  <c r="AZ121" i="3"/>
  <c r="BL122" i="3"/>
  <c r="AZ122" i="3"/>
  <c r="G126" i="3"/>
  <c r="BA128" i="3"/>
  <c r="AZ128" i="3"/>
  <c r="G131" i="3"/>
  <c r="G134" i="3"/>
  <c r="G137" i="3"/>
  <c r="G138" i="3"/>
  <c r="BL140" i="3"/>
  <c r="AZ140" i="3"/>
  <c r="BA141" i="3"/>
  <c r="AZ141" i="3"/>
  <c r="BL142" i="3"/>
  <c r="AZ142" i="3"/>
  <c r="G145" i="3"/>
  <c r="BL145" i="3"/>
  <c r="AZ145" i="3"/>
  <c r="BA147" i="3"/>
  <c r="AZ147" i="3"/>
  <c r="BL148" i="3"/>
  <c r="BA149" i="3"/>
  <c r="AZ149" i="3"/>
  <c r="BL150" i="3"/>
  <c r="AZ150" i="3"/>
  <c r="BA152" i="3"/>
  <c r="AZ152" i="3"/>
  <c r="BL153" i="3"/>
  <c r="AZ153" i="3"/>
  <c r="BA155" i="3"/>
  <c r="AZ155" i="3"/>
  <c r="G158" i="3"/>
  <c r="G161" i="3"/>
  <c r="G164" i="3"/>
  <c r="G165" i="3"/>
  <c r="BL167" i="3"/>
  <c r="AZ167" i="3"/>
  <c r="BA168" i="3"/>
  <c r="AZ168" i="3"/>
  <c r="BL169" i="3"/>
  <c r="AZ169" i="3"/>
  <c r="BA171" i="3"/>
  <c r="AZ171" i="3"/>
  <c r="G174" i="3"/>
  <c r="G177" i="3"/>
  <c r="G178" i="3"/>
  <c r="BL180" i="3"/>
  <c r="AZ180" i="3"/>
  <c r="BA182" i="3"/>
  <c r="AZ182" i="3"/>
  <c r="BA183" i="3"/>
  <c r="AZ183" i="3"/>
  <c r="BL184" i="3"/>
  <c r="AZ184" i="3"/>
  <c r="BA186" i="3"/>
  <c r="AZ186" i="3"/>
  <c r="BA187" i="3"/>
  <c r="AZ187" i="3"/>
  <c r="BL188" i="3"/>
  <c r="AZ188" i="3"/>
  <c r="BA190" i="3"/>
  <c r="AZ190" i="3"/>
  <c r="BA191" i="3"/>
  <c r="AZ191" i="3"/>
  <c r="BL192" i="3"/>
  <c r="AZ192" i="3"/>
  <c r="BA194" i="3"/>
  <c r="AZ194" i="3"/>
  <c r="BA195" i="3"/>
  <c r="AZ195" i="3"/>
  <c r="BL196" i="3"/>
  <c r="AZ196" i="3"/>
  <c r="BA198" i="3"/>
  <c r="AZ198" i="3"/>
  <c r="BA199" i="3"/>
  <c r="AZ199" i="3"/>
  <c r="BL200" i="3"/>
  <c r="AZ200" i="3"/>
  <c r="BL203" i="3"/>
  <c r="AZ203" i="3"/>
  <c r="BA204" i="3"/>
  <c r="AZ204" i="3"/>
  <c r="G27" i="3"/>
  <c r="G28" i="3"/>
  <c r="BL28" i="3"/>
  <c r="AZ28" i="3"/>
  <c r="G29" i="3"/>
  <c r="G30" i="3"/>
  <c r="BL30" i="3"/>
  <c r="G34" i="3"/>
  <c r="BL34" i="3"/>
  <c r="G35" i="3"/>
  <c r="BL35" i="3"/>
  <c r="AZ35" i="3"/>
  <c r="BA36" i="3"/>
  <c r="AZ36" i="3"/>
  <c r="G43" i="3"/>
  <c r="G44" i="3"/>
  <c r="BL44" i="3"/>
  <c r="AZ44" i="3"/>
  <c r="G45" i="3"/>
  <c r="G46" i="3"/>
  <c r="BL46" i="3"/>
  <c r="BA49" i="3"/>
  <c r="AZ49" i="3"/>
  <c r="G53" i="3"/>
  <c r="BL53" i="3"/>
  <c r="AZ53" i="3"/>
  <c r="G54" i="3"/>
  <c r="G55" i="3"/>
  <c r="G56" i="3"/>
  <c r="G57" i="3"/>
  <c r="BL57" i="3"/>
  <c r="BA58" i="3"/>
  <c r="AZ58" i="3"/>
  <c r="BA59" i="3"/>
  <c r="AZ59" i="3"/>
  <c r="BL63" i="3"/>
  <c r="AZ63" i="3"/>
  <c r="G64" i="3"/>
  <c r="G65" i="3"/>
  <c r="BL65" i="3"/>
  <c r="G70" i="3"/>
  <c r="G71" i="3"/>
  <c r="G72" i="3"/>
  <c r="BL72" i="3"/>
  <c r="AZ72" i="3"/>
  <c r="G73" i="3"/>
  <c r="G74" i="3"/>
  <c r="G75" i="3"/>
  <c r="BL75" i="3"/>
  <c r="BA76" i="3"/>
  <c r="AZ76" i="3"/>
  <c r="BL79" i="3"/>
  <c r="AZ79" i="3"/>
  <c r="G80" i="3"/>
  <c r="G81" i="3"/>
  <c r="BL81" i="3"/>
  <c r="BA88" i="3"/>
  <c r="AZ88" i="3"/>
  <c r="BL91" i="3"/>
  <c r="AZ91" i="3"/>
  <c r="G92" i="3"/>
  <c r="G93" i="3"/>
  <c r="BL93" i="3"/>
  <c r="G94" i="3"/>
  <c r="BL94" i="3"/>
  <c r="AZ94" i="3"/>
  <c r="BA95" i="3"/>
  <c r="AZ95" i="3"/>
  <c r="BA99" i="3"/>
  <c r="AZ99" i="3"/>
  <c r="BA102" i="3"/>
  <c r="AZ102" i="3"/>
  <c r="BA108" i="3"/>
  <c r="AZ108" i="3"/>
  <c r="BL110" i="3"/>
  <c r="AZ110" i="3"/>
  <c r="G112" i="3"/>
  <c r="G101" i="46"/>
  <c r="G109" i="46"/>
  <c r="L101" i="46"/>
  <c r="L102" i="46"/>
  <c r="K101" i="46"/>
  <c r="K106" i="46"/>
  <c r="AD11" i="46"/>
  <c r="AI11" i="46"/>
  <c r="AI13" i="46"/>
  <c r="BA22" i="3"/>
  <c r="AZ22" i="3"/>
  <c r="BA23" i="3"/>
  <c r="AZ23" i="3"/>
  <c r="BA24" i="3"/>
  <c r="AZ24" i="3"/>
  <c r="BA29" i="3"/>
  <c r="AZ29" i="3"/>
  <c r="BA38" i="3"/>
  <c r="AZ38" i="3"/>
  <c r="BA39" i="3"/>
  <c r="AZ39" i="3"/>
  <c r="BA40" i="3"/>
  <c r="AZ40" i="3"/>
  <c r="BA45" i="3"/>
  <c r="AZ45" i="3"/>
  <c r="BA54" i="3"/>
  <c r="AZ54" i="3"/>
  <c r="BA55" i="3"/>
  <c r="AZ55" i="3"/>
  <c r="BA56" i="3"/>
  <c r="AZ56" i="3"/>
  <c r="BA61" i="3"/>
  <c r="AZ61" i="3"/>
  <c r="BA64" i="3"/>
  <c r="AZ64" i="3"/>
  <c r="BA67" i="3"/>
  <c r="AZ67" i="3"/>
  <c r="BA73" i="3"/>
  <c r="AZ73" i="3"/>
  <c r="BA74" i="3"/>
  <c r="AZ74" i="3"/>
  <c r="BA80" i="3"/>
  <c r="AZ80" i="3"/>
  <c r="BA83" i="3"/>
  <c r="AZ83" i="3"/>
  <c r="BA84" i="3"/>
  <c r="AZ84" i="3"/>
  <c r="BA97" i="3"/>
  <c r="AZ97" i="3"/>
  <c r="BA98" i="3"/>
  <c r="AZ98" i="3"/>
  <c r="BA104" i="3"/>
  <c r="AZ104" i="3"/>
  <c r="BA101" i="3"/>
  <c r="AZ101" i="3"/>
  <c r="L27" i="6"/>
  <c r="B4" i="52"/>
  <c r="AC5" i="3"/>
  <c r="BA16" i="3"/>
  <c r="G15" i="3"/>
  <c r="D115" i="46"/>
  <c r="E115" i="46"/>
  <c r="F115" i="46"/>
  <c r="G115" i="46"/>
  <c r="H115" i="46"/>
  <c r="I115" i="46"/>
  <c r="J115" i="46"/>
  <c r="K115" i="46"/>
  <c r="L115" i="46"/>
  <c r="M115" i="46"/>
  <c r="E53" i="40"/>
  <c r="E58" i="39"/>
  <c r="H16" i="1"/>
  <c r="L109" i="46"/>
  <c r="G106" i="46"/>
  <c r="L106" i="46"/>
  <c r="J22" i="46"/>
  <c r="B118" i="46"/>
  <c r="C118" i="46"/>
  <c r="G105" i="46"/>
  <c r="E107" i="46"/>
  <c r="I118" i="46"/>
  <c r="J118" i="46"/>
  <c r="K118" i="46"/>
  <c r="L118" i="46"/>
  <c r="M118" i="46"/>
  <c r="B117" i="46"/>
  <c r="C117" i="46"/>
  <c r="Q16" i="1"/>
  <c r="F24" i="43"/>
  <c r="C26" i="43"/>
  <c r="D24" i="43"/>
  <c r="C101" i="46"/>
  <c r="C105" i="46"/>
  <c r="J101" i="46"/>
  <c r="J106" i="46"/>
  <c r="N104" i="45"/>
  <c r="F22" i="46"/>
  <c r="Z7" i="46"/>
  <c r="N101" i="46"/>
  <c r="Z11" i="46"/>
  <c r="Z13" i="46"/>
  <c r="AH11" i="46"/>
  <c r="AA11" i="46"/>
  <c r="AA13" i="46"/>
  <c r="K15" i="1"/>
  <c r="D21" i="12"/>
  <c r="C21" i="12"/>
  <c r="N107" i="46"/>
  <c r="N102" i="46"/>
  <c r="N105" i="46"/>
  <c r="AZ16" i="3"/>
  <c r="G30" i="6"/>
  <c r="G31" i="6"/>
  <c r="BG5" i="3"/>
  <c r="BE5" i="3"/>
  <c r="A11" i="55"/>
  <c r="B62" i="63"/>
  <c r="A18" i="64"/>
  <c r="B74" i="63"/>
  <c r="A18" i="51"/>
  <c r="B14" i="63"/>
  <c r="L5" i="54"/>
  <c r="B39" i="63"/>
  <c r="T41" i="4"/>
  <c r="C53" i="10"/>
  <c r="K5" i="54"/>
  <c r="G12" i="1"/>
  <c r="L16" i="4"/>
  <c r="B6" i="52"/>
  <c r="E9" i="52"/>
  <c r="B10" i="52"/>
  <c r="G10" i="1"/>
  <c r="G6" i="1"/>
  <c r="N16" i="4"/>
  <c r="K17" i="4"/>
  <c r="A22" i="51"/>
  <c r="B16" i="63"/>
  <c r="E5" i="52"/>
  <c r="B16" i="52"/>
  <c r="E10" i="52"/>
  <c r="B8" i="52"/>
  <c r="B9" i="52"/>
  <c r="B7" i="52"/>
  <c r="B21" i="63"/>
  <c r="I14" i="66"/>
  <c r="B8" i="66"/>
  <c r="K33" i="9"/>
  <c r="E4" i="52"/>
  <c r="E16" i="52"/>
  <c r="B11" i="52"/>
  <c r="E8" i="52"/>
  <c r="B5" i="52"/>
  <c r="B13" i="52"/>
  <c r="B22" i="52"/>
  <c r="E21" i="52"/>
  <c r="B14" i="52"/>
  <c r="E6" i="52"/>
  <c r="E7" i="52"/>
  <c r="C4" i="4"/>
  <c r="B20" i="55"/>
  <c r="B70" i="63"/>
  <c r="E48" i="21"/>
  <c r="R49" i="21"/>
  <c r="D70" i="39"/>
  <c r="C72" i="39"/>
  <c r="C92" i="9"/>
  <c r="G65" i="40"/>
  <c r="G67" i="40"/>
  <c r="AP16" i="1"/>
  <c r="F22" i="11"/>
  <c r="B74" i="46"/>
  <c r="J22" i="44"/>
  <c r="J20" i="15"/>
  <c r="F70" i="15"/>
  <c r="M9" i="44"/>
  <c r="J8" i="44"/>
  <c r="C36" i="44"/>
  <c r="Q73" i="44"/>
  <c r="L60" i="44"/>
  <c r="L59" i="44"/>
  <c r="C8" i="44"/>
  <c r="C29" i="44"/>
  <c r="J58" i="44"/>
  <c r="J56" i="44"/>
  <c r="J59" i="44"/>
  <c r="Q52" i="44"/>
  <c r="J61" i="44"/>
  <c r="Q50" i="44"/>
  <c r="L57" i="44"/>
  <c r="I55" i="44"/>
  <c r="J60" i="44"/>
  <c r="E20" i="46"/>
  <c r="E53" i="21"/>
  <c r="F53" i="21"/>
  <c r="E52" i="21"/>
  <c r="F52" i="21"/>
  <c r="H46" i="36"/>
  <c r="I46" i="36"/>
  <c r="J46" i="36"/>
  <c r="K46" i="36"/>
  <c r="L46" i="36"/>
  <c r="M46" i="36"/>
  <c r="N46" i="36"/>
  <c r="O46" i="36"/>
  <c r="F7" i="36"/>
  <c r="H48" i="35"/>
  <c r="I48" i="35"/>
  <c r="J48" i="35"/>
  <c r="K48" i="35"/>
  <c r="L48" i="35"/>
  <c r="M48" i="35"/>
  <c r="N48" i="35"/>
  <c r="O48" i="35"/>
  <c r="F7" i="35"/>
  <c r="G52" i="37"/>
  <c r="H52" i="37"/>
  <c r="I52" i="37"/>
  <c r="J52" i="37"/>
  <c r="K52" i="37"/>
  <c r="L52" i="37"/>
  <c r="M52" i="37"/>
  <c r="N52" i="37"/>
  <c r="O52" i="37"/>
  <c r="J7" i="37"/>
  <c r="F59" i="34"/>
  <c r="G59" i="34"/>
  <c r="H59" i="34"/>
  <c r="I59" i="34"/>
  <c r="J59" i="34"/>
  <c r="K59" i="34"/>
  <c r="L59" i="34"/>
  <c r="M59" i="34"/>
  <c r="N59" i="34"/>
  <c r="O59" i="34"/>
  <c r="K34" i="9"/>
  <c r="K31" i="9"/>
  <c r="K32" i="9"/>
  <c r="R7" i="54"/>
  <c r="B52" i="63"/>
  <c r="H14" i="66"/>
  <c r="B7" i="66"/>
  <c r="H65" i="40"/>
  <c r="G52" i="21"/>
  <c r="H52" i="21"/>
  <c r="AC7" i="21"/>
  <c r="W9" i="37"/>
  <c r="AC9" i="37"/>
  <c r="J104" i="46"/>
  <c r="J103" i="46"/>
  <c r="J105" i="46"/>
  <c r="J109" i="46"/>
  <c r="K109" i="46"/>
  <c r="K104" i="46"/>
  <c r="K105" i="46"/>
  <c r="AB25" i="33"/>
  <c r="U25" i="33"/>
  <c r="P11" i="1"/>
  <c r="AC34" i="33"/>
  <c r="W34" i="33"/>
  <c r="AC37" i="34"/>
  <c r="W37" i="34"/>
  <c r="AB25" i="40"/>
  <c r="U25" i="40"/>
  <c r="S23" i="40"/>
  <c r="AA23" i="40"/>
  <c r="H58" i="33"/>
  <c r="D117" i="46"/>
  <c r="E117" i="46"/>
  <c r="F117" i="46"/>
  <c r="G117" i="46"/>
  <c r="H117" i="46"/>
  <c r="G118" i="46"/>
  <c r="H118" i="46"/>
  <c r="B116" i="46"/>
  <c r="C116" i="46"/>
  <c r="E105" i="46"/>
  <c r="L105" i="46"/>
  <c r="B115" i="46"/>
  <c r="I117" i="46"/>
  <c r="J117" i="46"/>
  <c r="K117" i="46"/>
  <c r="L117" i="46"/>
  <c r="M117" i="46"/>
  <c r="F7" i="37"/>
  <c r="H7" i="37"/>
  <c r="J102" i="46"/>
  <c r="F102" i="46"/>
  <c r="F105" i="46"/>
  <c r="K103" i="46"/>
  <c r="I116" i="46"/>
  <c r="J116" i="46"/>
  <c r="K116" i="46"/>
  <c r="L116" i="46"/>
  <c r="M116" i="46"/>
  <c r="J7" i="36"/>
  <c r="H7" i="36"/>
  <c r="H7" i="35"/>
  <c r="J7" i="35"/>
  <c r="H7" i="34"/>
  <c r="J7" i="34"/>
  <c r="B20" i="31"/>
  <c r="W19" i="40"/>
  <c r="AC29" i="40"/>
  <c r="AC39" i="40"/>
  <c r="F103" i="46"/>
  <c r="J107" i="46"/>
  <c r="AA23" i="33"/>
  <c r="S23" i="34"/>
  <c r="W14" i="36"/>
  <c r="S14" i="36"/>
  <c r="O9" i="1"/>
  <c r="P9" i="1"/>
  <c r="P6" i="1"/>
  <c r="C15" i="12"/>
  <c r="P10" i="1"/>
  <c r="A17" i="64"/>
  <c r="A17" i="51"/>
  <c r="B13" i="63"/>
  <c r="F109" i="46"/>
  <c r="AB11" i="46"/>
  <c r="AJ11" i="46"/>
  <c r="AF11" i="46"/>
  <c r="Y11" i="46"/>
  <c r="Y13" i="46"/>
  <c r="AG11" i="46"/>
  <c r="AG13" i="46"/>
  <c r="AC11" i="46"/>
  <c r="AC13" i="46"/>
  <c r="E22" i="46"/>
  <c r="H101" i="46"/>
  <c r="M101" i="46"/>
  <c r="D101" i="46"/>
  <c r="I101" i="46"/>
  <c r="G22" i="46"/>
  <c r="W25" i="33"/>
  <c r="AC25" i="33"/>
  <c r="AA19" i="37"/>
  <c r="S19" i="37"/>
  <c r="S33" i="37"/>
  <c r="U20" i="36"/>
  <c r="AB20" i="36"/>
  <c r="P7" i="1"/>
  <c r="S32" i="37"/>
  <c r="AA32" i="37"/>
  <c r="S27" i="34"/>
  <c r="AA27" i="34"/>
  <c r="AA30" i="40"/>
  <c r="S30" i="40"/>
  <c r="H58" i="46"/>
  <c r="H62" i="46"/>
  <c r="H66" i="46"/>
  <c r="H63" i="46"/>
  <c r="H64" i="46"/>
  <c r="AB9" i="34"/>
  <c r="U9" i="34"/>
  <c r="W14" i="34"/>
  <c r="AC14" i="34"/>
  <c r="AB32" i="34"/>
  <c r="U32" i="34"/>
  <c r="AB46" i="34"/>
  <c r="U46" i="34"/>
  <c r="U33" i="39"/>
  <c r="AB33" i="39"/>
  <c r="U15" i="37"/>
  <c r="AB15" i="37"/>
  <c r="AB12" i="37"/>
  <c r="U12" i="37"/>
  <c r="S36" i="35"/>
  <c r="AA36" i="35"/>
  <c r="S23" i="37"/>
  <c r="AA23" i="37"/>
  <c r="AZ542" i="3"/>
  <c r="AZ484" i="3"/>
  <c r="AZ540" i="3"/>
  <c r="AZ546" i="3"/>
  <c r="AB30" i="33"/>
  <c r="U30" i="33"/>
  <c r="W28" i="33"/>
  <c r="AC28" i="33"/>
  <c r="S39" i="37"/>
  <c r="AA39" i="37"/>
  <c r="AC8" i="21"/>
  <c r="W8" i="21"/>
  <c r="W40" i="21"/>
  <c r="AC40" i="21"/>
  <c r="S36" i="21"/>
  <c r="AA36" i="21"/>
  <c r="BA572" i="3"/>
  <c r="AZ572" i="3"/>
  <c r="BA570" i="3"/>
  <c r="AZ570" i="3"/>
  <c r="H13" i="21"/>
  <c r="J13" i="21"/>
  <c r="F13" i="21"/>
  <c r="H27" i="21"/>
  <c r="J27" i="21"/>
  <c r="F27" i="21"/>
  <c r="J29" i="21"/>
  <c r="H29" i="21"/>
  <c r="F29" i="21"/>
  <c r="J31" i="21"/>
  <c r="H31" i="21"/>
  <c r="F31" i="21"/>
  <c r="J45" i="21"/>
  <c r="F45" i="21"/>
  <c r="H45" i="21"/>
  <c r="J9" i="33"/>
  <c r="H9" i="33"/>
  <c r="F9" i="33"/>
  <c r="U8" i="34"/>
  <c r="AB8" i="34"/>
  <c r="F28" i="34"/>
  <c r="H2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F23" i="35"/>
  <c r="J33" i="39"/>
  <c r="J46" i="34"/>
  <c r="F46" i="34"/>
  <c r="J32" i="34"/>
  <c r="F32" i="34"/>
  <c r="J30" i="34"/>
  <c r="F30" i="34"/>
  <c r="H14" i="34"/>
  <c r="F14" i="34"/>
  <c r="F12" i="34"/>
  <c r="H12" i="34"/>
  <c r="F29" i="33"/>
  <c r="H29" i="33"/>
  <c r="H13" i="33"/>
  <c r="J13" i="33"/>
  <c r="AB12" i="21"/>
  <c r="W30" i="33"/>
  <c r="AZ370" i="3"/>
  <c r="AZ356" i="3"/>
  <c r="AZ324" i="3"/>
  <c r="AZ381" i="3"/>
  <c r="AZ358" i="3"/>
  <c r="AZ355" i="3"/>
  <c r="F9" i="37"/>
  <c r="S39" i="33"/>
  <c r="AC8" i="37"/>
  <c r="AC33" i="36"/>
  <c r="AB43" i="33"/>
  <c r="W23" i="37"/>
  <c r="AC23" i="37"/>
  <c r="U17" i="37"/>
  <c r="AB17" i="37"/>
  <c r="AC28" i="34"/>
  <c r="AZ550" i="3"/>
  <c r="AC14" i="21"/>
  <c r="S30" i="33"/>
  <c r="AA30" i="33"/>
  <c r="F45" i="33"/>
  <c r="U30" i="21"/>
  <c r="AB30" i="21"/>
  <c r="AC35" i="21"/>
  <c r="H39" i="37"/>
  <c r="AC27" i="35"/>
  <c r="W39" i="37"/>
  <c r="BI5" i="3"/>
  <c r="B73" i="46"/>
  <c r="C29" i="39"/>
  <c r="F9" i="21"/>
  <c r="H9" i="21"/>
  <c r="U27" i="33"/>
  <c r="AB27" i="33"/>
  <c r="J26" i="33"/>
  <c r="F26" i="33"/>
  <c r="H26" i="33"/>
  <c r="AC8" i="34"/>
  <c r="W8" i="34"/>
  <c r="F31" i="33"/>
  <c r="J31" i="33"/>
  <c r="H31" i="33"/>
  <c r="J25" i="35"/>
  <c r="F25" i="35"/>
  <c r="H25" i="35"/>
  <c r="J35" i="35"/>
  <c r="F35" i="35"/>
  <c r="H35" i="35"/>
  <c r="W10" i="36"/>
  <c r="AC10" i="36"/>
  <c r="H13" i="36"/>
  <c r="J13" i="36"/>
  <c r="F13" i="36"/>
  <c r="F26" i="37"/>
  <c r="U27" i="37"/>
  <c r="AB27" i="37"/>
  <c r="F28" i="37"/>
  <c r="J28" i="37"/>
  <c r="H28" i="37"/>
  <c r="H40" i="37"/>
  <c r="J40" i="37"/>
  <c r="BA554" i="3"/>
  <c r="AZ554" i="3"/>
  <c r="BL541" i="3"/>
  <c r="AZ541" i="3"/>
  <c r="BL534" i="3"/>
  <c r="AZ534" i="3"/>
  <c r="BL532" i="3"/>
  <c r="AZ532" i="3"/>
  <c r="BL527" i="3"/>
  <c r="AZ527" i="3"/>
  <c r="BL526" i="3"/>
  <c r="AZ526" i="3"/>
  <c r="BL525" i="3"/>
  <c r="AZ525" i="3"/>
  <c r="BL516" i="3"/>
  <c r="BA516" i="3"/>
  <c r="BA508" i="3"/>
  <c r="AZ508" i="3"/>
  <c r="BA505" i="3"/>
  <c r="AZ505" i="3"/>
  <c r="BA488" i="3"/>
  <c r="AZ488" i="3"/>
  <c r="BA487" i="3"/>
  <c r="BL20" i="3"/>
  <c r="AZ20" i="3"/>
  <c r="O8" i="1"/>
  <c r="P8" i="1"/>
  <c r="AZ392" i="3"/>
  <c r="AZ397" i="3"/>
  <c r="AZ408" i="3"/>
  <c r="AZ413" i="3"/>
  <c r="AZ424" i="3"/>
  <c r="AZ437" i="3"/>
  <c r="AZ451" i="3"/>
  <c r="AZ457" i="3"/>
  <c r="AZ470" i="3"/>
  <c r="AZ473" i="3"/>
  <c r="AZ368" i="3"/>
  <c r="AZ384" i="3"/>
  <c r="AZ386" i="3"/>
  <c r="AZ214" i="3"/>
  <c r="AZ218" i="3"/>
  <c r="AZ230" i="3"/>
  <c r="AZ234" i="3"/>
  <c r="AZ246" i="3"/>
  <c r="AZ250" i="3"/>
  <c r="G540" i="3"/>
  <c r="G516" i="3"/>
  <c r="G504" i="3"/>
  <c r="G496" i="3"/>
  <c r="AZ242" i="3"/>
  <c r="A30" i="64"/>
  <c r="A30" i="51"/>
  <c r="B22" i="63"/>
  <c r="AZ25" i="3"/>
  <c r="AZ30" i="3"/>
  <c r="AZ41" i="3"/>
  <c r="AZ46" i="3"/>
  <c r="AZ57" i="3"/>
  <c r="AZ62" i="3"/>
  <c r="AZ65" i="3"/>
  <c r="AZ68" i="3"/>
  <c r="AZ75" i="3"/>
  <c r="AZ81" i="3"/>
  <c r="AZ85" i="3"/>
  <c r="AZ259" i="3"/>
  <c r="AZ264" i="3"/>
  <c r="AZ271" i="3"/>
  <c r="AZ275" i="3"/>
  <c r="AZ287" i="3"/>
  <c r="AZ291" i="3"/>
  <c r="AZ113" i="3"/>
  <c r="AZ116" i="3"/>
  <c r="AZ129" i="3"/>
  <c r="AZ132" i="3"/>
  <c r="AZ87" i="3"/>
  <c r="AZ89" i="3"/>
  <c r="AZ93" i="3"/>
  <c r="C53" i="59"/>
  <c r="D53" i="59"/>
  <c r="D54" i="59"/>
  <c r="I21" i="57"/>
  <c r="D1" i="57"/>
  <c r="E10" i="57"/>
  <c r="B54" i="46"/>
  <c r="C27" i="40"/>
  <c r="S27" i="40"/>
  <c r="S21" i="34"/>
  <c r="T27" i="59"/>
  <c r="C23" i="59"/>
  <c r="C35" i="59"/>
  <c r="C57" i="59"/>
  <c r="D57" i="59"/>
  <c r="C61" i="59"/>
  <c r="D61" i="59"/>
  <c r="C49" i="59"/>
  <c r="D50" i="59"/>
  <c r="D33" i="59"/>
  <c r="E13" i="59"/>
  <c r="E14" i="59"/>
  <c r="E15" i="59"/>
  <c r="U15" i="59"/>
  <c r="C17" i="59"/>
  <c r="Y16" i="59"/>
  <c r="Z16" i="59"/>
  <c r="Y8" i="59"/>
  <c r="Z8" i="59"/>
  <c r="Y10" i="59"/>
  <c r="Z10" i="59"/>
  <c r="Y3" i="59"/>
  <c r="Z3" i="59"/>
  <c r="B23" i="59"/>
  <c r="S23" i="59"/>
  <c r="AF12" i="46"/>
  <c r="C14" i="59"/>
  <c r="D13" i="59"/>
  <c r="AA20" i="59"/>
  <c r="E21" i="59"/>
  <c r="E22" i="59"/>
  <c r="E23" i="59"/>
  <c r="U23" i="59"/>
  <c r="AB22" i="59"/>
  <c r="AB8" i="59"/>
  <c r="P50" i="59"/>
  <c r="E49" i="59"/>
  <c r="T55" i="59"/>
  <c r="D55" i="59"/>
  <c r="T63" i="59"/>
  <c r="D63" i="59"/>
  <c r="B11" i="59"/>
  <c r="X6" i="59"/>
  <c r="X8" i="59"/>
  <c r="X10" i="59"/>
  <c r="X7" i="59"/>
  <c r="X9" i="59"/>
  <c r="AA3" i="59"/>
  <c r="AA9" i="59"/>
  <c r="AA11" i="59"/>
  <c r="AA7" i="59"/>
  <c r="E11" i="59"/>
  <c r="AA8" i="59"/>
  <c r="A28" i="64"/>
  <c r="AJ10" i="46"/>
  <c r="AJ12" i="46"/>
  <c r="AH10" i="46"/>
  <c r="AH12" i="46"/>
  <c r="AH13" i="46"/>
  <c r="AD10" i="46"/>
  <c r="AD12" i="46"/>
  <c r="AD13" i="46"/>
  <c r="AB10" i="46"/>
  <c r="AB12" i="46"/>
  <c r="AB13" i="46"/>
  <c r="Y12" i="59"/>
  <c r="Z12" i="59"/>
  <c r="AB12" i="59"/>
  <c r="F13" i="59"/>
  <c r="F14" i="59"/>
  <c r="F15" i="59"/>
  <c r="V15" i="59"/>
  <c r="AB3" i="59"/>
  <c r="AB9" i="59"/>
  <c r="Y13" i="59"/>
  <c r="Z13" i="59"/>
  <c r="AB13" i="59"/>
  <c r="Y14" i="59"/>
  <c r="Z14" i="59"/>
  <c r="AB14" i="59"/>
  <c r="Y15" i="59"/>
  <c r="Z15" i="59"/>
  <c r="AB15" i="59"/>
  <c r="X16" i="59"/>
  <c r="B17" i="59"/>
  <c r="B18" i="59"/>
  <c r="B19" i="59"/>
  <c r="S19" i="59"/>
  <c r="AA16" i="59"/>
  <c r="AB17" i="59"/>
  <c r="AB19" i="59"/>
  <c r="X20" i="59"/>
  <c r="F21" i="59"/>
  <c r="F22" i="59"/>
  <c r="F23" i="59"/>
  <c r="V23" i="59"/>
  <c r="AB20" i="59"/>
  <c r="AB21" i="59"/>
  <c r="Q49" i="59"/>
  <c r="Q48" i="59"/>
  <c r="D11" i="59"/>
  <c r="T11" i="59"/>
  <c r="C10" i="59"/>
  <c r="F10" i="59"/>
  <c r="F9" i="59"/>
  <c r="O76" i="9"/>
  <c r="K76" i="9"/>
  <c r="K77" i="9"/>
  <c r="K79" i="9"/>
  <c r="K81" i="9"/>
  <c r="X5" i="59"/>
  <c r="Y6" i="59"/>
  <c r="Z6" i="59"/>
  <c r="Y7" i="59"/>
  <c r="Z7" i="59"/>
  <c r="AB6" i="59"/>
  <c r="AB7" i="59"/>
  <c r="AB5" i="59"/>
  <c r="X12" i="59"/>
  <c r="AA13" i="59"/>
  <c r="X14" i="59"/>
  <c r="AA15" i="59"/>
  <c r="AB16" i="59"/>
  <c r="Y17" i="59"/>
  <c r="Z17" i="59"/>
  <c r="AB18" i="59"/>
  <c r="C5" i="59"/>
  <c r="D5" i="59"/>
  <c r="D6" i="59"/>
  <c r="F6" i="59"/>
  <c r="F5" i="59"/>
  <c r="V7" i="59"/>
  <c r="L76" i="9"/>
  <c r="J54" i="44"/>
  <c r="AA6" i="59"/>
  <c r="Y5" i="59"/>
  <c r="Z5" i="59"/>
  <c r="AA5" i="59"/>
  <c r="M19" i="44"/>
  <c r="F31" i="15"/>
  <c r="M23" i="15"/>
  <c r="F35" i="15"/>
  <c r="F26" i="15"/>
  <c r="M28" i="15"/>
  <c r="C18" i="44"/>
  <c r="F37" i="15"/>
  <c r="M9" i="15"/>
  <c r="J5" i="65"/>
  <c r="F38" i="15"/>
  <c r="C17" i="15"/>
  <c r="J7" i="65"/>
  <c r="J36" i="15"/>
  <c r="M26" i="15"/>
  <c r="M27" i="15"/>
  <c r="L47" i="15"/>
  <c r="J3" i="65"/>
  <c r="F40" i="15"/>
  <c r="L48" i="15"/>
  <c r="N6" i="65"/>
  <c r="F16" i="15"/>
  <c r="M6" i="15"/>
  <c r="F9" i="15"/>
  <c r="F8" i="15"/>
  <c r="F42" i="15"/>
  <c r="J15" i="15"/>
  <c r="F36" i="15"/>
  <c r="N5" i="65"/>
  <c r="F7" i="15"/>
  <c r="F13" i="15"/>
  <c r="W27" i="39"/>
  <c r="AA36" i="39"/>
  <c r="S36" i="39"/>
  <c r="S27" i="39"/>
  <c r="F68" i="68"/>
  <c r="AA34" i="39"/>
  <c r="S34" i="39"/>
  <c r="U27" i="39"/>
  <c r="W47" i="39"/>
  <c r="AC47" i="39"/>
  <c r="G102" i="46"/>
  <c r="G107" i="46"/>
  <c r="E106" i="46"/>
  <c r="E109" i="46"/>
  <c r="E102" i="46"/>
  <c r="E103" i="46"/>
  <c r="L107" i="46"/>
  <c r="AF13" i="46"/>
  <c r="L104" i="46"/>
  <c r="L103" i="46"/>
  <c r="AZ252" i="3"/>
  <c r="AZ571" i="3"/>
  <c r="K107" i="46"/>
  <c r="K102" i="46"/>
  <c r="G104" i="46"/>
  <c r="G103" i="46"/>
  <c r="C104" i="46"/>
  <c r="C103" i="46"/>
  <c r="AJ13" i="46"/>
  <c r="C107" i="46"/>
  <c r="C102" i="46"/>
  <c r="C106" i="46"/>
  <c r="C109" i="46"/>
  <c r="N109" i="46"/>
  <c r="N104" i="46"/>
  <c r="N103" i="46"/>
  <c r="N106" i="46"/>
  <c r="F18" i="11"/>
  <c r="C18" i="11"/>
  <c r="F33" i="12"/>
  <c r="C34" i="12"/>
  <c r="D33" i="12"/>
  <c r="F30" i="6"/>
  <c r="F31" i="6"/>
  <c r="L47" i="44"/>
  <c r="S5" i="46"/>
  <c r="S3" i="46"/>
  <c r="S4" i="46"/>
  <c r="S7" i="46"/>
  <c r="B38" i="63"/>
  <c r="A3" i="55"/>
  <c r="B56" i="63"/>
  <c r="A25" i="64"/>
  <c r="A25" i="51"/>
  <c r="B18" i="63"/>
  <c r="G16" i="1"/>
  <c r="H12" i="39"/>
  <c r="C48" i="21"/>
  <c r="C49" i="21"/>
  <c r="B3" i="21"/>
  <c r="B2" i="21"/>
  <c r="D72" i="39"/>
  <c r="E70" i="39"/>
  <c r="J1" i="65"/>
  <c r="C27" i="15"/>
  <c r="F67" i="15"/>
  <c r="F64" i="15"/>
  <c r="L58" i="15"/>
  <c r="L59" i="15"/>
  <c r="F63" i="15"/>
  <c r="C34" i="15"/>
  <c r="F62" i="15"/>
  <c r="C61" i="15"/>
  <c r="F65" i="15"/>
  <c r="F50" i="15"/>
  <c r="C6" i="15"/>
  <c r="M7" i="15"/>
  <c r="F49" i="15"/>
  <c r="Q72" i="15"/>
  <c r="I54" i="15"/>
  <c r="L56" i="15"/>
  <c r="J57" i="15"/>
  <c r="J55" i="15"/>
  <c r="J58" i="15"/>
  <c r="Q51" i="15"/>
  <c r="J53" i="15"/>
  <c r="U11" i="59"/>
  <c r="E10" i="59"/>
  <c r="E9" i="59"/>
  <c r="B10" i="59"/>
  <c r="B9" i="59"/>
  <c r="S11" i="59"/>
  <c r="D14" i="59"/>
  <c r="C15" i="59"/>
  <c r="D35" i="59"/>
  <c r="T35" i="59"/>
  <c r="E496" i="3"/>
  <c r="AZ487" i="3"/>
  <c r="AZ516" i="3"/>
  <c r="U40" i="37"/>
  <c r="AB40" i="37"/>
  <c r="AC28" i="37"/>
  <c r="W28" i="37"/>
  <c r="AA26" i="37"/>
  <c r="S26" i="37"/>
  <c r="AC13" i="36"/>
  <c r="W13" i="36"/>
  <c r="U35" i="35"/>
  <c r="AB35" i="35"/>
  <c r="AC35" i="35"/>
  <c r="W35" i="35"/>
  <c r="S25" i="35"/>
  <c r="AA25" i="35"/>
  <c r="AB31" i="33"/>
  <c r="U31" i="33"/>
  <c r="S31" i="33"/>
  <c r="AA31" i="33"/>
  <c r="AA26" i="33"/>
  <c r="S26" i="33"/>
  <c r="AB9" i="21"/>
  <c r="U9" i="21"/>
  <c r="E12" i="6"/>
  <c r="E10" i="6"/>
  <c r="E11" i="6"/>
  <c r="E14" i="6"/>
  <c r="E15" i="6"/>
  <c r="E13" i="6"/>
  <c r="W13" i="33"/>
  <c r="AC13" i="33"/>
  <c r="AB29" i="33"/>
  <c r="U29" i="33"/>
  <c r="AB12" i="34"/>
  <c r="U12" i="34"/>
  <c r="S14" i="34"/>
  <c r="AA14" i="34"/>
  <c r="S30" i="34"/>
  <c r="AA30" i="34"/>
  <c r="AA32" i="34"/>
  <c r="S32" i="34"/>
  <c r="AA46" i="34"/>
  <c r="S46" i="34"/>
  <c r="AC33" i="39"/>
  <c r="W33" i="39"/>
  <c r="AC14" i="37"/>
  <c r="W14" i="37"/>
  <c r="U14" i="37"/>
  <c r="AB14" i="37"/>
  <c r="AC34" i="36"/>
  <c r="W34" i="36"/>
  <c r="AA24" i="36"/>
  <c r="S24" i="36"/>
  <c r="AC24" i="36"/>
  <c r="W24" i="36"/>
  <c r="AB9" i="36"/>
  <c r="U9" i="36"/>
  <c r="AB13" i="35"/>
  <c r="U13" i="35"/>
  <c r="S13" i="35"/>
  <c r="AA13" i="35"/>
  <c r="AA28" i="34"/>
  <c r="S28" i="34"/>
  <c r="U9" i="33"/>
  <c r="AB9" i="33"/>
  <c r="U45" i="21"/>
  <c r="AB45" i="21"/>
  <c r="W45" i="21"/>
  <c r="AC45" i="21"/>
  <c r="AB31" i="21"/>
  <c r="U31" i="21"/>
  <c r="S29" i="21"/>
  <c r="AA29" i="21"/>
  <c r="AC29" i="21"/>
  <c r="W29" i="21"/>
  <c r="W27" i="21"/>
  <c r="AC27" i="21"/>
  <c r="AA13" i="21"/>
  <c r="S13" i="21"/>
  <c r="U13" i="21"/>
  <c r="AB13" i="21"/>
  <c r="I102" i="46"/>
  <c r="I109" i="46"/>
  <c r="I107" i="46"/>
  <c r="I105" i="46"/>
  <c r="I103" i="46"/>
  <c r="I104" i="46"/>
  <c r="I106" i="46"/>
  <c r="M104" i="46"/>
  <c r="M103" i="46"/>
  <c r="M105" i="46"/>
  <c r="M102" i="46"/>
  <c r="M106" i="46"/>
  <c r="M107" i="46"/>
  <c r="M109" i="46"/>
  <c r="D22" i="46"/>
  <c r="AC7" i="34"/>
  <c r="V49" i="34"/>
  <c r="I49" i="34"/>
  <c r="W7" i="34"/>
  <c r="W7" i="35"/>
  <c r="AC7" i="35"/>
  <c r="V38" i="35"/>
  <c r="I38" i="35"/>
  <c r="AB7" i="36"/>
  <c r="T36" i="36"/>
  <c r="G36" i="36"/>
  <c r="U7" i="36"/>
  <c r="U7" i="37"/>
  <c r="AB7" i="37"/>
  <c r="T42" i="37"/>
  <c r="G42" i="37"/>
  <c r="I58" i="33"/>
  <c r="I65" i="40"/>
  <c r="H67" i="40"/>
  <c r="AC7" i="37"/>
  <c r="V42" i="37"/>
  <c r="I42" i="37"/>
  <c r="W7" i="37"/>
  <c r="S7" i="35"/>
  <c r="AA7" i="35"/>
  <c r="R38" i="35"/>
  <c r="S7" i="36"/>
  <c r="AA7" i="36"/>
  <c r="R36" i="36"/>
  <c r="Q63" i="44"/>
  <c r="Q76" i="44"/>
  <c r="F1" i="44"/>
  <c r="Q54" i="44"/>
  <c r="C9" i="59"/>
  <c r="D9" i="59"/>
  <c r="D10" i="59"/>
  <c r="P49" i="59"/>
  <c r="P48" i="59"/>
  <c r="C18" i="59"/>
  <c r="D17" i="59"/>
  <c r="D49" i="59"/>
  <c r="O49" i="59"/>
  <c r="O48" i="59"/>
  <c r="D23" i="59"/>
  <c r="T23" i="59"/>
  <c r="AC40" i="37"/>
  <c r="W40" i="37"/>
  <c r="U28" i="37"/>
  <c r="AB28" i="37"/>
  <c r="AA28" i="37"/>
  <c r="S28" i="37"/>
  <c r="S13" i="36"/>
  <c r="AA13" i="36"/>
  <c r="AB13" i="36"/>
  <c r="U13" i="36"/>
  <c r="S35" i="35"/>
  <c r="AA35" i="35"/>
  <c r="AB25" i="35"/>
  <c r="U25" i="35"/>
  <c r="AC25" i="35"/>
  <c r="W25" i="35"/>
  <c r="AC31" i="33"/>
  <c r="W31" i="33"/>
  <c r="U26" i="33"/>
  <c r="AB26" i="33"/>
  <c r="AC26" i="33"/>
  <c r="W26" i="33"/>
  <c r="AA9" i="21"/>
  <c r="S9" i="21"/>
  <c r="AB39" i="37"/>
  <c r="U39" i="37"/>
  <c r="S45" i="33"/>
  <c r="AA45" i="33"/>
  <c r="S9" i="37"/>
  <c r="AA9" i="37"/>
  <c r="U13" i="33"/>
  <c r="AB13" i="33"/>
  <c r="AA29" i="33"/>
  <c r="S29" i="33"/>
  <c r="S12" i="34"/>
  <c r="AA12" i="34"/>
  <c r="AB14" i="34"/>
  <c r="U14" i="34"/>
  <c r="W30" i="34"/>
  <c r="AC30" i="34"/>
  <c r="W32" i="34"/>
  <c r="AC32" i="34"/>
  <c r="AC46" i="34"/>
  <c r="W46" i="34"/>
  <c r="AA23" i="35"/>
  <c r="S23" i="35"/>
  <c r="AA14" i="37"/>
  <c r="S14" i="37"/>
  <c r="S34" i="36"/>
  <c r="AA34" i="36"/>
  <c r="AB34" i="36"/>
  <c r="U34" i="36"/>
  <c r="U24" i="36"/>
  <c r="AB24" i="36"/>
  <c r="AA9" i="36"/>
  <c r="S9" i="36"/>
  <c r="AC9" i="36"/>
  <c r="W9" i="36"/>
  <c r="AC13" i="35"/>
  <c r="W13" i="35"/>
  <c r="AB28" i="34"/>
  <c r="U28" i="34"/>
  <c r="AA9" i="33"/>
  <c r="S9" i="33"/>
  <c r="W9" i="33"/>
  <c r="AC9" i="33"/>
  <c r="AA45" i="21"/>
  <c r="S45" i="21"/>
  <c r="S31" i="21"/>
  <c r="AA31" i="21"/>
  <c r="AC31" i="21"/>
  <c r="W31" i="21"/>
  <c r="U29" i="21"/>
  <c r="AB29" i="21"/>
  <c r="AA27" i="21"/>
  <c r="S27" i="21"/>
  <c r="AB27" i="21"/>
  <c r="U27" i="21"/>
  <c r="AC13" i="21"/>
  <c r="W13" i="21"/>
  <c r="BL5" i="3"/>
  <c r="D102" i="46"/>
  <c r="D104" i="46"/>
  <c r="D109" i="46"/>
  <c r="D103" i="46"/>
  <c r="D106" i="46"/>
  <c r="D107" i="46"/>
  <c r="D105" i="46"/>
  <c r="H104" i="46"/>
  <c r="H105" i="46"/>
  <c r="H106" i="46"/>
  <c r="H109" i="46"/>
  <c r="H107" i="46"/>
  <c r="H102" i="46"/>
  <c r="H103" i="46"/>
  <c r="U7" i="34"/>
  <c r="AB7" i="34"/>
  <c r="T49" i="34"/>
  <c r="G49" i="34"/>
  <c r="AB7" i="35"/>
  <c r="T38" i="35"/>
  <c r="G38" i="35"/>
  <c r="U7" i="35"/>
  <c r="AC7" i="36"/>
  <c r="V36" i="36"/>
  <c r="I36" i="36"/>
  <c r="W7" i="36"/>
  <c r="AA7" i="37"/>
  <c r="R42" i="37"/>
  <c r="S7" i="37"/>
  <c r="C115" i="46"/>
  <c r="D113" i="46"/>
  <c r="V48" i="21"/>
  <c r="I48" i="21"/>
  <c r="F7" i="34"/>
  <c r="P17" i="46"/>
  <c r="N17" i="46"/>
  <c r="O17" i="46"/>
  <c r="M17" i="46"/>
  <c r="Q75" i="44"/>
  <c r="Q62" i="44"/>
  <c r="F58" i="15"/>
  <c r="M17" i="15"/>
  <c r="E3" i="65"/>
  <c r="C16" i="15"/>
  <c r="F24" i="69"/>
  <c r="M11" i="69"/>
  <c r="J10" i="69"/>
  <c r="J5" i="69"/>
  <c r="F11" i="69"/>
  <c r="M11" i="68"/>
  <c r="J10" i="68"/>
  <c r="J5" i="68"/>
  <c r="E540" i="3"/>
  <c r="E504" i="3"/>
  <c r="S6" i="46"/>
  <c r="S2" i="46"/>
  <c r="E30" i="6"/>
  <c r="E31" i="6"/>
  <c r="J12" i="40"/>
  <c r="J12" i="39"/>
  <c r="F12" i="39"/>
  <c r="F12" i="40"/>
  <c r="H12" i="40"/>
  <c r="AB12" i="39"/>
  <c r="U12" i="39"/>
  <c r="F70" i="39"/>
  <c r="E72" i="39"/>
  <c r="F17" i="11"/>
  <c r="C17" i="11"/>
  <c r="C19" i="11"/>
  <c r="G53" i="34"/>
  <c r="H53" i="34"/>
  <c r="G54" i="34"/>
  <c r="H54" i="34"/>
  <c r="D18" i="59"/>
  <c r="C19" i="59"/>
  <c r="R37" i="36"/>
  <c r="E36" i="36"/>
  <c r="R39" i="35"/>
  <c r="E38" i="35"/>
  <c r="J58" i="33"/>
  <c r="G40" i="36"/>
  <c r="H40" i="36"/>
  <c r="G41" i="36"/>
  <c r="H41" i="36"/>
  <c r="I53" i="34"/>
  <c r="J53" i="34"/>
  <c r="E67" i="39"/>
  <c r="E62" i="40"/>
  <c r="E63" i="39"/>
  <c r="E58" i="40"/>
  <c r="E59" i="40"/>
  <c r="E64" i="39"/>
  <c r="K26" i="6"/>
  <c r="M26" i="6"/>
  <c r="I26" i="6"/>
  <c r="S26" i="6"/>
  <c r="K24" i="6"/>
  <c r="M24" i="6"/>
  <c r="I24" i="6"/>
  <c r="S24" i="6"/>
  <c r="S23" i="6"/>
  <c r="K25" i="6"/>
  <c r="M25" i="6"/>
  <c r="I25" i="6"/>
  <c r="S25" i="6"/>
  <c r="E516" i="3"/>
  <c r="C48" i="15"/>
  <c r="F21" i="43"/>
  <c r="C23" i="43"/>
  <c r="D21" i="43"/>
  <c r="F24" i="15"/>
  <c r="C24" i="15"/>
  <c r="F26" i="44"/>
  <c r="C26" i="44"/>
  <c r="F26" i="12"/>
  <c r="C27" i="12"/>
  <c r="D26" i="12"/>
  <c r="C32" i="12"/>
  <c r="D30" i="12"/>
  <c r="J6" i="15"/>
  <c r="Q74" i="15"/>
  <c r="Q61" i="15"/>
  <c r="AA7" i="34"/>
  <c r="R49" i="34"/>
  <c r="S7" i="34"/>
  <c r="I52" i="21"/>
  <c r="J52" i="21"/>
  <c r="I53" i="21"/>
  <c r="J53" i="21"/>
  <c r="G53" i="21"/>
  <c r="H53" i="21"/>
  <c r="R43" i="37"/>
  <c r="E42" i="37"/>
  <c r="I41" i="36"/>
  <c r="J41" i="36"/>
  <c r="I40" i="36"/>
  <c r="J40" i="36"/>
  <c r="G42" i="35"/>
  <c r="H42" i="35"/>
  <c r="G43" i="35"/>
  <c r="H43" i="35"/>
  <c r="I47" i="37"/>
  <c r="J47" i="37"/>
  <c r="I46" i="37"/>
  <c r="J46" i="37"/>
  <c r="I67" i="40"/>
  <c r="J65" i="40"/>
  <c r="G47" i="37"/>
  <c r="H47" i="37"/>
  <c r="G46" i="37"/>
  <c r="H46" i="37"/>
  <c r="I43" i="35"/>
  <c r="J43" i="35"/>
  <c r="I42" i="35"/>
  <c r="J42" i="35"/>
  <c r="E60" i="40"/>
  <c r="E65" i="39"/>
  <c r="E61" i="40"/>
  <c r="E66" i="39"/>
  <c r="E16" i="6"/>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13" i="3"/>
  <c r="E561"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06" i="3"/>
  <c r="E26" i="3"/>
  <c r="E488" i="3"/>
  <c r="S6" i="3"/>
  <c r="E244" i="3"/>
  <c r="E322" i="3"/>
  <c r="E71" i="3"/>
  <c r="E511" i="3"/>
  <c r="E137" i="3"/>
  <c r="E17" i="3"/>
  <c r="E240" i="3"/>
  <c r="E377" i="3"/>
  <c r="E301" i="3"/>
  <c r="E18" i="3"/>
  <c r="E382" i="3"/>
  <c r="E358" i="3"/>
  <c r="E484" i="3"/>
  <c r="E509" i="3"/>
  <c r="E326" i="3"/>
  <c r="E20" i="3"/>
  <c r="E356" i="3"/>
  <c r="E564" i="3"/>
  <c r="E481" i="3"/>
  <c r="E297"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461" i="3"/>
  <c r="E563" i="3"/>
  <c r="E138" i="3"/>
  <c r="E254" i="3"/>
  <c r="E328" i="3"/>
  <c r="E112" i="3"/>
  <c r="E519" i="3"/>
  <c r="E341" i="3"/>
  <c r="E155" i="3"/>
  <c r="E268" i="3"/>
  <c r="E252" i="3"/>
  <c r="E316" i="3"/>
  <c r="E346" i="3"/>
  <c r="E175" i="3"/>
  <c r="E544" i="3"/>
  <c r="E318" i="3"/>
  <c r="E541" i="3"/>
  <c r="E565" i="3"/>
  <c r="E523" i="3"/>
  <c r="E380" i="3"/>
  <c r="E557" i="3"/>
  <c r="E503" i="3"/>
  <c r="E13" i="3"/>
  <c r="D15" i="59"/>
  <c r="T15" i="59"/>
  <c r="F1" i="15"/>
  <c r="Q53" i="15"/>
  <c r="F11" i="15"/>
  <c r="F13" i="44"/>
  <c r="C12" i="44"/>
  <c r="C7" i="44"/>
  <c r="M11" i="15"/>
  <c r="J10" i="15"/>
  <c r="M13" i="44"/>
  <c r="J12" i="44"/>
  <c r="J7" i="44"/>
  <c r="Q75" i="15"/>
  <c r="Q62" i="15"/>
  <c r="AE7" i="1"/>
  <c r="F41" i="69"/>
  <c r="F68" i="69"/>
  <c r="C52" i="69"/>
  <c r="C47" i="69"/>
  <c r="C10" i="69"/>
  <c r="C5" i="69"/>
  <c r="C24" i="69"/>
  <c r="J24" i="69"/>
  <c r="J18" i="69"/>
  <c r="J26" i="69"/>
  <c r="J29" i="69"/>
  <c r="C52" i="68"/>
  <c r="C47" i="68"/>
  <c r="J24" i="68"/>
  <c r="J18" i="68"/>
  <c r="J26" i="68"/>
  <c r="J29" i="68"/>
  <c r="S22" i="6"/>
  <c r="S20" i="6"/>
  <c r="S21" i="6"/>
  <c r="H6" i="3"/>
  <c r="AC6" i="3"/>
  <c r="K16" i="1"/>
  <c r="S12" i="40"/>
  <c r="AA12" i="40"/>
  <c r="W12" i="39"/>
  <c r="AC12" i="39"/>
  <c r="AB12" i="40"/>
  <c r="U12" i="40"/>
  <c r="AA12" i="39"/>
  <c r="S12" i="39"/>
  <c r="AC12" i="40"/>
  <c r="W12" i="40"/>
  <c r="F72" i="39"/>
  <c r="G70" i="39"/>
  <c r="C10" i="15"/>
  <c r="C5" i="15"/>
  <c r="C52" i="15"/>
  <c r="C47" i="15"/>
  <c r="C42" i="37"/>
  <c r="C43" i="37"/>
  <c r="B3" i="37"/>
  <c r="B2" i="37"/>
  <c r="J5" i="15"/>
  <c r="K27" i="6"/>
  <c r="M19" i="6"/>
  <c r="C38" i="35"/>
  <c r="C39" i="35"/>
  <c r="B3" i="35"/>
  <c r="B2" i="35"/>
  <c r="C37" i="36"/>
  <c r="B3" i="36"/>
  <c r="B2" i="36"/>
  <c r="C36" i="36"/>
  <c r="C21" i="4"/>
  <c r="O5" i="54"/>
  <c r="B45" i="63"/>
  <c r="D10" i="11"/>
  <c r="D46" i="9"/>
  <c r="D16" i="43"/>
  <c r="C16" i="43"/>
  <c r="L38" i="9"/>
  <c r="B14" i="66"/>
  <c r="B1" i="66"/>
  <c r="D16" i="12"/>
  <c r="E6" i="6"/>
  <c r="D45" i="9"/>
  <c r="J26" i="44"/>
  <c r="J28" i="44"/>
  <c r="J31" i="44"/>
  <c r="J20" i="44"/>
  <c r="C40" i="44"/>
  <c r="C34" i="44"/>
  <c r="K65" i="40"/>
  <c r="J67" i="40"/>
  <c r="E46" i="37"/>
  <c r="F46" i="37"/>
  <c r="E47" i="37"/>
  <c r="F47" i="37"/>
  <c r="R50" i="34"/>
  <c r="E49" i="34"/>
  <c r="K58" i="33"/>
  <c r="E43" i="35"/>
  <c r="F43" i="35"/>
  <c r="E42" i="35"/>
  <c r="F42" i="35"/>
  <c r="E40" i="36"/>
  <c r="F40" i="36"/>
  <c r="E41" i="36"/>
  <c r="F41" i="36"/>
  <c r="D19" i="59"/>
  <c r="M20" i="46"/>
  <c r="C19" i="46"/>
  <c r="T19" i="5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20" i="11"/>
  <c r="C21" i="11"/>
  <c r="C22" i="11"/>
  <c r="C23" i="11"/>
  <c r="B2" i="11"/>
  <c r="F41" i="15"/>
  <c r="L52" i="44"/>
  <c r="F68" i="15"/>
  <c r="C65" i="69"/>
  <c r="C60" i="69"/>
  <c r="C59" i="69"/>
  <c r="C33" i="69"/>
  <c r="C32" i="69"/>
  <c r="C38" i="69"/>
  <c r="C59" i="68"/>
  <c r="C65" i="68"/>
  <c r="E6" i="3"/>
  <c r="O14" i="1"/>
  <c r="T12" i="1"/>
  <c r="M16" i="1"/>
  <c r="T7" i="1"/>
  <c r="T11" i="1"/>
  <c r="T13" i="1"/>
  <c r="T8" i="1"/>
  <c r="T6" i="1"/>
  <c r="G72" i="39"/>
  <c r="H70" i="39"/>
  <c r="Q69" i="44"/>
  <c r="L58" i="44"/>
  <c r="L61" i="44"/>
  <c r="C35" i="46"/>
  <c r="C36" i="46"/>
  <c r="C34" i="46"/>
  <c r="C33" i="46"/>
  <c r="C37" i="46"/>
  <c r="C29" i="46"/>
  <c r="T4" i="46"/>
  <c r="V4" i="46"/>
  <c r="T15" i="46"/>
  <c r="V15" i="46"/>
  <c r="T11" i="46"/>
  <c r="V11" i="46"/>
  <c r="T5" i="46"/>
  <c r="V5" i="46"/>
  <c r="T14" i="46"/>
  <c r="V14" i="46"/>
  <c r="T10" i="46"/>
  <c r="V10" i="46"/>
  <c r="T6" i="46"/>
  <c r="V6" i="46"/>
  <c r="T7" i="46"/>
  <c r="V7" i="46"/>
  <c r="C39" i="46"/>
  <c r="C38" i="46"/>
  <c r="T3" i="46"/>
  <c r="V3" i="46"/>
  <c r="T13" i="46"/>
  <c r="V13" i="46"/>
  <c r="T9" i="46"/>
  <c r="V9" i="46"/>
  <c r="T16" i="46"/>
  <c r="V16" i="46"/>
  <c r="T12" i="46"/>
  <c r="V12" i="46"/>
  <c r="T8" i="46"/>
  <c r="V8" i="46"/>
  <c r="T2" i="46"/>
  <c r="V2" i="46"/>
  <c r="B4" i="11"/>
  <c r="B3" i="11"/>
  <c r="B5" i="11"/>
  <c r="E54" i="34"/>
  <c r="F54" i="34"/>
  <c r="E53" i="34"/>
  <c r="F53" i="34"/>
  <c r="I54" i="34"/>
  <c r="J54" i="34"/>
  <c r="K67" i="40"/>
  <c r="L65" i="40"/>
  <c r="E63" i="40"/>
  <c r="K38" i="9"/>
  <c r="C14" i="66"/>
  <c r="B2" i="66"/>
  <c r="D24" i="6"/>
  <c r="D26" i="6"/>
  <c r="D11" i="6"/>
  <c r="D12" i="6"/>
  <c r="H25" i="6"/>
  <c r="D9" i="6"/>
  <c r="D5" i="6"/>
  <c r="D29" i="6"/>
  <c r="D15" i="6"/>
  <c r="H26" i="6"/>
  <c r="F46" i="9"/>
  <c r="E68" i="39"/>
  <c r="D19" i="6"/>
  <c r="D25" i="6"/>
  <c r="D13" i="6"/>
  <c r="H24" i="6"/>
  <c r="D28" i="6"/>
  <c r="D30" i="6"/>
  <c r="D8" i="6"/>
  <c r="C22" i="4"/>
  <c r="D10" i="6"/>
  <c r="D6" i="6"/>
  <c r="D14" i="6"/>
  <c r="E46" i="9"/>
  <c r="F45" i="9"/>
  <c r="E45" i="9"/>
  <c r="L58" i="33"/>
  <c r="C65" i="15"/>
  <c r="C59" i="15"/>
  <c r="C50" i="34"/>
  <c r="B3" i="34"/>
  <c r="B2" i="34"/>
  <c r="C49" i="34"/>
  <c r="Q49" i="44"/>
  <c r="Q55" i="44"/>
  <c r="Q58" i="44"/>
  <c r="Q67" i="44"/>
  <c r="D13" i="11"/>
  <c r="C13" i="11"/>
  <c r="D22" i="12"/>
  <c r="C22" i="12"/>
  <c r="C20" i="12"/>
  <c r="C8" i="66"/>
  <c r="C7" i="66"/>
  <c r="I19" i="6"/>
  <c r="M27" i="6"/>
  <c r="J24" i="15"/>
  <c r="J18" i="15"/>
  <c r="J26" i="15"/>
  <c r="J29" i="15"/>
  <c r="C38" i="15"/>
  <c r="C32" i="15"/>
  <c r="D19" i="12"/>
  <c r="C19" i="12"/>
  <c r="C16" i="12"/>
  <c r="C14" i="15"/>
  <c r="C14" i="69"/>
  <c r="C16" i="44"/>
  <c r="C18" i="69"/>
  <c r="C15" i="69"/>
  <c r="C31" i="69"/>
  <c r="C58" i="69"/>
  <c r="C60" i="68"/>
  <c r="C58" i="68"/>
  <c r="L46" i="68"/>
  <c r="D16" i="6"/>
  <c r="C18" i="15"/>
  <c r="C15" i="15"/>
  <c r="C20" i="44"/>
  <c r="C17" i="44"/>
  <c r="T16" i="1"/>
  <c r="L16" i="1"/>
  <c r="C13" i="43"/>
  <c r="N16" i="1"/>
  <c r="C29" i="43"/>
  <c r="O16" i="1"/>
  <c r="P14" i="1"/>
  <c r="P16" i="1"/>
  <c r="C13" i="12"/>
  <c r="R25" i="6"/>
  <c r="I70" i="39"/>
  <c r="H72" i="39"/>
  <c r="S19" i="6"/>
  <c r="S27" i="6"/>
  <c r="I27" i="6"/>
  <c r="R24" i="6"/>
  <c r="H19" i="6"/>
  <c r="H27" i="6"/>
  <c r="L67" i="40"/>
  <c r="M65" i="40"/>
  <c r="G39" i="46"/>
  <c r="I39" i="46"/>
  <c r="E39" i="46"/>
  <c r="G37" i="46"/>
  <c r="I37" i="46"/>
  <c r="E37" i="46"/>
  <c r="G34" i="46"/>
  <c r="I34" i="46"/>
  <c r="E34" i="46"/>
  <c r="G35" i="46"/>
  <c r="I35" i="46"/>
  <c r="E35" i="46"/>
  <c r="M58" i="33"/>
  <c r="A6" i="51"/>
  <c r="B7" i="63"/>
  <c r="A20" i="64"/>
  <c r="A20" i="51"/>
  <c r="B15" i="63"/>
  <c r="N5" i="54"/>
  <c r="B43" i="63"/>
  <c r="A6" i="64"/>
  <c r="D27" i="6"/>
  <c r="D31" i="6"/>
  <c r="R26" i="6"/>
  <c r="D8" i="66"/>
  <c r="D7" i="66"/>
  <c r="G38" i="46"/>
  <c r="I38" i="46"/>
  <c r="E38" i="46"/>
  <c r="E29" i="46"/>
  <c r="C30" i="46"/>
  <c r="E30" i="46"/>
  <c r="E33" i="46"/>
  <c r="G33" i="46"/>
  <c r="I33" i="46"/>
  <c r="G36" i="46"/>
  <c r="I36" i="46"/>
  <c r="E36" i="46"/>
  <c r="Q68" i="44"/>
  <c r="Q77" i="44"/>
  <c r="Q59" i="44"/>
  <c r="Q64" i="44"/>
  <c r="F7" i="67"/>
  <c r="C19" i="69"/>
  <c r="C19" i="15"/>
  <c r="C20" i="15"/>
  <c r="C26" i="15"/>
  <c r="C21" i="44"/>
  <c r="C22" i="44"/>
  <c r="C28" i="44"/>
  <c r="R19" i="6"/>
  <c r="C17" i="12"/>
  <c r="C14" i="12"/>
  <c r="C17" i="43"/>
  <c r="C14" i="43"/>
  <c r="I72" i="39"/>
  <c r="J70" i="39"/>
  <c r="E4" i="67"/>
  <c r="C26" i="46"/>
  <c r="I6" i="6"/>
  <c r="I5" i="6"/>
  <c r="N58" i="33"/>
  <c r="M67" i="40"/>
  <c r="N65" i="40"/>
  <c r="N67" i="40"/>
  <c r="C27" i="46"/>
  <c r="J9" i="40"/>
  <c r="E7" i="67"/>
  <c r="C20" i="69"/>
  <c r="C26" i="69"/>
  <c r="J59" i="68"/>
  <c r="J60" i="68"/>
  <c r="Q49" i="68"/>
  <c r="L57" i="68"/>
  <c r="L60" i="68"/>
  <c r="R27" i="6"/>
  <c r="R6" i="1"/>
  <c r="R16" i="1"/>
  <c r="C23" i="15"/>
  <c r="C29" i="15"/>
  <c r="C18" i="43"/>
  <c r="C19" i="43"/>
  <c r="C22" i="43"/>
  <c r="C21" i="43"/>
  <c r="C18" i="12"/>
  <c r="C25" i="44"/>
  <c r="C31" i="44"/>
  <c r="K70" i="39"/>
  <c r="J72" i="39"/>
  <c r="E3" i="67"/>
  <c r="O58" i="33"/>
  <c r="F7" i="33"/>
  <c r="H7" i="33"/>
  <c r="J7" i="33"/>
  <c r="AC9" i="40"/>
  <c r="V44" i="40"/>
  <c r="I44" i="40"/>
  <c r="W9" i="40"/>
  <c r="H9" i="40"/>
  <c r="F9" i="40"/>
  <c r="B2" i="46"/>
  <c r="B7" i="67"/>
  <c r="C23" i="69"/>
  <c r="C29" i="69"/>
  <c r="Q50" i="69"/>
  <c r="Q50" i="68"/>
  <c r="J14" i="68"/>
  <c r="C56" i="68"/>
  <c r="C63" i="68"/>
  <c r="J19" i="68"/>
  <c r="J17" i="68"/>
  <c r="Q67" i="68"/>
  <c r="Q58" i="68"/>
  <c r="C13" i="15"/>
  <c r="C33" i="15"/>
  <c r="C31" i="15"/>
  <c r="C36" i="15"/>
  <c r="C56" i="15"/>
  <c r="J14" i="15"/>
  <c r="J59" i="15"/>
  <c r="J60" i="15"/>
  <c r="J19" i="15"/>
  <c r="J17" i="15"/>
  <c r="Q50" i="15"/>
  <c r="C23" i="12"/>
  <c r="C35" i="44"/>
  <c r="C33" i="44"/>
  <c r="J16" i="44"/>
  <c r="C38" i="44"/>
  <c r="C15" i="44"/>
  <c r="J21" i="44"/>
  <c r="J19" i="44"/>
  <c r="Q51" i="44"/>
  <c r="C25" i="43"/>
  <c r="C24" i="43"/>
  <c r="C28" i="43"/>
  <c r="C30" i="43"/>
  <c r="C32" i="43"/>
  <c r="B2" i="43"/>
  <c r="K72" i="39"/>
  <c r="L70" i="39"/>
  <c r="B2" i="67"/>
  <c r="AB9" i="40"/>
  <c r="T44" i="40"/>
  <c r="G44" i="40"/>
  <c r="U9" i="40"/>
  <c r="I48" i="40"/>
  <c r="J48" i="40"/>
  <c r="U7" i="33"/>
  <c r="AB7" i="33"/>
  <c r="T48" i="33"/>
  <c r="G48" i="33"/>
  <c r="B3" i="46"/>
  <c r="D4" i="46"/>
  <c r="B4" i="46"/>
  <c r="S9" i="40"/>
  <c r="AA9" i="40"/>
  <c r="R44" i="40"/>
  <c r="W7" i="33"/>
  <c r="AC7" i="33"/>
  <c r="V48" i="33"/>
  <c r="I48" i="33"/>
  <c r="S7" i="33"/>
  <c r="AA7" i="33"/>
  <c r="R48" i="33"/>
  <c r="J19" i="69"/>
  <c r="J17" i="69"/>
  <c r="C56" i="69"/>
  <c r="C63" i="69"/>
  <c r="C13" i="69"/>
  <c r="C55" i="69"/>
  <c r="C64" i="69"/>
  <c r="J14" i="69"/>
  <c r="J22" i="69"/>
  <c r="C36" i="69"/>
  <c r="J13" i="69"/>
  <c r="J23" i="69"/>
  <c r="Q71" i="68"/>
  <c r="J35" i="68"/>
  <c r="C55" i="68"/>
  <c r="C64" i="68"/>
  <c r="C57" i="68"/>
  <c r="C66" i="68"/>
  <c r="C67" i="68"/>
  <c r="J13" i="68"/>
  <c r="J23" i="68"/>
  <c r="J22" i="68"/>
  <c r="Q49" i="15"/>
  <c r="C60" i="15"/>
  <c r="C58" i="15"/>
  <c r="C63" i="15"/>
  <c r="J13" i="15"/>
  <c r="J23" i="15"/>
  <c r="J22" i="15"/>
  <c r="C37" i="15"/>
  <c r="C30" i="15"/>
  <c r="C39" i="15"/>
  <c r="Q71" i="15"/>
  <c r="C55" i="15"/>
  <c r="C64" i="15"/>
  <c r="J35" i="15"/>
  <c r="C39" i="44"/>
  <c r="C32" i="44"/>
  <c r="C42" i="44"/>
  <c r="C43" i="44"/>
  <c r="Q72" i="44"/>
  <c r="J15" i="44"/>
  <c r="J25" i="44"/>
  <c r="J24" i="44"/>
  <c r="B3" i="43"/>
  <c r="B5" i="43"/>
  <c r="B4" i="43"/>
  <c r="M70" i="39"/>
  <c r="L72" i="39"/>
  <c r="E48" i="33"/>
  <c r="R49" i="33"/>
  <c r="I52" i="33"/>
  <c r="J52" i="33"/>
  <c r="I53" i="33"/>
  <c r="J53" i="33"/>
  <c r="R45" i="40"/>
  <c r="E44" i="40"/>
  <c r="G53" i="33"/>
  <c r="H53" i="33"/>
  <c r="G52" i="33"/>
  <c r="H52" i="33"/>
  <c r="G49" i="40"/>
  <c r="H49" i="40"/>
  <c r="G48" i="40"/>
  <c r="H48" i="40"/>
  <c r="B3" i="67"/>
  <c r="B4" i="67"/>
  <c r="L51" i="68"/>
  <c r="L51" i="15"/>
  <c r="Q71" i="69"/>
  <c r="J35" i="69"/>
  <c r="C37" i="69"/>
  <c r="C30" i="69"/>
  <c r="C39" i="69"/>
  <c r="C57" i="69"/>
  <c r="C66" i="69"/>
  <c r="C67" i="69"/>
  <c r="C70" i="69"/>
  <c r="J16" i="69"/>
  <c r="J25" i="69"/>
  <c r="J16" i="68"/>
  <c r="J25" i="68"/>
  <c r="Q68" i="68"/>
  <c r="C70" i="68"/>
  <c r="Q70" i="68"/>
  <c r="Q69" i="68"/>
  <c r="J39" i="68"/>
  <c r="J40" i="68"/>
  <c r="J39" i="15"/>
  <c r="J40" i="15"/>
  <c r="J16" i="15"/>
  <c r="J25" i="15"/>
  <c r="L57" i="15"/>
  <c r="L60" i="15"/>
  <c r="Q68" i="15"/>
  <c r="C40" i="15"/>
  <c r="Q70" i="15"/>
  <c r="Q69" i="15"/>
  <c r="C57" i="15"/>
  <c r="C66" i="15"/>
  <c r="C67" i="15"/>
  <c r="C70" i="15"/>
  <c r="J18" i="44"/>
  <c r="J27" i="44"/>
  <c r="C44" i="44"/>
  <c r="C45" i="44"/>
  <c r="B2" i="44"/>
  <c r="Q71" i="44"/>
  <c r="Q70" i="44"/>
  <c r="H9" i="39"/>
  <c r="M72" i="39"/>
  <c r="N70" i="39"/>
  <c r="N72" i="39"/>
  <c r="E48" i="40"/>
  <c r="F48" i="40"/>
  <c r="E49" i="40"/>
  <c r="F49" i="40"/>
  <c r="I49" i="40"/>
  <c r="J49" i="40"/>
  <c r="C48" i="33"/>
  <c r="C49" i="33"/>
  <c r="B3" i="33"/>
  <c r="B2" i="33"/>
  <c r="C45" i="40"/>
  <c r="C44" i="40"/>
  <c r="E53" i="33"/>
  <c r="F53" i="33"/>
  <c r="E52" i="33"/>
  <c r="F52" i="33"/>
  <c r="L51" i="69"/>
  <c r="J39" i="69"/>
  <c r="J40" i="69"/>
  <c r="C40" i="69"/>
  <c r="Q57" i="69"/>
  <c r="Q63" i="69"/>
  <c r="Q68" i="69"/>
  <c r="Q70" i="69"/>
  <c r="Q69" i="69"/>
  <c r="Q57" i="68"/>
  <c r="Q63" i="68"/>
  <c r="Q66" i="68"/>
  <c r="Q76" i="68"/>
  <c r="Q48" i="68"/>
  <c r="Q54" i="68"/>
  <c r="B2" i="68"/>
  <c r="J42" i="68"/>
  <c r="J43" i="68"/>
  <c r="C46" i="68"/>
  <c r="Q58" i="15"/>
  <c r="L46" i="15"/>
  <c r="B2" i="15"/>
  <c r="Q67" i="15"/>
  <c r="C46" i="15"/>
  <c r="Q66" i="15"/>
  <c r="Q57" i="15"/>
  <c r="J42" i="15"/>
  <c r="J43" i="15"/>
  <c r="Q48" i="15"/>
  <c r="Q54" i="15"/>
  <c r="C43" i="15"/>
  <c r="B5" i="44"/>
  <c r="B3" i="44"/>
  <c r="B4" i="44"/>
  <c r="F9" i="39"/>
  <c r="J9" i="39"/>
  <c r="U9" i="39"/>
  <c r="AB9" i="39"/>
  <c r="T49" i="39"/>
  <c r="G49" i="39"/>
  <c r="B55" i="40"/>
  <c r="F55" i="40"/>
  <c r="B61" i="40"/>
  <c r="F61" i="40"/>
  <c r="B57" i="40"/>
  <c r="F57" i="40"/>
  <c r="B54" i="40"/>
  <c r="F54" i="40"/>
  <c r="B60" i="40"/>
  <c r="F60" i="40"/>
  <c r="B53" i="40"/>
  <c r="F53" i="40"/>
  <c r="B59" i="40"/>
  <c r="F59" i="40"/>
  <c r="B56" i="40"/>
  <c r="F56" i="40"/>
  <c r="B62" i="40"/>
  <c r="F62" i="40"/>
  <c r="B58" i="40"/>
  <c r="F58" i="40"/>
  <c r="F63" i="40"/>
  <c r="B2" i="40"/>
  <c r="Q76" i="15"/>
  <c r="Q48" i="69"/>
  <c r="Q54" i="69"/>
  <c r="C46" i="69"/>
  <c r="J42" i="69"/>
  <c r="J43" i="69"/>
  <c r="C43" i="69"/>
  <c r="B2" i="69"/>
  <c r="E10" i="12"/>
  <c r="Q66" i="69"/>
  <c r="Q76" i="69"/>
  <c r="B3" i="69"/>
  <c r="E8" i="12"/>
  <c r="B3" i="68"/>
  <c r="F8" i="12"/>
  <c r="F10" i="12"/>
  <c r="B3" i="15"/>
  <c r="D8" i="12"/>
  <c r="D10" i="12"/>
  <c r="Q63" i="15"/>
  <c r="G53" i="39"/>
  <c r="H53" i="39"/>
  <c r="AC9" i="39"/>
  <c r="V49" i="39"/>
  <c r="I49" i="39"/>
  <c r="W9" i="39"/>
  <c r="S9" i="39"/>
  <c r="AA9" i="39"/>
  <c r="R49" i="39"/>
  <c r="B4" i="40"/>
  <c r="B5" i="40"/>
  <c r="B3" i="40"/>
  <c r="C6" i="12"/>
  <c r="C29" i="12"/>
  <c r="R50" i="39"/>
  <c r="E49" i="39"/>
  <c r="I54" i="39"/>
  <c r="J54" i="39"/>
  <c r="I53" i="39"/>
  <c r="J53" i="39"/>
  <c r="G54" i="39"/>
  <c r="H54" i="39"/>
  <c r="C24" i="12"/>
  <c r="C35" i="12"/>
  <c r="C33" i="12"/>
  <c r="E53" i="39"/>
  <c r="F53" i="39"/>
  <c r="E54" i="39"/>
  <c r="F54" i="39"/>
  <c r="C50" i="39"/>
  <c r="C49" i="39"/>
  <c r="C28" i="12"/>
  <c r="C26" i="12"/>
  <c r="C31" i="12"/>
  <c r="C30" i="12"/>
  <c r="C36" i="12"/>
  <c r="B2" i="12"/>
  <c r="B64" i="39"/>
  <c r="F64" i="39"/>
  <c r="B65" i="39"/>
  <c r="F65" i="39"/>
  <c r="B58" i="39"/>
  <c r="F58" i="39"/>
  <c r="B67" i="39"/>
  <c r="F67" i="39"/>
  <c r="B66" i="39"/>
  <c r="F66" i="39"/>
  <c r="B61" i="39"/>
  <c r="F61" i="39"/>
  <c r="B59" i="39"/>
  <c r="F59" i="39"/>
  <c r="B63" i="39"/>
  <c r="F63" i="39"/>
  <c r="B60" i="39"/>
  <c r="F60" i="39"/>
  <c r="B62" i="39"/>
  <c r="F62" i="39"/>
  <c r="D19" i="9"/>
  <c r="F68" i="39"/>
  <c r="B2" i="39"/>
  <c r="B3" i="39"/>
  <c r="L44" i="9"/>
  <c r="B5" i="12"/>
  <c r="B4" i="12"/>
  <c r="B3" i="12"/>
  <c r="C20" i="9"/>
  <c r="D21" i="9"/>
  <c r="C19" i="9"/>
  <c r="D20" i="9"/>
  <c r="B5" i="39"/>
  <c r="L43" i="9"/>
  <c r="D22" i="9"/>
  <c r="G19" i="9"/>
  <c r="N43" i="9"/>
  <c r="B4" i="39"/>
  <c r="G20" i="9"/>
  <c r="C21" i="9"/>
  <c r="C32" i="9"/>
  <c r="C42" i="9"/>
  <c r="G22" i="9"/>
  <c r="G21" i="9"/>
  <c r="C33" i="9"/>
  <c r="N38" i="9"/>
  <c r="K28" i="9"/>
  <c r="C34" i="9"/>
  <c r="M38" i="9"/>
  <c r="K27" i="9"/>
  <c r="O43" i="9"/>
  <c r="C35" i="9"/>
  <c r="F42" i="9"/>
  <c r="O38" i="9"/>
  <c r="K26" i="9"/>
  <c r="C44" i="9"/>
  <c r="N68" i="9"/>
  <c r="D63" i="9"/>
  <c r="D14" i="66"/>
  <c r="R5" i="54"/>
  <c r="B48" i="63"/>
  <c r="E42" i="9"/>
  <c r="P5" i="54"/>
  <c r="B46" i="63"/>
  <c r="K25" i="9"/>
  <c r="D42" i="9"/>
  <c r="Q5" i="54"/>
  <c r="B47" i="63"/>
  <c r="D71" i="9"/>
  <c r="D66" i="9"/>
  <c r="N72" i="9"/>
  <c r="D70" i="9"/>
  <c r="C103" i="9"/>
  <c r="C96" i="9"/>
  <c r="C91" i="9"/>
  <c r="C111" i="9"/>
  <c r="C104" i="9"/>
  <c r="D77" i="9"/>
  <c r="N75" i="9"/>
  <c r="C82" i="9"/>
  <c r="C81" i="9"/>
  <c r="C85" i="9"/>
  <c r="C86" i="9"/>
  <c r="D72" i="9"/>
  <c r="C90" i="9"/>
  <c r="G14" i="66"/>
  <c r="B6" i="66"/>
  <c r="N69" i="9"/>
  <c r="O39" i="9"/>
  <c r="D44" i="9"/>
  <c r="E44" i="9"/>
  <c r="F44" i="9"/>
  <c r="E14" i="66"/>
  <c r="B5" i="66"/>
  <c r="F14" i="66"/>
  <c r="C97" i="9"/>
  <c r="C98" i="9"/>
  <c r="E98" i="9"/>
  <c r="E99" i="9"/>
  <c r="D5" i="66"/>
  <c r="C5" i="66"/>
  <c r="M86" i="9"/>
  <c r="N86" i="9"/>
  <c r="M88" i="9"/>
  <c r="N88" i="9"/>
  <c r="M85" i="9"/>
  <c r="N85" i="9"/>
  <c r="M84" i="9"/>
  <c r="N84" i="9"/>
  <c r="M87" i="9"/>
  <c r="N87" i="9"/>
  <c r="M83" i="9"/>
  <c r="N83" i="9"/>
  <c r="R6" i="54"/>
  <c r="B50" i="63"/>
  <c r="K29" i="9"/>
  <c r="K30" i="9"/>
  <c r="C6" i="66"/>
  <c r="D6" i="66"/>
  <c r="C113" i="9"/>
  <c r="C99" i="9"/>
  <c r="N89" i="9"/>
  <c r="O89" i="9"/>
  <c r="C114" i="9"/>
  <c r="E114" i="9"/>
  <c r="E115" i="9"/>
  <c r="C115" i="9"/>
  <c r="D76" i="9"/>
  <c r="D74" i="9"/>
  <c r="N74" i="9"/>
  <c r="O77" i="9"/>
  <c r="Q77" i="9"/>
  <c r="O78"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<sst xmlns="http://schemas.openxmlformats.org/spreadsheetml/2006/main" count="8161" uniqueCount="3082">
  <si>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</si>
  <si>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</si>
  <si>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</si>
  <si>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</si>
  <si>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</si>
  <si>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</si>
  <si>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</si>
  <si>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</si>
  <si>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</si>
  <si>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</si>
  <si>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</si>
  <si>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</si>
  <si>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</si>
  <si>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</si>
  <si>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</si>
  <si>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</si>
  <si>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</si>
  <si>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</si>
  <si>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</si>
  <si>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</si>
  <si>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</si>
  <si>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</si>
  <si>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</si>
  <si>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</si>
  <si>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</si>
  <si>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</si>
  <si>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</si>
  <si>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</si>
  <si>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</si>
  <si>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</si>
  <si>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</si>
  <si>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</si>
  <si>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</si>
  <si>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</si>
  <si>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</si>
  <si>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</si>
  <si>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</si>
  <si>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</si>
  <si>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</si>
  <si>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</si>
  <si>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</si>
  <si>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</si>
  <si>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</si>
  <si>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</si>
  <si>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</si>
  <si>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</si>
  <si>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</si>
  <si>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</si>
  <si>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</si>
  <si>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</si>
  <si>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</si>
  <si>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</si>
  <si>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</si>
  <si>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</si>
  <si>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</si>
  <si>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</si>
  <si>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</si>
  <si>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</si>
  <si>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</si>
  <si>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</si>
  <si>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</si>
  <si>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</si>
  <si>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</si>
  <si>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</si>
  <si>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</si>
  <si>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</si>
  <si>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</si>
  <si>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</si>
  <si>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</si>
  <si>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</si>
  <si>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</si>
  <si>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</si>
  <si>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</si>
  <si>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</si>
  <si>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</si>
  <si>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</si>
  <si>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</si>
  <si>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</si>
  <si>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</si>
  <si>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</si>
  <si>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</si>
  <si>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</si>
  <si>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</si>
  <si>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</si>
  <si>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</si>
  <si>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</si>
  <si>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</si>
  <si>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</si>
  <si>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</si>
  <si>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</si>
  <si>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</si>
  <si>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</si>
  <si>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</si>
  <si>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</si>
  <si>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</si>
  <si>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</si>
  <si>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</si>
  <si>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</si>
  <si>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</si>
  <si>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</si>
  <si>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</si>
  <si>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</si>
  <si>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</si>
  <si>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</si>
  <si>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</si>
  <si>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</si>
  <si>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</si>
  <si>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</si>
  <si>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</si>
  <si>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</si>
  <si>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</si>
  <si>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</si>
  <si>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</si>
  <si>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</si>
  <si>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</si>
  <si>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</si>
  <si>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</si>
  <si>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</si>
  <si>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</si>
  <si>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</si>
  <si>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</si>
  <si>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</si>
  <si>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</si>
  <si>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</si>
  <si>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</si>
  <si>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</si>
  <si>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</si>
  <si>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</si>
  <si>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</si>
  <si>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</si>
  <si>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</si>
  <si>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</si>
  <si>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</si>
  <si>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</si>
  <si>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</si>
  <si>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</si>
  <si>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</si>
  <si>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</si>
  <si>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</si>
  <si>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</si>
  <si>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</si>
  <si>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</si>
  <si>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</si>
  <si>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</si>
  <si>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</si>
  <si>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</si>
  <si>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</si>
  <si>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</si>
  <si>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</si>
  <si>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</si>
  <si>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</si>
  <si>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</si>
  <si>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</si>
  <si>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</si>
  <si>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</si>
  <si>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</si>
  <si>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</si>
  <si>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</si>
  <si>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</si>
  <si>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</si>
  <si>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</si>
  <si>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</si>
  <si>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</si>
  <si>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</si>
  <si>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</si>
  <si>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</si>
  <si>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</si>
  <si>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</si>
  <si>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</si>
  <si>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</si>
  <si>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</si>
  <si>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</si>
  <si>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</si>
  <si>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</si>
  <si>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</si>
  <si>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</si>
  <si>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</si>
  <si>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</si>
  <si>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</si>
  <si>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</si>
  <si>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</si>
  <si>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</si>
  <si>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</si>
  <si>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</si>
  <si>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</si>
  <si>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</si>
  <si>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</si>
  <si>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</si>
  <si>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</si>
  <si>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</si>
  <si>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</si>
  <si>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</si>
  <si>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</si>
  <si>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</si>
  <si>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</si>
  <si>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</si>
  <si>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</si>
  <si>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</si>
  <si>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</si>
  <si>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</si>
  <si>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</si>
  <si>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</si>
  <si>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</si>
  <si>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</si>
  <si>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</si>
  <si>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</si>
  <si>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</si>
  <si>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</si>
  <si>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</si>
  <si>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</si>
  <si>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</si>
  <si>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</si>
  <si>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</si>
  <si>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</si>
  <si>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</si>
  <si>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</si>
  <si>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</si>
  <si>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</si>
  <si>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</si>
  <si>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</si>
  <si>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</si>
  <si>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</si>
  <si>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</si>
  <si>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</si>
  <si>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</si>
  <si>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</si>
  <si>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</si>
  <si>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</si>
  <si>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</si>
  <si>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</si>
  <si>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</si>
  <si>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</si>
  <si>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</si>
  <si>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</si>
  <si>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</si>
  <si>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</si>
  <si>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</si>
  <si>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</si>
  <si>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</si>
  <si>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</si>
  <si>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</si>
  <si>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</si>
  <si>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</si>
  <si>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</si>
  <si>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</si>
  <si>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</si>
  <si>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</si>
  <si>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</si>
  <si>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</si>
  <si>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</si>
  <si>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</si>
  <si>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</si>
  <si>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</si>
  <si>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</si>
  <si>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</si>
  <si>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</si>
  <si>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</si>
  <si>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</si>
  <si>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</si>
  <si>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</si>
  <si>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</si>
  <si>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</si>
  <si>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</si>
  <si>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</si>
  <si>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</si>
  <si>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</si>
  <si>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</si>
  <si>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</si>
  <si>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</si>
  <si>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</si>
  <si>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</si>
  <si>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</si>
  <si>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</si>
  <si>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</si>
  <si>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</si>
  <si>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</si>
  <si>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</si>
  <si>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</si>
  <si>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</si>
  <si>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</si>
  <si>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</si>
  <si>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</si>
  <si>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</si>
  <si>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</si>
  <si>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</si>
  <si>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</si>
  <si>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</si>
  <si>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</si>
  <si>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</si>
  <si>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</si>
  <si>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</si>
  <si>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</si>
  <si>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</si>
  <si>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</si>
  <si>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</si>
  <si>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</si>
  <si>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</si>
  <si>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</si>
  <si>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</si>
  <si>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</si>
  <si>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</si>
  <si>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</si>
  <si>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</si>
  <si>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</si>
  <si>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</si>
  <si>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</si>
  <si>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</si>
  <si>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</si>
  <si>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</si>
  <si>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</si>
  <si>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</si>
  <si>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</si>
  <si>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</si>
  <si>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</si>
  <si>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</si>
  <si>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</si>
  <si>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</si>
  <si>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</si>
  <si>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</si>
  <si>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</si>
  <si>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</si>
  <si>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</si>
  <si>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</si>
  <si>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</si>
  <si>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</si>
  <si>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</si>
  <si>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</si>
  <si>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</si>
  <si>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</si>
  <si>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</si>
  <si>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</si>
  <si>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</si>
  <si>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</si>
  <si>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</si>
  <si>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</si>
  <si>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</si>
  <si>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</si>
  <si>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</si>
  <si>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</si>
  <si>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</si>
  <si>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</si>
  <si>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</si>
  <si>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</si>
  <si>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</si>
  <si>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</si>
  <si>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</si>
  <si>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</si>
  <si>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</si>
  <si>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</si>
  <si>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</si>
  <si>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</si>
  <si>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</si>
  <si>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</si>
  <si>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</si>
  <si>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</si>
  <si>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</si>
  <si>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</si>
  <si>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</si>
  <si>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</si>
  <si>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</si>
  <si>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</si>
  <si>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</si>
  <si>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</si>
  <si>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</si>
  <si>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</si>
  <si>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</si>
  <si>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</si>
  <si>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</si>
  <si>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</si>
  <si>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</si>
  <si>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</si>
  <si>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</si>
  <si>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</si>
  <si>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</si>
  <si>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</si>
  <si>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</si>
  <si>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</si>
  <si>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</si>
  <si>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</si>
  <si>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</si>
  <si>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</si>
  <si>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</si>
  <si>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</si>
  <si>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</si>
  <si>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</si>
  <si>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</si>
  <si>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</si>
  <si>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</si>
  <si>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</si>
  <si>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</si>
  <si>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</si>
  <si>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</si>
  <si>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</si>
  <si>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</si>
  <si>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</si>
  <si>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</si>
  <si>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</si>
  <si>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</si>
  <si>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</si>
  <si>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</si>
  <si>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</si>
  <si>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</si>
  <si>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</si>
  <si>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</si>
  <si>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</si>
  <si>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</si>
  <si>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</si>
  <si>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</si>
  <si>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</si>
  <si>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</si>
  <si>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</si>
  <si>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</si>
  <si>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</si>
  <si>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</si>
  <si>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</si>
  <si>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</si>
  <si>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</si>
  <si>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</si>
  <si>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</si>
  <si>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</si>
  <si>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</si>
  <si>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</si>
  <si>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</si>
  <si>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</si>
  <si>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</si>
  <si>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</si>
  <si>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</si>
  <si>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</si>
  <si>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</si>
  <si>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</si>
  <si>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</si>
  <si>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</si>
  <si>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</si>
  <si>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</si>
  <si>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</si>
  <si>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</si>
  <si>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</si>
  <si>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</si>
  <si>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</si>
  <si>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</si>
  <si>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</si>
  <si>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</si>
  <si>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</si>
  <si>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</si>
  <si>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</si>
  <si>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</si>
  <si>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</si>
  <si>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</si>
  <si>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</si>
  <si>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</si>
  <si>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</si>
  <si>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</si>
  <si>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</si>
  <si>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</si>
  <si>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</si>
  <si>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</si>
  <si>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</si>
  <si>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</si>
  <si>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</si>
  <si>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</si>
  <si>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</si>
  <si>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</si>
  <si>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</si>
  <si>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</si>
  <si>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</si>
  <si>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</si>
  <si>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</si>
  <si>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</si>
  <si>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</si>
  <si>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</si>
  <si>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</si>
  <si>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</si>
  <si>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</si>
  <si>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</si>
  <si>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</si>
  <si>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</si>
  <si>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</si>
  <si>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</si>
  <si>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</si>
  <si>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</si>
  <si>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</si>
  <si>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</si>
  <si>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</si>
  <si>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</si>
  <si>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</si>
  <si>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</si>
  <si>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</si>
  <si>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</si>
  <si>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</si>
  <si>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</si>
  <si>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</si>
  <si>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</si>
  <si>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</si>
  <si>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</si>
  <si>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</si>
  <si>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</si>
  <si>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</si>
  <si>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</si>
  <si>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</si>
  <si>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</si>
  <si>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</si>
  <si>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</si>
  <si>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</si>
  <si>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</si>
  <si>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</si>
  <si>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</si>
  <si>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</si>
  <si>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</si>
  <si>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</si>
  <si>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</si>
  <si>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</si>
  <si>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</si>
  <si>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</si>
  <si>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</si>
  <si>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</si>
  <si>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</si>
  <si>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</si>
  <si>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</si>
  <si>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</si>
  <si>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</si>
  <si>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</si>
  <si>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</si>
  <si>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</si>
  <si>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</si>
  <si>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</si>
  <si>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</si>
  <si>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</si>
  <si>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</si>
  <si>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</si>
  <si>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</si>
  <si>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</si>
  <si>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</si>
  <si>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</si>
  <si>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</si>
  <si>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</si>
  <si>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</si>
  <si>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</si>
  <si>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</si>
  <si>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</si>
  <si>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</si>
  <si>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</si>
  <si>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</si>
  <si>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</si>
  <si>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</si>
  <si>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</si>
  <si>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</si>
  <si>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</si>
  <si>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</si>
  <si>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</si>
  <si>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</si>
  <si>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</si>
  <si>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</si>
  <si>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</si>
  <si>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</si>
  <si>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</si>
  <si>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</si>
  <si>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</si>
  <si>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</si>
  <si>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</si>
  <si>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</si>
  <si>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</si>
  <si>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</si>
  <si>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</si>
  <si>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</si>
  <si>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</si>
  <si>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</si>
  <si>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</si>
  <si>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</si>
  <si>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</si>
  <si>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</si>
  <si>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</si>
  <si>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</si>
  <si>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</si>
  <si>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</si>
  <si>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</si>
  <si>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</si>
  <si>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</si>
  <si>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</si>
  <si>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</si>
  <si>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</si>
  <si>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</si>
  <si>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</si>
  <si>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</si>
  <si>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</si>
  <si>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</si>
  <si>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</si>
  <si>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</si>
  <si>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</si>
  <si>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</si>
  <si>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</si>
  <si>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</si>
  <si>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</si>
  <si>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</si>
  <si>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</si>
  <si>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</si>
  <si>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</si>
  <si>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</si>
  <si>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</si>
  <si>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</si>
  <si>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</si>
  <si>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</si>
  <si>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</si>
  <si>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</si>
  <si>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</si>
  <si>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</si>
  <si>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</si>
  <si>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</si>
  <si>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</si>
  <si>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</si>
  <si>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</si>
  <si>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</si>
  <si>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</si>
  <si>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</si>
  <si>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</si>
  <si>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</si>
  <si>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</si>
  <si>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</si>
  <si>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</si>
  <si>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</si>
  <si>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</si>
  <si>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</si>
  <si>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</si>
  <si>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</si>
  <si>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</si>
  <si>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</si>
  <si>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</si>
  <si>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</si>
  <si>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</si>
  <si>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</si>
  <si>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</si>
  <si>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</si>
  <si>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</si>
  <si>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</si>
  <si>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</si>
  <si>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</si>
  <si>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</si>
  <si>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</si>
  <si>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</si>
  <si>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</si>
  <si>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</si>
  <si>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</si>
  <si>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</si>
  <si>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</si>
  <si>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</si>
  <si>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</si>
  <si>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</si>
  <si>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</si>
  <si>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</si>
  <si>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</si>
  <si>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</si>
  <si>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</si>
  <si>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</si>
  <si>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</si>
  <si>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</si>
  <si>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</si>
  <si>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</si>
  <si>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</si>
  <si>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</si>
  <si>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</si>
  <si>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</si>
  <si>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</si>
  <si>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</si>
  <si>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</si>
  <si>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</si>
  <si>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</si>
  <si>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</si>
  <si>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</si>
  <si>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</si>
  <si>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</si>
  <si>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</si>
  <si>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</si>
  <si>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</si>
  <si>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</si>
  <si>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</si>
  <si>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</si>
  <si>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</si>
  <si>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</si>
  <si>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</si>
  <si>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</si>
  <si>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</si>
  <si>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</si>
  <si>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</si>
  <si>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</si>
  <si>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</si>
  <si>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</si>
  <si>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</si>
  <si>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</si>
  <si>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</si>
  <si>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</si>
  <si>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</si>
  <si>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</si>
  <si>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</si>
  <si>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</si>
  <si>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</si>
  <si>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</si>
  <si>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</si>
  <si>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</si>
  <si>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</si>
  <si>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</si>
  <si>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</si>
  <si>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</si>
  <si>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</si>
  <si>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</si>
  <si>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</si>
  <si>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</si>
  <si>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</si>
  <si>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</si>
  <si>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</si>
  <si>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</si>
  <si>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</si>
  <si>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</si>
  <si>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</si>
  <si>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</si>
  <si>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</si>
  <si>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</si>
  <si>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</si>
  <si>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</si>
  <si>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</si>
  <si>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</si>
  <si>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</si>
  <si>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</si>
  <si>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</si>
  <si>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</si>
  <si>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</si>
  <si>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</si>
  <si>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</si>
  <si>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</si>
  <si>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</si>
  <si>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</si>
  <si>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</si>
  <si>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</si>
  <si>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</si>
  <si>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</si>
  <si>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</si>
  <si>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</si>
  <si>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</si>
  <si>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</si>
  <si>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</si>
  <si>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</si>
  <si>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</si>
  <si>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</si>
  <si>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</si>
  <si>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</si>
  <si>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</si>
  <si>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</si>
  <si>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</si>
  <si>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</si>
  <si>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</si>
  <si>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</si>
  <si>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</si>
  <si>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</si>
  <si>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</si>
  <si>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</si>
  <si>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</si>
  <si>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</si>
  <si>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</si>
  <si>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</si>
  <si>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</si>
  <si>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</si>
  <si>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</si>
  <si>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</si>
  <si>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</si>
  <si>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</si>
  <si>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</si>
  <si>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</si>
  <si>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</si>
  <si>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</si>
  <si>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</si>
  <si>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</si>
  <si>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</si>
  <si>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</si>
  <si>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</si>
  <si>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</si>
  <si>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</si>
  <si>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</si>
  <si>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</si>
  <si>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</si>
  <si>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</si>
  <si>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</si>
  <si>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</si>
  <si>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</si>
  <si>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</si>
  <si>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</si>
  <si>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</si>
  <si>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</si>
  <si>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</si>
  <si>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</si>
  <si>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</si>
  <si>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</si>
  <si>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</si>
  <si>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</si>
  <si>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</si>
  <si>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</si>
  <si>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</si>
  <si>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</si>
  <si>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</si>
  <si>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</si>
  <si>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</si>
  <si>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</si>
  <si>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</si>
  <si>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</si>
  <si>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</si>
  <si>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</si>
  <si>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</si>
  <si>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</si>
  <si>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</si>
  <si>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</si>
  <si>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</si>
  <si>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</si>
  <si>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</si>
  <si>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</si>
  <si>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</si>
  <si>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</si>
  <si>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</si>
  <si>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</si>
  <si>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</si>
  <si>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</si>
  <si>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</si>
  <si>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</si>
  <si>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</si>
  <si>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</si>
  <si>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</si>
  <si>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</si>
  <si>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</si>
  <si>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</si>
  <si>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</si>
  <si>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</si>
  <si>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</si>
  <si>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</si>
  <si>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</si>
  <si>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</si>
  <si>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</si>
  <si>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</si>
  <si>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</si>
  <si>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</si>
  <si>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</si>
  <si>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</si>
  <si>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</si>
  <si>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</si>
  <si>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</si>
  <si>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</si>
  <si>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</si>
  <si>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</si>
  <si>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</si>
  <si>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</si>
  <si>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</si>
  <si>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</si>
  <si>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</si>
  <si>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</si>
  <si>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</si>
  <si>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</si>
  <si>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</si>
  <si>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</si>
  <si>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</si>
  <si>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</si>
  <si>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</si>
  <si>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</si>
  <si>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</si>
  <si>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</si>
  <si>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</si>
  <si>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</si>
  <si>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</si>
  <si>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</si>
  <si>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</si>
  <si>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</si>
  <si>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</si>
  <si>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</si>
  <si>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</si>
  <si>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</si>
  <si>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</si>
  <si>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</si>
  <si>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</si>
  <si>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</si>
  <si>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</si>
  <si>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</si>
  <si>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</si>
  <si>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</si>
  <si>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</si>
  <si>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</si>
  <si>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</si>
  <si>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</si>
  <si>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</si>
  <si>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</si>
  <si>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</si>
  <si>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</si>
  <si>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</si>
  <si>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</si>
  <si>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</si>
  <si>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</si>
  <si>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</si>
  <si>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</si>
  <si>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</si>
  <si>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</si>
  <si>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</si>
  <si>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</si>
  <si>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</si>
  <si>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</si>
  <si>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</si>
  <si>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</si>
  <si>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</si>
  <si>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</si>
  <si>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</si>
  <si>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</si>
  <si>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</si>
  <si>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</si>
  <si>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</si>
  <si>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</si>
  <si>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</si>
  <si>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</si>
  <si>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</si>
  <si>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</si>
  <si>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</si>
  <si>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</si>
  <si>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</si>
  <si>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</si>
  <si>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</si>
  <si>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</si>
  <si>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</si>
  <si>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</si>
  <si>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</si>
  <si>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</si>
  <si>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</si>
  <si>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</si>
  <si>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</si>
  <si>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</si>
  <si>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</si>
  <si>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</si>
  <si>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</si>
  <si>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</si>
  <si>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</si>
  <si>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</si>
  <si>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</si>
  <si>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</si>
  <si>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</si>
  <si>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</si>
  <si>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</si>
  <si>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</si>
  <si>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</si>
  <si>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</si>
  <si>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</si>
  <si>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</si>
  <si>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</si>
  <si>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</si>
  <si>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</si>
  <si>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</si>
  <si>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</si>
  <si>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</si>
  <si>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</si>
  <si>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</si>
  <si>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</si>
  <si>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</si>
  <si>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</si>
  <si>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</si>
  <si>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</si>
  <si>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</si>
  <si>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</si>
  <si>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</si>
  <si>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</si>
  <si>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</si>
  <si>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</si>
  <si>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</si>
  <si>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</si>
  <si>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</si>
  <si>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</si>
  <si>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</si>
  <si>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</si>
  <si>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</si>
  <si>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</si>
  <si>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</si>
  <si>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</si>
  <si>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</si>
  <si>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</si>
  <si>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</si>
  <si>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</si>
  <si>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</si>
  <si>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</si>
  <si>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</si>
  <si>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</si>
  <si>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</si>
  <si>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</si>
  <si>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</si>
  <si>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</si>
  <si>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</si>
  <si>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</si>
  <si>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</si>
  <si>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</si>
  <si>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</si>
  <si>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</si>
  <si>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</si>
  <si>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</si>
  <si>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</si>
  <si>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</si>
  <si>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</si>
  <si>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</si>
  <si>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</si>
  <si>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</si>
  <si>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</si>
  <si>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</si>
  <si>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</si>
  <si>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</si>
  <si>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</si>
  <si>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</si>
  <si>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</si>
  <si>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</si>
  <si>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</si>
  <si>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</si>
  <si>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</si>
  <si>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</si>
  <si>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</si>
  <si>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</si>
  <si>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</si>
  <si>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</si>
  <si>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</si>
  <si>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</si>
  <si>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</si>
  <si>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</si>
  <si>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</si>
  <si>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</si>
  <si>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</si>
  <si>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</si>
  <si>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</si>
  <si>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</si>
  <si>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</si>
  <si>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</si>
  <si>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</si>
  <si>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</si>
  <si>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</si>
  <si>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</si>
  <si>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</si>
  <si>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</si>
  <si>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</si>
  <si>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</si>
  <si>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</si>
  <si>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</si>
  <si>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</si>
  <si>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</si>
  <si>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</si>
  <si>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</si>
  <si>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</si>
  <si>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</si>
  <si>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</si>
  <si>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</si>
  <si>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</si>
  <si>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</si>
  <si>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</si>
  <si>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</si>
  <si>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</si>
  <si>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</si>
  <si>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</si>
  <si>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</si>
  <si>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</si>
  <si>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</si>
  <si>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</si>
  <si>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</si>
  <si>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</si>
  <si>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</si>
  <si>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</si>
  <si>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</si>
  <si>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</si>
  <si>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</si>
  <si>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</si>
  <si>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</si>
  <si>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</si>
  <si>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</si>
  <si>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</si>
  <si>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</si>
  <si>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</si>
  <si>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</si>
  <si>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</si>
  <si>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</si>
  <si>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</si>
  <si>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</si>
  <si>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</si>
  <si>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</si>
  <si>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</si>
  <si>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</si>
  <si>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</si>
  <si>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</si>
  <si>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</si>
  <si>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</si>
  <si>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</si>
  <si>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</si>
  <si>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</si>
  <si>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</si>
  <si>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</si>
  <si>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</si>
  <si>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</si>
  <si>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</si>
  <si>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</si>
  <si>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</si>
  <si>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</si>
  <si>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</si>
  <si>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</si>
  <si>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</si>
  <si>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</si>
  <si>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</si>
  <si>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</si>
  <si>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</si>
  <si>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</si>
  <si>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</si>
  <si>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</si>
  <si>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</si>
  <si>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</si>
  <si>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</si>
  <si>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</si>
  <si>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</si>
  <si>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</si>
  <si>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</si>
  <si>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</si>
  <si>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</si>
  <si>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</si>
  <si>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</si>
  <si>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</si>
  <si>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</si>
  <si>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</si>
  <si>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</si>
  <si>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</si>
  <si>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</si>
  <si>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</si>
  <si>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</si>
  <si>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</si>
  <si>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</si>
  <si>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</si>
  <si>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</si>
  <si>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</si>
  <si>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</si>
  <si>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</si>
  <si>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</si>
  <si>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</si>
  <si>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</si>
  <si>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</si>
  <si>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</si>
  <si>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</si>
  <si>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</si>
  <si>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</si>
  <si>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</si>
  <si>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</si>
  <si>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</si>
  <si>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</si>
  <si>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</si>
  <si>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</si>
  <si>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</si>
  <si>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</si>
  <si>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</si>
  <si>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</si>
  <si>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</si>
  <si>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</si>
  <si>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</si>
  <si>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</si>
  <si>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</si>
  <si>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</si>
  <si>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</si>
  <si>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</si>
  <si>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</si>
  <si>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</si>
  <si>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</si>
  <si>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</si>
  <si>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</si>
  <si>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</si>
  <si>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</si>
  <si>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</si>
  <si>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</si>
  <si>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</si>
  <si>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</si>
  <si>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</si>
  <si>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</si>
  <si>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</si>
  <si>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</si>
  <si>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</si>
  <si>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</si>
  <si>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</si>
  <si>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</si>
  <si>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</si>
  <si>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</si>
  <si>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</si>
  <si>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</si>
  <si>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</si>
  <si>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</si>
  <si>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</si>
  <si>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</si>
  <si>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</si>
  <si>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</si>
  <si>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</si>
  <si>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</si>
  <si>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</si>
  <si>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</si>
  <si>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</si>
  <si>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</si>
  <si>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</si>
  <si>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</si>
  <si>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</si>
  <si>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</si>
  <si>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</si>
  <si>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</si>
  <si>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</si>
  <si>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</si>
  <si>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</si>
  <si>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</si>
  <si>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</si>
  <si>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</si>
  <si>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</si>
  <si>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</si>
  <si>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</si>
  <si>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</si>
  <si>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</si>
  <si>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</si>
  <si>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</si>
  <si>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</si>
  <si>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</si>
  <si>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</si>
  <si>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</si>
  <si>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</si>
  <si>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</si>
  <si>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</si>
  <si>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</si>
  <si>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</si>
  <si>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</si>
  <si>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</si>
  <si>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</si>
  <si>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</si>
  <si>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</si>
  <si>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</si>
  <si>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</si>
  <si>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</si>
  <si>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</si>
  <si>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</si>
  <si>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</si>
  <si>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</si>
  <si>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</si>
  <si>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</si>
  <si>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</si>
  <si>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</si>
  <si>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</si>
  <si>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</si>
  <si>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</si>
  <si>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</si>
  <si>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</si>
  <si>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</si>
  <si>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</si>
  <si>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</si>
  <si>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</si>
  <si>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</si>
  <si>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</si>
  <si>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</si>
  <si>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</si>
  <si>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</si>
  <si>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</si>
  <si>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</si>
  <si>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</si>
  <si>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</si>
  <si>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</si>
  <si>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</si>
  <si>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</si>
  <si>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</si>
  <si>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</si>
  <si>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</si>
  <si>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</si>
  <si>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</si>
  <si>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</si>
  <si>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</si>
  <si>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</si>
  <si>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</si>
  <si>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</si>
  <si>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</si>
  <si>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</si>
  <si>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</si>
  <si>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</si>
  <si>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</si>
  <si>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</si>
  <si>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</si>
  <si>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</si>
  <si>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</si>
  <si>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</si>
  <si>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</si>
  <si>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</si>
  <si>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</si>
  <si>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</si>
  <si>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</si>
  <si>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</si>
  <si>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</si>
  <si>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</si>
  <si>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</si>
  <si>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</si>
  <si>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</si>
  <si>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</si>
  <si>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</si>
  <si>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</si>
  <si>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</si>
  <si>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</si>
  <si>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</si>
  <si>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</si>
  <si>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</si>
  <si>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</si>
  <si>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</si>
  <si>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</si>
  <si>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</si>
  <si>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</si>
  <si>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</si>
  <si>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</si>
  <si>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</si>
  <si>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</si>
  <si>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</si>
  <si>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</si>
  <si>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</si>
  <si>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</si>
  <si>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</si>
  <si>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</si>
  <si>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</si>
  <si>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</si>
  <si>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</si>
  <si>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</si>
  <si>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</si>
  <si>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</si>
  <si>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</si>
  <si>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</si>
  <si>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</si>
  <si>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</si>
  <si>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</si>
  <si>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</si>
  <si>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</si>
  <si>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</si>
  <si>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</si>
  <si>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</si>
  <si>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</si>
  <si>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</si>
  <si>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</si>
  <si>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</si>
  <si>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</si>
  <si>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</si>
  <si>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</si>
  <si>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</si>
  <si>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</si>
  <si>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</si>
  <si>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</si>
  <si>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</si>
  <si>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</si>
  <si>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</si>
  <si>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</si>
  <si>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</si>
  <si>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</si>
  <si>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</si>
  <si>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</si>
  <si>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</si>
  <si>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</si>
  <si>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</si>
  <si>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</si>
  <si>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</si>
  <si>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</si>
  <si>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</si>
  <si>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</si>
  <si>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</si>
  <si>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</si>
  <si>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</si>
  <si>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</si>
  <si>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</si>
  <si>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</si>
  <si>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</si>
  <si>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</si>
  <si>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</si>
  <si>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</si>
  <si>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</si>
  <si>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</si>
  <si>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</si>
  <si>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</si>
  <si>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</si>
  <si>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</si>
  <si>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</si>
  <si>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</si>
  <si>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</si>
  <si>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</si>
  <si>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</si>
  <si>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</si>
  <si>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</si>
  <si>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</si>
  <si>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</si>
  <si>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</si>
  <si>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</si>
  <si>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</si>
  <si>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</si>
  <si>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</si>
  <si>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</si>
  <si>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</si>
  <si>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</si>
  <si>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</si>
  <si>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</si>
  <si>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</si>
  <si>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</si>
  <si>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</si>
  <si>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</si>
  <si>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</si>
  <si>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</si>
  <si>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</si>
  <si>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</si>
  <si>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</si>
  <si>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</si>
  <si>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</si>
  <si>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</si>
  <si>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</si>
  <si>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</si>
  <si>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</si>
  <si>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</si>
  <si>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</si>
  <si>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</si>
  <si>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</si>
  <si>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</si>
  <si>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</si>
  <si>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</si>
  <si>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</si>
  <si>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</si>
  <si>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</si>
  <si>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</si>
  <si>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</si>
  <si>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</si>
  <si>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</si>
  <si>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</si>
  <si>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</si>
  <si>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</si>
  <si>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</si>
  <si>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</si>
  <si>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</si>
  <si>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</si>
  <si>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</si>
  <si>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</si>
  <si>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</si>
  <si>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</si>
  <si>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</si>
  <si>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</si>
  <si>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</si>
  <si>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</si>
  <si>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</si>
  <si>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</si>
  <si>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</si>
  <si>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</si>
  <si>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</si>
  <si>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</si>
  <si>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</si>
  <si>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</si>
  <si>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</si>
  <si>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</si>
  <si>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</si>
  <si>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</si>
  <si>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</si>
  <si>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</si>
  <si>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</si>
  <si>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</si>
  <si>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</si>
  <si>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</si>
  <si>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</si>
  <si>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</si>
  <si>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</si>
  <si>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</si>
  <si>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</si>
  <si>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</si>
  <si>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</si>
  <si>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</si>
  <si>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</si>
  <si>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</si>
  <si>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</si>
  <si>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</si>
  <si>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</si>
  <si>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</si>
  <si>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</si>
  <si>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</si>
  <si>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</si>
  <si>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</si>
  <si>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</si>
  <si>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</si>
  <si>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</si>
  <si>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</si>
  <si>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</si>
  <si>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</si>
  <si>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</si>
  <si>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</si>
  <si>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</si>
  <si>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</si>
  <si>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</si>
  <si>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</si>
  <si>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</si>
  <si>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</si>
  <si>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</si>
  <si>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</si>
  <si>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</si>
  <si>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</si>
  <si>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</si>
  <si>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</si>
  <si>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</si>
  <si>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</si>
  <si>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</si>
  <si>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</si>
  <si>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</si>
  <si>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</si>
  <si>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</si>
  <si>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</si>
  <si>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</si>
  <si>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</si>
  <si>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</si>
  <si>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</si>
  <si>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</si>
  <si>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</si>
  <si>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</si>
  <si>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</si>
  <si>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</si>
  <si>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</si>
  <si>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</si>
  <si>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</si>
  <si>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</si>
  <si>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</si>
  <si>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</si>
  <si>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</si>
  <si>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</si>
  <si>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</si>
  <si>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</si>
  <si>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</si>
  <si>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</si>
  <si>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</si>
  <si>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</si>
  <si>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</si>
  <si>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</si>
  <si>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</si>
  <si>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</si>
  <si>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</si>
  <si>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</si>
  <si>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</si>
  <si>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</si>
  <si>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</si>
  <si>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</si>
  <si>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</si>
  <si>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</si>
  <si>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</si>
  <si>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</si>
  <si>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</si>
  <si>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</si>
  <si>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</si>
  <si>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</si>
  <si>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</si>
  <si>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</si>
  <si>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</si>
  <si>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</si>
  <si>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</si>
  <si>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</si>
  <si>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</si>
  <si>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</si>
  <si>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</si>
  <si>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</si>
  <si>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</si>
  <si>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</si>
  <si>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</si>
  <si>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</si>
  <si>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</si>
  <si>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</si>
  <si>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</si>
  <si>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</si>
  <si>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</si>
  <si>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</si>
  <si>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</si>
  <si>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</si>
  <si>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</si>
  <si>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</si>
  <si>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</si>
  <si>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</si>
  <si>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</si>
  <si>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</si>
  <si>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</si>
  <si>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</si>
  <si>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</si>
  <si>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</si>
  <si>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</si>
  <si>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</si>
  <si>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</si>
  <si>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</si>
  <si>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</si>
  <si>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</si>
  <si>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</si>
  <si>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</si>
  <si>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</si>
  <si>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</si>
  <si>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</si>
  <si>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</si>
  <si>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</si>
  <si>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</si>
  <si>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</si>
  <si>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</si>
  <si>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</si>
  <si>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</si>
  <si>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</si>
  <si>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</si>
  <si>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</si>
  <si>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</si>
  <si>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</si>
  <si>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</si>
  <si>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</si>
  <si>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</si>
  <si>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</si>
  <si>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</si>
  <si>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</si>
  <si>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</si>
  <si>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</si>
  <si>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</si>
  <si>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</si>
  <si>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</si>
  <si>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</si>
  <si>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</si>
  <si>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</si>
  <si>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</si>
  <si>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</si>
  <si>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</si>
  <si>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</si>
  <si>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</si>
  <si>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</si>
  <si>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</si>
  <si>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</si>
  <si>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</si>
  <si>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</si>
  <si>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</si>
  <si>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</si>
  <si>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</si>
  <si>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</si>
  <si>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</si>
  <si>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</si>
  <si>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</si>
  <si>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</si>
  <si>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</si>
  <si>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</si>
  <si>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</si>
  <si>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</si>
  <si>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</si>
  <si>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</si>
  <si>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</si>
  <si>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</si>
  <si>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</si>
  <si>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</si>
  <si>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</si>
  <si>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</si>
  <si>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</si>
  <si>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</si>
  <si>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</si>
  <si>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</si>
  <si>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</si>
  <si>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</si>
  <si>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</si>
  <si>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</si>
  <si>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</si>
  <si>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</si>
  <si>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</si>
  <si>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</si>
  <si>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</si>
  <si>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</si>
  <si>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</si>
  <si>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</si>
  <si>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</si>
  <si>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</si>
  <si>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</si>
  <si>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</si>
  <si>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</si>
  <si>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</si>
  <si>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</si>
  <si>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</si>
  <si>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</si>
  <si>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</si>
  <si>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</si>
  <si>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</si>
  <si>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</si>
  <si>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</si>
  <si>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</si>
  <si>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</si>
  <si>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</si>
  <si>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</si>
  <si>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</si>
  <si>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</si>
  <si>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</si>
  <si>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</si>
  <si>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</si>
  <si>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</si>
  <si>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</si>
  <si>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</si>
  <si>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</si>
  <si>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</si>
  <si>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</si>
  <si>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</si>
  <si>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</si>
  <si>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</si>
  <si>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</si>
  <si>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</si>
  <si>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</si>
  <si>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</si>
  <si>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</si>
  <si>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</si>
  <si>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</si>
  <si>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</si>
  <si>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</si>
  <si>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</si>
  <si>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</si>
  <si>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</si>
  <si>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</si>
  <si>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</si>
  <si>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</si>
  <si>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</si>
  <si>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</si>
  <si>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</si>
  <si>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</si>
  <si>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</si>
  <si>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</si>
  <si>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</si>
  <si>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</si>
  <si>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</si>
  <si>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</si>
  <si>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</si>
  <si>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</si>
  <si>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</si>
  <si>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</si>
  <si>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</si>
  <si>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</si>
  <si>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</si>
  <si>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</si>
  <si>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</si>
  <si>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</si>
  <si>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</si>
  <si>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</si>
  <si>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</si>
  <si>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</si>
  <si>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</si>
  <si>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</si>
  <si>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</si>
  <si>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</si>
  <si>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</si>
  <si>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</si>
  <si>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</si>
  <si>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</si>
  <si>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</si>
  <si>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</si>
  <si>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</si>
  <si>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</si>
  <si>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</si>
  <si>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</si>
  <si>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</si>
  <si>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</si>
  <si>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</si>
  <si>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</si>
  <si>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</si>
  <si>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</si>
  <si>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</si>
  <si>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</si>
  <si>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</si>
  <si>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</si>
  <si>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</si>
  <si>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</si>
  <si>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</si>
  <si>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</si>
  <si>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</si>
  <si>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</si>
  <si>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</si>
  <si>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</si>
  <si>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</si>
  <si>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</si>
  <si>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</si>
  <si>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</si>
  <si>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</si>
  <si>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</si>
  <si>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</si>
  <si>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</si>
  <si>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</si>
  <si>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</si>
  <si>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</si>
  <si>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</si>
  <si>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</si>
  <si>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</si>
  <si>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</si>
  <si>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</si>
  <si>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</si>
  <si>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</si>
  <si>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</si>
  <si>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</si>
  <si>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</si>
  <si>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</si>
  <si>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</si>
  <si>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</si>
  <si>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</si>
  <si>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</si>
  <si>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</si>
  <si>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</si>
  <si>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</si>
  <si>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</si>
  <si>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</si>
  <si>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</si>
  <si>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</si>
  <si>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</si>
  <si>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</si>
  <si>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</si>
  <si>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</si>
  <si>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</si>
  <si>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</si>
  <si>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</si>
  <si>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</si>
  <si>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</si>
  <si>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</si>
  <si>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</si>
  <si>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</si>
  <si>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</si>
  <si>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</si>
  <si>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</si>
  <si>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</si>
  <si>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</si>
  <si>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</si>
  <si>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</si>
  <si>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</si>
  <si>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</si>
  <si>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</si>
  <si>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</si>
  <si>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</si>
  <si>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</si>
  <si>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</si>
  <si>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</si>
  <si>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</si>
  <si>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</si>
  <si>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</si>
  <si>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</si>
  <si>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</si>
  <si>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</si>
  <si>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</si>
  <si>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</si>
  <si>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</si>
  <si>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</si>
  <si>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</si>
  <si>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</si>
  <si>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</si>
  <si>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</si>
  <si>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</si>
  <si>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</si>
  <si>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</si>
  <si>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</si>
  <si>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</si>
  <si>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</si>
  <si>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</si>
  <si>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</si>
  <si>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</si>
  <si>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</si>
  <si>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</si>
  <si>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</si>
  <si>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</si>
  <si>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</si>
  <si>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</si>
  <si>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</si>
  <si>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</si>
  <si>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</si>
  <si>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</si>
  <si>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</si>
  <si>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</si>
  <si>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</si>
  <si>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</si>
  <si>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</si>
  <si>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</si>
  <si>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</si>
  <si>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</si>
  <si>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</si>
  <si>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</si>
  <si>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</si>
  <si>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</si>
  <si>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</si>
  <si>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</si>
  <si>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</si>
  <si>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</si>
  <si>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</si>
  <si>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</si>
  <si>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</si>
  <si>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</si>
  <si>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</si>
  <si>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</si>
  <si>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</si>
  <si>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</si>
  <si>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</si>
  <si>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</si>
  <si>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</si>
  <si>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</si>
  <si>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</si>
  <si>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</si>
  <si>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</si>
  <si>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</si>
  <si>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</si>
  <si>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</si>
  <si>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</si>
  <si>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</si>
  <si>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</si>
  <si>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</si>
  <si>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</si>
  <si>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</si>
  <si>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</si>
  <si>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</si>
  <si>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</si>
  <si>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</si>
  <si>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</si>
  <si>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</si>
  <si>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</si>
  <si>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</si>
  <si>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</si>
  <si>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</si>
  <si>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</si>
  <si>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</si>
  <si>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</si>
  <si>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</si>
  <si>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</si>
  <si>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</si>
  <si>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</si>
  <si>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</si>
  <si>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</si>
  <si>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</si>
  <si>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</si>
  <si>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</si>
  <si>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</si>
  <si>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</si>
  <si>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</si>
  <si>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</si>
  <si>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</si>
  <si>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</si>
  <si>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</si>
  <si>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</si>
  <si>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</si>
  <si>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</si>
  <si>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</si>
  <si>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</si>
  <si>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</si>
  <si>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</si>
  <si>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</si>
  <si>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</si>
  <si>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</si>
  <si>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</si>
  <si>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</si>
  <si>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</si>
  <si>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</si>
  <si>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</si>
  <si>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</si>
  <si>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</si>
  <si>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</si>
  <si>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</si>
  <si>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</si>
  <si>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</si>
  <si>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</si>
  <si>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</si>
  <si>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</si>
  <si>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</si>
  <si>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</si>
  <si>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</si>
  <si>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</si>
  <si>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</si>
  <si>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</si>
  <si>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</si>
  <si>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</si>
  <si>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</si>
  <si>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</si>
  <si>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</si>
  <si>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</si>
  <si>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</si>
  <si>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</si>
  <si>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</si>
  <si>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</si>
  <si>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</si>
  <si>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</si>
  <si>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</si>
  <si>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</si>
  <si>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</si>
  <si>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</si>
  <si>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</si>
  <si>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</si>
  <si>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</si>
  <si>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</si>
  <si>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</si>
  <si>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</si>
  <si>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</si>
  <si>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</si>
  <si>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</si>
  <si>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</si>
  <si>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</si>
  <si>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</si>
  <si>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</si>
  <si>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</si>
  <si>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</si>
  <si>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</si>
  <si>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</si>
  <si>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</si>
  <si>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</si>
  <si>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</si>
  <si>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</si>
  <si>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</si>
  <si>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</si>
  <si>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</si>
  <si>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</si>
  <si>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</si>
  <si>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</si>
  <si>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</si>
  <si>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</si>
  <si>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</si>
  <si>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</si>
  <si>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</si>
  <si>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</si>
  <si>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</si>
  <si>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</si>
  <si>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</si>
  <si>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</si>
  <si>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</si>
  <si>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</si>
  <si>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</si>
  <si>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</si>
  <si>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</si>
  <si>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</si>
  <si>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</si>
  <si>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</si>
  <si>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</si>
  <si>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</si>
  <si>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</si>
  <si>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</si>
  <si>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</si>
  <si>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</si>
  <si>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</si>
  <si>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</si>
  <si>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</si>
  <si>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</si>
  <si>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</si>
  <si>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</si>
  <si>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</si>
  <si>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</si>
  <si>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</si>
  <si>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</si>
  <si>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</si>
  <si>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</si>
  <si>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</si>
  <si>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</si>
  <si>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</si>
  <si>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</si>
  <si>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</si>
  <si>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</si>
  <si>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</si>
  <si>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</si>
  <si>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</si>
  <si>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</si>
  <si>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</si>
  <si>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</si>
  <si>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</si>
  <si>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</si>
  <si>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</si>
  <si>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</si>
  <si>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</si>
  <si>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</si>
  <si>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</si>
  <si>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</si>
  <si>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</si>
  <si>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</si>
  <si>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</si>
  <si>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</si>
  <si>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</si>
  <si>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</si>
  <si>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</si>
  <si>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</si>
  <si>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</si>
  <si>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</si>
  <si>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</si>
  <si>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</si>
  <si>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</si>
  <si>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</si>
  <si>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</si>
  <si>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</si>
  <si>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</si>
  <si>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</si>
  <si>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</si>
  <si>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</si>
  <si>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</si>
  <si>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</si>
  <si>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</si>
  <si>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</si>
  <si>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</si>
  <si>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</si>
  <si>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</si>
  <si>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</si>
  <si>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</si>
  <si>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</si>
  <si>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</si>
  <si>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</si>
  <si>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</si>
  <si>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</si>
  <si>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</si>
  <si>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</si>
  <si>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</si>
  <si>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</si>
  <si>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</si>
  <si>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</si>
  <si>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</si>
  <si>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</si>
  <si>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</si>
  <si>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</si>
  <si>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</si>
  <si>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</si>
  <si>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</si>
  <si>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</si>
  <si>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</si>
  <si>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</si>
  <si>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</si>
  <si>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</si>
  <si>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</si>
  <si>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</si>
  <si>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</si>
  <si>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</si>
  <si>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</si>
  <si>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</si>
  <si>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</si>
  <si>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</si>
  <si>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</si>
  <si>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</si>
  <si>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</si>
  <si>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</si>
  <si>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</si>
  <si>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</si>
  <si>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</si>
  <si>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</si>
  <si>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</si>
  <si>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</si>
  <si>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</si>
  <si>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</si>
  <si>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</si>
  <si>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</si>
  <si>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</si>
  <si>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</si>
  <si>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</si>
  <si>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</si>
  <si>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</si>
  <si>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</si>
  <si>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</si>
  <si>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</si>
  <si>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</si>
  <si>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</si>
  <si>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</si>
  <si>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</si>
  <si>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</si>
  <si>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</si>
  <si>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</si>
  <si>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</si>
  <si>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</si>
  <si>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</si>
  <si>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</si>
  <si>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</si>
  <si>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</si>
  <si>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</si>
  <si>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</si>
  <si>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</si>
  <si>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</si>
  <si>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</si>
  <si>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</si>
  <si>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</si>
  <si>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</si>
  <si>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</si>
  <si>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</si>
  <si>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</si>
  <si>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</si>
  <si>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</si>
  <si>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</si>
  <si>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</si>
  <si>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</si>
  <si>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</si>
  <si>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</si>
  <si>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</si>
  <si>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</si>
  <si>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</si>
  <si>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</si>
  <si>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</si>
  <si>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</si>
  <si>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</si>
  <si>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</si>
  <si>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</si>
  <si>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</si>
  <si>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</si>
  <si>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</si>
  <si>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</si>
  <si>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</si>
  <si>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</si>
  <si>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</si>
  <si>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</si>
  <si>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</si>
  <si>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</si>
  <si>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</si>
  <si>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</si>
  <si>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</si>
  <si>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</si>
  <si>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</si>
  <si>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</si>
  <si>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</si>
  <si>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</si>
  <si>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</si>
  <si>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</si>
  <si>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</si>
  <si>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</si>
  <si>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</si>
  <si>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</si>
  <si>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</si>
  <si>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</si>
  <si>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</si>
  <si>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</si>
  <si>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</si>
  <si>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</si>
  <si>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</si>
  <si>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</si>
  <si>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</si>
  <si>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</si>
  <si>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</si>
  <si>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</si>
  <si>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</si>
  <si>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</si>
  <si>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</si>
  <si>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</si>
  <si>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</si>
  <si>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</si>
  <si>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</si>
  <si>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</si>
  <si>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</si>
  <si>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</si>
  <si>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</si>
  <si>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</si>
  <si>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</si>
  <si>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</si>
  <si>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</si>
  <si>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</si>
  <si>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</si>
  <si>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</si>
  <si>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</si>
  <si>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</si>
  <si>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</si>
  <si>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</si>
  <si>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</si>
  <si>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</si>
  <si>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</si>
  <si>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</si>
  <si>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</si>
  <si>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</si>
  <si>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</si>
  <si>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</si>
  <si>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</si>
  <si>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</si>
  <si>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</si>
  <si>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</si>
  <si>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</si>
  <si>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</si>
  <si>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</si>
  <si>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</si>
  <si>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</si>
  <si>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</si>
  <si>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</si>
  <si>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</si>
  <si>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</si>
  <si>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</si>
  <si>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</si>
  <si>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</si>
  <si>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</si>
  <si>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</si>
  <si>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</si>
  <si>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</si>
  <si>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</si>
  <si>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</si>
  <si>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</si>
  <si>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</si>
  <si>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</si>
  <si>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</si>
  <si>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</si>
  <si>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</si>
  <si>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</si>
  <si>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</si>
  <si>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</si>
  <si>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</si>
  <si>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</si>
  <si>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</si>
  <si>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</si>
  <si>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</si>
  <si>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</si>
  <si>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</si>
  <si>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</si>
  <si>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</si>
  <si>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</si>
  <si>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</si>
  <si>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</si>
  <si>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</si>
  <si>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</si>
  <si>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</si>
  <si>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</si>
  <si>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</si>
  <si>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</si>
  <si>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</si>
  <si>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</si>
  <si>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</si>
  <si>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</si>
  <si>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</si>
  <si>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</si>
  <si>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</si>
  <si>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</si>
  <si>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</si>
  <si>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</si>
  <si>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</si>
  <si>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</si>
  <si>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</si>
  <si>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</si>
  <si>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</si>
  <si>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</si>
  <si>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</si>
  <si>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</si>
  <si>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</si>
  <si>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</si>
  <si>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</si>
  <si>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</si>
  <si>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</si>
  <si>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</si>
  <si>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</si>
  <si>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</si>
  <si>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</si>
  <si>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</si>
  <si>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</si>
  <si>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</si>
  <si>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</si>
  <si>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</si>
  <si>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</si>
  <si>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</si>
  <si>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</si>
  <si>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</si>
  <si>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</si>
  <si>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</si>
  <si>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</si>
  <si>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</si>
  <si>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</si>
  <si>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</si>
  <si>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</si>
  <si>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</si>
  <si>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</si>
  <si>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</si>
  <si>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</si>
  <si>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</si>
  <si>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</si>
  <si>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</si>
  <si>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</si>
  <si>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</si>
  <si>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</si>
  <si>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</si>
  <si>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</si>
  <si>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</si>
  <si>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</si>
  <si>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</si>
  <si>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</si>
  <si>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</si>
  <si>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</si>
  <si>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</si>
  <si>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</si>
  <si>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</si>
  <si>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</si>
  <si>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</si>
  <si>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</si>
  <si>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</si>
  <si>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</si>
  <si>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</si>
  <si>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</si>
  <si>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</si>
  <si>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</si>
  <si>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</si>
  <si>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</si>
  <si>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</si>
  <si>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</si>
  <si>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</si>
  <si>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</si>
  <si>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</si>
  <si>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</si>
  <si>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</si>
  <si>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</si>
  <si>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</si>
  <si>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</si>
  <si>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</si>
  <si>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</si>
  <si>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</si>
  <si>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</si>
  <si>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</si>
  <si>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</si>
  <si>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</si>
  <si>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</si>
  <si>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</si>
  <si>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</si>
  <si>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</si>
  <si>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</si>
  <si>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</si>
  <si>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</si>
  <si>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</si>
  <si>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</si>
  <si>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</si>
  <si>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</si>
  <si>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</si>
  <si>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</si>
  <si>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</si>
  <si>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</si>
  <si>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</si>
  <si>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</si>
  <si>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</si>
  <si>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</si>
  <si>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</si>
  <si>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</si>
  <si>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</si>
  <si>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</si>
  <si>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</si>
  <si>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</si>
  <si>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</si>
  <si>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</si>
  <si>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</si>
  <si>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</si>
  <si>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</si>
  <si>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</si>
  <si>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</si>
  <si>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</si>
  <si>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</si>
  <si>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</si>
  <si>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</si>
  <si>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</si>
  <si>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</si>
  <si>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</si>
  <si>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</si>
  <si>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</si>
  <si>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</si>
  <si>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</si>
  <si>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</si>
  <si>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</si>
  <si>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</si>
  <si>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</si>
  <si>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</si>
  <si>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</si>
  <si>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</si>
  <si>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</si>
  <si>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</si>
  <si>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</si>
  <si>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</si>
  <si>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</si>
  <si>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</si>
  <si>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</si>
  <si>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</si>
  <si>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</si>
  <si>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</si>
  <si>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</si>
  <si>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</si>
  <si>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</si>
  <si>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</si>
  <si>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</si>
  <si>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</si>
  <si>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</si>
  <si>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</si>
  <si>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</si>
  <si>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</si>
  <si>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</si>
  <si>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</si>
  <si>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</si>
  <si>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</si>
  <si>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</si>
  <si>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</si>
  <si>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</si>
  <si>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</si>
  <si>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</si>
  <si>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</si>
  <si>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</si>
  <si>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</si>
  <si>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</si>
  <si>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</si>
  <si>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</si>
  <si>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</si>
  <si>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</si>
  <si>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</si>
  <si>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</si>
  <si>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</si>
  <si>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</si>
  <si>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</si>
  <si>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</si>
  <si>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</si>
  <si>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</si>
  <si>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</si>
  <si>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</si>
  <si>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</si>
  <si>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</si>
  <si>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</si>
  <si>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</si>
  <si>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</si>
  <si>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</si>
  <si>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</si>
  <si>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</si>
  <si>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</si>
  <si>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</si>
  <si>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</si>
  <si>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</si>
  <si>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</si>
  <si>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</si>
  <si>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</si>
  <si>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</si>
  <si>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</si>
  <si>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</si>
  <si>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</si>
  <si>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</si>
  <si>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</si>
  <si>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</si>
  <si>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</si>
  <si>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</si>
  <si>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</si>
  <si>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</si>
  <si>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</si>
  <si>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</si>
  <si>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</si>
  <si>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</si>
  <si>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</si>
  <si>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</si>
  <si>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</si>
  <si>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</si>
  <si>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</si>
  <si>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</si>
  <si>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</si>
  <si>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</si>
  <si>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</si>
  <si>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</si>
  <si>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</si>
  <si>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</si>
  <si>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</si>
  <si>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</si>
  <si>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</si>
  <si>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</si>
  <si>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</si>
  <si>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</si>
  <si>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</si>
  <si>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</si>
  <si>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</si>
  <si>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</si>
  <si>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</si>
  <si>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</si>
  <si>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</si>
  <si>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</si>
  <si>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</si>
  <si>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</si>
  <si>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</si>
  <si>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</si>
  <si>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</si>
  <si>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</si>
  <si>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</si>
  <si>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</si>
  <si>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</si>
  <si>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</si>
  <si>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</si>
  <si>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</si>
  <si>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</si>
  <si>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</si>
  <si>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</si>
  <si>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</si>
  <si>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</si>
  <si>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</si>
  <si>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</si>
  <si>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</si>
  <si>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</si>
  <si>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</si>
  <si>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</si>
  <si>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</si>
  <si>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</si>
  <si>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</si>
  <si>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</si>
  <si>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</si>
  <si>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</si>
  <si>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</si>
  <si>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</si>
  <si>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</si>
  <si>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</si>
  <si>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</si>
  <si>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</si>
  <si>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</si>
  <si>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</si>
  <si>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</si>
  <si>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</si>
  <si>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</si>
  <si>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</si>
  <si>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</si>
  <si>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</si>
  <si>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</si>
  <si>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</si>
  <si>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</si>
  <si>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</si>
  <si>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</si>
  <si>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</si>
  <si>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</si>
  <si>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</si>
  <si>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</si>
  <si>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</si>
  <si>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</si>
  <si>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</si>
  <si>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</si>
  <si>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</si>
  <si>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</si>
  <si>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</si>
  <si>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</si>
  <si>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</si>
  <si>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</si>
  <si>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</si>
  <si>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</si>
  <si>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</si>
  <si>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</si>
  <si>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</si>
  <si>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</si>
  <si>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</si>
  <si>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</si>
  <si>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</si>
  <si>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</si>
  <si>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</si>
  <si>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</si>
  <si>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</si>
  <si>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</si>
  <si>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</si>
  <si>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</si>
  <si>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</si>
  <si>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</si>
  <si>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</si>
  <si>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</si>
  <si>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</si>
  <si>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</si>
  <si>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</si>
  <si>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</si>
  <si>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</si>
  <si>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</si>
  <si>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</si>
  <si>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</si>
  <si>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</si>
  <si>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</si>
  <si>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</si>
  <si>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</si>
  <si>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</si>
  <si>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</si>
  <si>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</si>
  <si>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</si>
  <si>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</si>
  <si>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</si>
  <si>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</si>
  <si>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</si>
  <si>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</si>
  <si>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</si>
  <si>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</si>
  <si>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</si>
  <si>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</si>
  <si>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</si>
  <si>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</si>
  <si>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</si>
  <si>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</si>
  <si>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</si>
  <si>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</si>
  <si>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</si>
  <si>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</si>
  <si>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</si>
  <si>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</si>
  <si>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</si>
  <si>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</si>
  <si>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</si>
  <si>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</si>
  <si>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</si>
  <si>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</si>
  <si>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</si>
  <si>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</si>
  <si>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</si>
  <si>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</si>
  <si>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</si>
  <si>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</si>
  <si>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</si>
  <si>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</si>
  <si>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</si>
  <si>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</si>
  <si>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</si>
  <si>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</si>
  <si>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</si>
  <si>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</si>
  <si>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</si>
  <si>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</si>
  <si>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</si>
  <si>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</si>
  <si>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</si>
  <si>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</si>
  <si>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</si>
  <si>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</si>
  <si>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</si>
  <si>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</si>
  <si>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</si>
  <si>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</si>
  <si>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</si>
  <si>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</si>
  <si>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</si>
  <si>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</si>
  <si>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</si>
  <si>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</si>
  <si>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</si>
  <si>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</si>
  <si>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</si>
  <si>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</si>
  <si>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</si>
  <si>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</si>
  <si>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</si>
  <si>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</si>
  <si>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</si>
  <si>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</si>
  <si>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</si>
  <si>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</si>
  <si>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</si>
  <si>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</si>
  <si>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</si>
  <si>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</si>
  <si>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</si>
  <si>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</si>
  <si>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</si>
  <si>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</si>
  <si>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</si>
  <si>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</si>
  <si>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</si>
  <si>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</si>
  <si>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</si>
  <si>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</si>
  <si>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</si>
  <si>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</si>
  <si>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</si>
  <si>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</si>
  <si>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</si>
  <si>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</si>
  <si>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</si>
  <si>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</si>
  <si>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</si>
  <si>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</si>
  <si>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</si>
  <si>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</si>
  <si>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</si>
  <si>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</si>
  <si>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</si>
  <si>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</si>
  <si>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</si>
  <si>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</si>
  <si>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</si>
  <si>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</si>
  <si>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</si>
  <si>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</si>
  <si>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</si>
  <si>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</si>
  <si>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</si>
  <si>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</si>
  <si>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</si>
  <si>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</si>
  <si>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</si>
  <si>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</si>
  <si>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</si>
  <si>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</si>
  <si>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</si>
  <si>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</si>
  <si>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</si>
  <si>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</si>
  <si>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</si>
  <si>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</si>
  <si>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</si>
  <si>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</si>
  <si>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</si>
  <si>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</si>
  <si>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</si>
  <si>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</si>
  <si>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</si>
  <si>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</si>
  <si>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</si>
  <si>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</si>
  <si>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</si>
  <si>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</si>
  <si>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</si>
  <si>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</si>
  <si>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</si>
  <si>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</si>
  <si>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</si>
  <si>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</si>
  <si>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</si>
  <si>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</si>
  <si>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</si>
  <si>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</si>
  <si>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</si>
  <si>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</si>
  <si>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</si>
  <si>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</si>
  <si>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</si>
  <si>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</si>
  <si>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</si>
  <si>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</si>
  <si>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</si>
  <si>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</si>
  <si>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</si>
  <si>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</si>
  <si>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</si>
  <si>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</si>
  <si>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</si>
  <si>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</si>
  <si>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</si>
  <si>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</si>
  <si>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</si>
  <si>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</si>
  <si>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</si>
  <si>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</si>
  <si>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</si>
  <si>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</si>
  <si>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</si>
  <si>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</si>
  <si>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</si>
  <si>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</si>
  <si>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</si>
  <si>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</si>
  <si>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</si>
  <si>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</si>
  <si>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</si>
  <si>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</si>
  <si>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</si>
  <si>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</si>
  <si>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</si>
  <si>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</si>
  <si>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</si>
  <si>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</si>
  <si>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</si>
  <si>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</si>
  <si>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</si>
  <si>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</si>
  <si>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</si>
  <si>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</si>
  <si>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</si>
  <si>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</si>
  <si>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</si>
  <si>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</si>
  <si>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</si>
  <si>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</si>
  <si>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</si>
  <si>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</si>
  <si>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</si>
  <si>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</si>
  <si>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</si>
  <si>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</si>
  <si>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</si>
  <si>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</si>
  <si>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</si>
  <si>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</si>
  <si>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</si>
  <si>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</si>
  <si>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</si>
  <si>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</si>
  <si>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</si>
  <si>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</si>
  <si>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</si>
  <si>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</si>
  <si>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</si>
  <si>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</si>
  <si>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</si>
  <si>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</si>
  <si>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</si>
  <si>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</si>
  <si>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</si>
  <si>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</si>
  <si>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</si>
  <si>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</si>
  <si>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</si>
  <si>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</si>
  <si>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</si>
  <si>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</si>
  <si>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</si>
  <si>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</si>
  <si>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</si>
  <si>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</si>
  <si>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</si>
  <si>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</si>
  <si>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</si>
  <si>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</si>
  <si>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</si>
  <si>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</si>
  <si>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</si>
  <si>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</si>
  <si>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</si>
  <si>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</si>
  <si>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</si>
  <si>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</si>
  <si>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</si>
  <si>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</si>
  <si>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</si>
  <si>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</si>
  <si>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</si>
  <si>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</si>
  <si>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</si>
  <si>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</si>
  <si>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</si>
  <si>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</si>
  <si>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</si>
  <si>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</si>
  <si>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</si>
  <si>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</si>
  <si>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</si>
  <si>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</si>
  <si>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</si>
  <si>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</si>
  <si>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</si>
  <si>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</si>
  <si>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</si>
  <si>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</si>
  <si>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</si>
  <si>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</si>
  <si>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</si>
  <si>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</si>
  <si>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</si>
  <si>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</si>
  <si>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</si>
  <si>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</si>
  <si>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</si>
  <si>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</si>
  <si>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</si>
  <si>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</si>
  <si>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</si>
  <si>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</si>
  <si>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</si>
  <si>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</si>
  <si>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</si>
  <si>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</si>
  <si>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</si>
  <si>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</si>
  <si>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</si>
  <si>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</si>
  <si>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</si>
  <si>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</si>
  <si>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</si>
  <si>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</si>
  <si>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</si>
  <si>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</si>
  <si>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</si>
  <si>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</si>
  <si>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</si>
  <si>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</si>
  <si>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</si>
  <si>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</si>
  <si>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</si>
  <si>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</si>
  <si>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</si>
  <si>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</si>
  <si>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</si>
  <si>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</si>
  <si>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</si>
  <si>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</si>
  <si>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</si>
  <si>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</si>
  <si>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</si>
  <si>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</si>
  <si>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</si>
  <si>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</si>
  <si>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</si>
  <si>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</si>
  <si>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</si>
  <si>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</si>
  <si>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</si>
  <si>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</si>
  <si>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</si>
  <si>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</si>
  <si>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</si>
  <si>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</si>
  <si>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</si>
  <si>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</si>
  <si>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</si>
  <si>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</si>
  <si>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</si>
  <si>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</si>
  <si>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</si>
  <si>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</si>
  <si>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</si>
  <si>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</si>
  <si>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</si>
  <si>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</si>
  <si>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</si>
  <si>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</si>
  <si>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</si>
  <si>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</si>
  <si>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</si>
  <si>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</si>
  <si>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</si>
  <si>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</si>
  <si>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</si>
  <si>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</si>
  <si>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</si>
  <si>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</si>
  <si>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</si>
  <si>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</si>
  <si>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</si>
  <si>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</si>
  <si>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</si>
  <si>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</si>
  <si>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</si>
  <si>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</si>
  <si>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</si>
  <si>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</si>
  <si>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</si>
  <si>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企业</t>
  </si>
  <si>
    <t>北京房地钧洋房地产开发有限公司</t>
    <phoneticPr fontId="6" type="noConversion"/>
  </si>
  <si>
    <t>农业银行</t>
    <phoneticPr fontId="6" type="noConversion"/>
  </si>
  <si>
    <t>住宅、商业</t>
    <phoneticPr fontId="6" type="noConversion"/>
  </si>
  <si>
    <t>一致</t>
  </si>
  <si>
    <t>符合</t>
  </si>
  <si>
    <t>出让</t>
  </si>
  <si>
    <t>商业</t>
  </si>
  <si>
    <t>通路</t>
  </si>
  <si>
    <t>通电</t>
  </si>
  <si>
    <t>通上水</t>
  </si>
  <si>
    <t>场地平整</t>
  </si>
  <si>
    <t>居住项目</t>
  </si>
  <si>
    <t>无</t>
  </si>
  <si>
    <t>否</t>
  </si>
  <si>
    <t>全部为保障性住房</t>
  </si>
  <si>
    <t>平整</t>
  </si>
  <si>
    <t>地下商业</t>
  </si>
  <si>
    <t>地下商业</t>
    <phoneticPr fontId="3" type="noConversion"/>
  </si>
  <si>
    <t>地上</t>
  </si>
  <si>
    <t>普通住宅</t>
  </si>
  <si>
    <t>地下</t>
  </si>
  <si>
    <t>独立商业</t>
  </si>
  <si>
    <t>车库</t>
  </si>
  <si>
    <t>土地（套用方法）</t>
  </si>
  <si>
    <t>按租金收入计税</t>
  </si>
  <si>
    <t>钢混</t>
  </si>
  <si>
    <t>不动产收益法-车库</t>
  </si>
  <si>
    <t>不动产收益法-商业</t>
  </si>
  <si>
    <t>楼层</t>
    <phoneticPr fontId="3" type="noConversion"/>
  </si>
  <si>
    <t>租金</t>
    <phoneticPr fontId="3" type="noConversion"/>
  </si>
  <si>
    <t>系数</t>
    <phoneticPr fontId="3" type="noConversion"/>
  </si>
  <si>
    <t>不动产收益法-地下商业</t>
  </si>
  <si>
    <r>
      <t>不动产收益法</t>
    </r>
    <r>
      <rPr>
        <sz val="11"/>
        <color theme="1"/>
        <rFont val="Arial"/>
        <family val="2"/>
      </rPr>
      <t>-</t>
    </r>
    <r>
      <rPr>
        <sz val="11"/>
        <color theme="1"/>
        <rFont val="宋体"/>
        <family val="3"/>
        <charset val="134"/>
      </rPr>
      <t>地下商业</t>
    </r>
  </si>
  <si>
    <t>自定义</t>
  </si>
  <si>
    <t>剩余法-待开发</t>
  </si>
  <si>
    <t>项目全部</t>
  </si>
  <si>
    <t>土地</t>
  </si>
  <si>
    <t>比较法-住宅、综合</t>
  </si>
  <si>
    <t>通州区宋庄镇疃里村</t>
    <phoneticPr fontId="3" type="noConversion"/>
  </si>
  <si>
    <t>北京市通州区通州新城0204街区TZ00-0024-0006、0007地块R2二类居住用地</t>
    <phoneticPr fontId="3" type="noConversion"/>
  </si>
  <si>
    <t>正常</t>
  </si>
  <si>
    <t>住宅、综合</t>
    <phoneticPr fontId="26" type="noConversion"/>
  </si>
  <si>
    <t>住宅、综合</t>
    <phoneticPr fontId="26"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</si>
  <si>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</si>
  <si>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楼面地价</t>
  </si>
  <si>
    <t>通州区台湖镇北神树村B-30地块</t>
    <phoneticPr fontId="3" type="noConversion"/>
  </si>
  <si>
    <t>通州区台湖镇北神树组团J地块范围内</t>
    <phoneticPr fontId="3" type="noConversion"/>
  </si>
  <si>
    <t>京市通州区台湖镇YZ00-0405-0078、0079、0081地块R2二类居住用地</t>
    <phoneticPr fontId="3" type="noConversion"/>
  </si>
  <si>
    <t>通州区台湖镇</t>
    <phoneticPr fontId="3" type="noConversion"/>
  </si>
  <si>
    <t>十一级</t>
  </si>
  <si>
    <t>Ⅺ-通1</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</si>
  <si>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</si>
  <si>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</si>
  <si>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</si>
  <si>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</si>
  <si>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</si>
  <si>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</si>
  <si>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</si>
  <si>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</si>
  <si>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</si>
  <si>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一般</t>
  </si>
  <si>
    <t>较好</t>
  </si>
  <si>
    <t>双面临街</t>
  </si>
  <si>
    <t>高速路</t>
    <phoneticPr fontId="26" type="noConversion"/>
  </si>
  <si>
    <t>主干道</t>
  </si>
  <si>
    <t>主干道</t>
    <phoneticPr fontId="26" type="noConversion"/>
  </si>
  <si>
    <t>次干道</t>
    <phoneticPr fontId="26" type="noConversion"/>
  </si>
  <si>
    <t>支路</t>
  </si>
  <si>
    <t>支路</t>
    <phoneticPr fontId="26" type="noConversion"/>
  </si>
  <si>
    <t>较规则</t>
  </si>
  <si>
    <t>较规则</t>
    <phoneticPr fontId="26" type="noConversion"/>
  </si>
  <si>
    <t>较不规则</t>
    <phoneticPr fontId="26" type="noConversion"/>
  </si>
  <si>
    <t>比例较适宜</t>
  </si>
  <si>
    <t>比例较适宜</t>
    <phoneticPr fontId="26" type="noConversion"/>
  </si>
  <si>
    <t>比例较不适宜</t>
    <phoneticPr fontId="26" type="noConversion"/>
  </si>
  <si>
    <t>好</t>
  </si>
  <si>
    <t>较差</t>
  </si>
  <si>
    <t>差</t>
  </si>
  <si>
    <t>11级</t>
  </si>
  <si>
    <t>10级</t>
  </si>
  <si>
    <t>北京房地钧洋房地产开发有限公司</t>
    <phoneticPr fontId="6" type="noConversion"/>
  </si>
  <si>
    <t>已全部缴纳</t>
  </si>
  <si>
    <t>全部建设保障房</t>
    <phoneticPr fontId="26" type="noConversion"/>
  </si>
  <si>
    <t>地下仓储</t>
  </si>
  <si>
    <t>住宅</t>
    <phoneticPr fontId="3" type="noConversion"/>
  </si>
  <si>
    <t>商业</t>
    <phoneticPr fontId="3" type="noConversion"/>
  </si>
  <si>
    <t>地下车库</t>
    <phoneticPr fontId="3" type="noConversion"/>
  </si>
  <si>
    <t>地下仓储</t>
    <phoneticPr fontId="3" type="noConversion"/>
  </si>
  <si>
    <t>仓储</t>
  </si>
  <si>
    <t>戊类库房</t>
  </si>
  <si>
    <t>不动产收益法-地下仓储</t>
  </si>
  <si>
    <r>
      <t>不动产收益法</t>
    </r>
    <r>
      <rPr>
        <sz val="11"/>
        <color theme="1"/>
        <rFont val="Arial"/>
        <family val="2"/>
      </rPr>
      <t>-</t>
    </r>
    <r>
      <rPr>
        <sz val="11"/>
        <color theme="1"/>
        <rFont val="宋体"/>
        <family val="3"/>
        <charset val="134"/>
      </rPr>
      <t>地下仓储</t>
    </r>
  </si>
  <si>
    <t>通州区西集镇西集村TZ07-0103-0029地块二类居住用地</t>
    <phoneticPr fontId="6" type="noConversion"/>
  </si>
  <si>
    <t>北京房地钧洋房地产开发有限公司</t>
    <phoneticPr fontId="6" type="noConversion"/>
  </si>
  <si>
    <t>押二</t>
  </si>
  <si>
    <r>
      <t>7</t>
    </r>
    <r>
      <rPr>
        <sz val="11"/>
        <rFont val="宋体"/>
        <family val="3"/>
        <charset val="134"/>
      </rPr>
      <t>级</t>
    </r>
    <phoneticPr fontId="26" type="noConversion"/>
  </si>
  <si>
    <r>
      <t>8</t>
    </r>
    <r>
      <rPr>
        <sz val="11"/>
        <rFont val="宋体"/>
        <family val="3"/>
        <charset val="134"/>
      </rPr>
      <t>级</t>
    </r>
    <phoneticPr fontId="26" type="noConversion"/>
  </si>
  <si>
    <r>
      <t>9级</t>
    </r>
    <r>
      <rPr>
        <sz val="11"/>
        <rFont val="宋体"/>
        <family val="3"/>
        <charset val="134"/>
      </rPr>
      <t/>
    </r>
  </si>
  <si>
    <r>
      <t>10级</t>
    </r>
    <r>
      <rPr>
        <sz val="11"/>
        <rFont val="宋体"/>
        <family val="3"/>
        <charset val="134"/>
      </rPr>
      <t/>
    </r>
  </si>
  <si>
    <r>
      <t>11级</t>
    </r>
    <r>
      <rPr>
        <sz val="11"/>
        <rFont val="宋体"/>
        <family val="3"/>
        <charset val="134"/>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</si>
</sst>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85" fillId="9" borderId="25"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0" fontId="71" fillId="0" borderId="11" xfId="0" applyFont="1" applyFill="1" applyBorder="1" applyAlignment="1" applyProtection="1">
      <alignment vertical="center"/>
      <protection locked="0"/>
    </xf>
    <xf numFmtId="185" fontId="76" fillId="9" borderId="2" xfId="0" applyNumberFormat="1" applyFont="1" applyFill="1" applyBorder="1" applyAlignment="1" applyProtection="1">
      <alignment horizontal="center" vertical="center"/>
      <protection locked="0"/>
    </xf>
    <xf numFmtId="177" fontId="11" fillId="9" borderId="2" xfId="0" applyNumberFormat="1" applyFont="1" applyFill="1" applyBorder="1" applyAlignment="1" applyProtection="1">
      <alignment vertical="center" wrapText="1"/>
      <protection locked="0"/>
    </xf>
    <xf numFmtId="0" fontId="99" fillId="9" borderId="9"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0" fontId="84" fillId="9" borderId="18"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45</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7800001"/>
        </a:xfrm>
        <a:prstGeom prst="rect">
          <a:avLst/>
        </a:prstGeom>
      </xdr:spPr>
    </xdr:pic>
    <xdr:clientData/>
  </xdr:twoCellAnchor>
  <xdr:twoCellAnchor editAs="oneCell">
    <xdr:from>
      <xdr:col>0</xdr:col>
      <xdr:colOff>0</xdr:colOff>
      <xdr:row>46</xdr:row>
      <xdr:rowOff>0</xdr:rowOff>
    </xdr:from>
    <xdr:to>
      <xdr:col>13</xdr:col>
      <xdr:colOff>456029</xdr:colOff>
      <xdr:row>72</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371429" cy="4628572"/>
        </a:xfrm>
        <a:prstGeom prst="rect">
          <a:avLst/>
        </a:prstGeom>
      </xdr:spPr>
    </xdr:pic>
    <xdr:clientData/>
  </xdr:twoCellAnchor>
  <xdr:twoCellAnchor editAs="oneCell">
    <xdr:from>
      <xdr:col>0</xdr:col>
      <xdr:colOff>0</xdr:colOff>
      <xdr:row>73</xdr:row>
      <xdr:rowOff>0</xdr:rowOff>
    </xdr:from>
    <xdr:to>
      <xdr:col>13</xdr:col>
      <xdr:colOff>351267</xdr:colOff>
      <xdr:row>116</xdr:row>
      <xdr:rowOff>56222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15850"/>
          <a:ext cx="9266667" cy="7428572"/>
        </a:xfrm>
        <a:prstGeom prst="rect">
          <a:avLst/>
        </a:prstGeom>
      </xdr:spPr>
    </xdr:pic>
    <xdr:clientData/>
  </xdr:twoCellAnchor>
  <xdr:twoCellAnchor editAs="oneCell">
    <xdr:from>
      <xdr:col>0</xdr:col>
      <xdr:colOff>0</xdr:colOff>
      <xdr:row>117</xdr:row>
      <xdr:rowOff>0</xdr:rowOff>
    </xdr:from>
    <xdr:to>
      <xdr:col>13</xdr:col>
      <xdr:colOff>484601</xdr:colOff>
      <xdr:row>144</xdr:row>
      <xdr:rowOff>37517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059650"/>
          <a:ext cx="9400001" cy="4666667"/>
        </a:xfrm>
        <a:prstGeom prst="rect">
          <a:avLst/>
        </a:prstGeom>
      </xdr:spPr>
    </xdr:pic>
    <xdr:clientData/>
  </xdr:twoCellAnchor>
  <xdr:twoCellAnchor editAs="oneCell">
    <xdr:from>
      <xdr:col>0</xdr:col>
      <xdr:colOff>0</xdr:colOff>
      <xdr:row>145</xdr:row>
      <xdr:rowOff>0</xdr:rowOff>
    </xdr:from>
    <xdr:to>
      <xdr:col>13</xdr:col>
      <xdr:colOff>360791</xdr:colOff>
      <xdr:row>189</xdr:row>
      <xdr:rowOff>65724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860250"/>
          <a:ext cx="9276191" cy="7609524"/>
        </a:xfrm>
        <a:prstGeom prst="rect">
          <a:avLst/>
        </a:prstGeom>
      </xdr:spPr>
    </xdr:pic>
    <xdr:clientData/>
  </xdr:twoCellAnchor>
  <xdr:twoCellAnchor editAs="oneCell">
    <xdr:from>
      <xdr:col>0</xdr:col>
      <xdr:colOff>0</xdr:colOff>
      <xdr:row>190</xdr:row>
      <xdr:rowOff>0</xdr:rowOff>
    </xdr:from>
    <xdr:to>
      <xdr:col>13</xdr:col>
      <xdr:colOff>456029</xdr:colOff>
      <xdr:row>217</xdr:row>
      <xdr:rowOff>56565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2575500"/>
          <a:ext cx="9371429"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2657</v>
      </c>
      <c r="B1" s="2889" t="s">
        <v>2754</v>
      </c>
    </row>
    <row r="2" spans="1:55" s="2893" customFormat="1" ht="15" thickTop="1">
      <c r="A2" s="2891" t="s">
        <v>2661</v>
      </c>
      <c r="B2" s="2892" t="str">
        <f>'预评函-封皮'!B37</f>
        <v>北京市通州区西集镇西集村TZ07-0103-0029地块二类居住用地出让国有建设用地使用权抵押价格预评估</v>
      </c>
      <c r="AX2" s="2894"/>
      <c r="AZ2" s="2894"/>
      <c r="BA2" s="2895"/>
      <c r="BC2" s="2895"/>
    </row>
    <row r="3" spans="1:55" s="2896" customFormat="1">
      <c r="A3" s="2875" t="s">
        <v>2662</v>
      </c>
      <c r="B3" s="2878" t="str">
        <f>'预评函-封皮'!B40</f>
        <v>北京房地钧洋房地产开发有限公司</v>
      </c>
    </row>
    <row r="4" spans="1:55" s="2877" customFormat="1">
      <c r="A4" s="2875" t="s">
        <v>2663</v>
      </c>
      <c r="B4" s="2876" t="str">
        <f>'预评函-封皮'!B46</f>
        <v>王鹏、郑燚</v>
      </c>
      <c r="N4" s="2877" t="str">
        <f>'预评函-1'!A28</f>
        <v/>
      </c>
    </row>
    <row r="5" spans="1:55" s="2890" customFormat="1" ht="15" thickBot="1">
      <c r="A5" s="2897" t="s">
        <v>2664</v>
      </c>
      <c r="B5" s="2898" t="str">
        <f>'预评函-封皮'!B49</f>
        <v>康正预评字号</v>
      </c>
    </row>
    <row r="6" spans="1:55" s="2899" customFormat="1" ht="15" thickTop="1">
      <c r="A6" s="2891" t="s">
        <v>2706</v>
      </c>
      <c r="B6" s="2892" t="str">
        <f>'预评函-1'!A4</f>
        <v>受贵公司委托，我公司对北京市通州区西集镇西集村TZ07-0103-0029地块二类居住用地出让国有建设用地使用权抵押价格进行了预评估。</v>
      </c>
      <c r="AM6" s="2900"/>
    </row>
    <row r="7" spans="1:55" s="2874" customFormat="1">
      <c r="A7" s="2875" t="s">
        <v>2658</v>
      </c>
      <c r="B7" s="2876" t="str">
        <f>'预评函-1'!A6</f>
        <v>估价对象为北京房地钧洋房地产开发有限公司使用的、位于北京市通州区西集镇西集村TZ07-0103-0029地块二类居住用地出让国有建设用地使用权。根据《国有土地使用证》[]，估价对象（分摊）出让国有建设用地使用权面积为81664.26平方米。根据《建设工程规划许可证》[]、《出让合同》[]，估价对象规划建筑面积为165129.68平方米。</v>
      </c>
    </row>
    <row r="8" spans="1:55" s="2874" customFormat="1">
      <c r="A8" s="2875" t="s">
        <v>2659</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2709</v>
      </c>
      <c r="B9" s="2876"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2660</v>
      </c>
      <c r="B10" s="2876" t="str">
        <f>'预评函-1'!A11</f>
        <v>2018年8月15日（评估专业人员勘察现场之日）</v>
      </c>
    </row>
    <row r="11" spans="1:55" s="2874" customFormat="1">
      <c r="A11" s="2875" t="s">
        <v>2666</v>
      </c>
      <c r="B11" s="2876" t="str">
        <f>'预评函-1'!A14</f>
        <v>根据《国有土地使用证》[]，本次评估估价对象证载（地类）用途为住宅、商业。</v>
      </c>
    </row>
    <row r="12" spans="1:55" s="2874" customFormat="1">
      <c r="A12" s="2875" t="s">
        <v>2667</v>
      </c>
      <c r="B12" s="2876" t="str">
        <f>'预评函-1'!A15</f>
        <v>本次评估设定用途即为证载用途。</v>
      </c>
    </row>
    <row r="13" spans="1:55" s="2874" customFormat="1">
      <c r="A13" s="2875" t="s">
        <v>2668</v>
      </c>
      <c r="B13" s="2876" t="str">
        <f>'预评函-1'!A17</f>
        <v>根据委托估价方介绍及评估专业人员现场勘查，本次评估估价对象实际土地开发程度为红线外市政基础设施达“七通”（即通路、通电、通上水、、、、）、宗地红线内场地平整。</v>
      </c>
    </row>
    <row r="14" spans="1:55" s="2874" customFormat="1">
      <c r="A14" s="2875" t="s">
        <v>2669</v>
      </c>
      <c r="B14" s="2876" t="str">
        <f>'预评函-1'!A18</f>
        <v>本次评估设定土地开发程度为红线外市政基础设施达“七通”、宗地红线内场地平整。</v>
      </c>
    </row>
    <row r="15" spans="1:55" s="2874" customFormat="1">
      <c r="A15" s="2875" t="s">
        <v>2665</v>
      </c>
      <c r="B15" s="2876" t="str">
        <f>'预评函-1'!A20</f>
        <v>根据《国有土地使用证》[]，估价对象（分摊）出让国有建设用地使用权面积为81664.26平方米。根据《建设工程规划许可证》[]、《出让合同》[]，估价对象规划建筑面积为165129.68平方米。</v>
      </c>
    </row>
    <row r="16" spans="1:55" s="2874" customFormat="1">
      <c r="A16" s="2875" t="s">
        <v>2670</v>
      </c>
      <c r="B16" s="2876" t="str">
        <f>'预评函-1'!A22</f>
        <v>本次估价对象为出让国有建设用地使用权，《国有土地使用证》[]证载土地终止日期为住宅2087年11月7日、商业2057年11月7日地下车库2067年11月7日、地下仓储2067年11月7日。截至估价期日，出让国有建设用地使用权剩余土地使用年限为。</v>
      </c>
    </row>
    <row r="17" spans="1:48" s="2874" customFormat="1">
      <c r="A17" s="2875" t="s">
        <v>2671</v>
      </c>
      <c r="B17" s="2876" t="str">
        <f>'预评函-1'!A23</f>
        <v>本次评估设定估价对象剩余土地使用年限为。</v>
      </c>
    </row>
    <row r="18" spans="1:48" s="2874" customFormat="1">
      <c r="A18" s="2875" t="s">
        <v>2672</v>
      </c>
      <c r="B18" s="2876" t="str">
        <f>'预评函-1'!A25</f>
        <v>本次估价的“出让国有建设用地使用权价格”是指在估价对象土地所有权为国家所有，使用权性质为出让，在公开市场条件下、于估价期日2018年8月15日，在规划利用条件下、设定土地开发程度为红线外“七通”、宗地内场地平整，设定用途为，剩余土地使用年限为的出让国有建设用地使用权价格。</v>
      </c>
    </row>
    <row r="19" spans="1:48" s="2874" customFormat="1">
      <c r="A19" s="2875" t="s">
        <v>2673</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2674</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2675</v>
      </c>
      <c r="B21" s="2898" t="str">
        <f>'预评函-1'!A28</f>
        <v/>
      </c>
    </row>
    <row r="22" spans="1:48" ht="15" thickTop="1">
      <c r="A22" s="2886" t="s">
        <v>2676</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2677</v>
      </c>
      <c r="B23" s="2876" t="str">
        <f>'预评函-2'!K2</f>
        <v>估价期日：2018年8月15日</v>
      </c>
    </row>
    <row r="24" spans="1:48">
      <c r="A24" s="2875" t="s">
        <v>2678</v>
      </c>
      <c r="B24" s="2876" t="str">
        <f>'预评函-2'!R2</f>
        <v>估价期日的国有建设用地使用权性质：出让</v>
      </c>
    </row>
    <row r="25" spans="1:48">
      <c r="A25" s="2875" t="s">
        <v>2734</v>
      </c>
      <c r="B25" s="2876" t="str">
        <f>'预评函-2'!A3</f>
        <v>估价期日土地使用者</v>
      </c>
    </row>
    <row r="26" spans="1:48">
      <c r="A26" s="2875" t="s">
        <v>2710</v>
      </c>
      <c r="B26" s="2876" t="str">
        <f>'预评函-2'!A5</f>
        <v>中信开发</v>
      </c>
    </row>
    <row r="27" spans="1:48">
      <c r="A27" s="2875" t="s">
        <v>2735</v>
      </c>
      <c r="B27" s="2876" t="str">
        <f>'预评函-2'!B3</f>
        <v>宗地编号/不动产单元号</v>
      </c>
    </row>
    <row r="28" spans="1:48">
      <c r="A28" s="2875" t="s">
        <v>2711</v>
      </c>
      <c r="B28" s="2876" t="str">
        <f>'预评函-2'!B5</f>
        <v>11111111111</v>
      </c>
    </row>
    <row r="29" spans="1:48">
      <c r="A29" s="2875" t="s">
        <v>2737</v>
      </c>
      <c r="B29" s="2876">
        <f>'预评函-2'!C5</f>
        <v>22</v>
      </c>
    </row>
    <row r="30" spans="1:48">
      <c r="A30" s="2875" t="s">
        <v>2738</v>
      </c>
      <c r="B30" s="2876" t="str">
        <f>'预评函-2'!D3</f>
        <v>土地使用证编号/不动产权证书编号</v>
      </c>
    </row>
    <row r="31" spans="1:48">
      <c r="A31" s="2875" t="s">
        <v>2712</v>
      </c>
      <c r="B31" s="2876" t="str">
        <f>'预评函-2'!D5</f>
        <v>京国土字第111号</v>
      </c>
    </row>
    <row r="32" spans="1:48">
      <c r="A32" s="2875" t="s">
        <v>2713</v>
      </c>
      <c r="B32" s="2876" t="str">
        <f>'预评函-2'!E5</f>
        <v>住宅、商业</v>
      </c>
      <c r="AV32" s="2880"/>
    </row>
    <row r="33" spans="1:2">
      <c r="A33" s="2875" t="s">
        <v>2714</v>
      </c>
      <c r="B33" s="2876">
        <f>'预评函-2'!F5</f>
        <v>258</v>
      </c>
    </row>
    <row r="34" spans="1:2">
      <c r="A34" s="2875" t="s">
        <v>2715</v>
      </c>
      <c r="B34" s="2876">
        <f>'预评函-2'!G5</f>
        <v>0</v>
      </c>
    </row>
    <row r="35" spans="1:2">
      <c r="A35" s="2875" t="s">
        <v>2716</v>
      </c>
      <c r="B35" s="2876">
        <f>'预评函-2'!H5</f>
        <v>1.5</v>
      </c>
    </row>
    <row r="36" spans="1:2">
      <c r="A36" s="2875" t="s">
        <v>2717</v>
      </c>
      <c r="B36" s="2876">
        <f>'预评函-2'!I5</f>
        <v>1.5</v>
      </c>
    </row>
    <row r="37" spans="1:2">
      <c r="A37" s="2875" t="s">
        <v>2718</v>
      </c>
      <c r="B37" s="2876">
        <f>'预评函-2'!J5</f>
        <v>1.5</v>
      </c>
    </row>
    <row r="38" spans="1:2">
      <c r="A38" s="2875" t="s">
        <v>2719</v>
      </c>
      <c r="B38" s="2876" t="str">
        <f>'预评函-2'!K5</f>
        <v>红线外七通、宗地红线内场地平整</v>
      </c>
    </row>
    <row r="39" spans="1:2">
      <c r="A39" s="2875" t="s">
        <v>2720</v>
      </c>
      <c r="B39" s="2876" t="str">
        <f>'预评函-2'!L5</f>
        <v>红线外七通、宗地红线内场地平整</v>
      </c>
    </row>
    <row r="40" spans="1:2">
      <c r="A40" s="2875" t="s">
        <v>2739</v>
      </c>
      <c r="B40" s="2876" t="str">
        <f>'预评函-2'!M3</f>
        <v>（剩余）土地使用年限/年</v>
      </c>
    </row>
    <row r="41" spans="1:2">
      <c r="A41" s="2875" t="s">
        <v>2721</v>
      </c>
      <c r="B41" s="2876">
        <f>'预评函-2'!M5</f>
        <v>0</v>
      </c>
    </row>
    <row r="42" spans="1:2">
      <c r="A42" s="2875" t="s">
        <v>2740</v>
      </c>
      <c r="B42" s="2876" t="str">
        <f>'预评函-2'!N3</f>
        <v>（分摊）出让国有建设用地使用权面积/㎡</v>
      </c>
    </row>
    <row r="43" spans="1:2">
      <c r="A43" s="2875" t="s">
        <v>2722</v>
      </c>
      <c r="B43" s="2876">
        <f>'预评函-2'!N5</f>
        <v>81664.259999999995</v>
      </c>
    </row>
    <row r="44" spans="1:2">
      <c r="A44" s="2875" t="s">
        <v>2741</v>
      </c>
      <c r="B44" s="2876" t="str">
        <f>'预评函-2'!O3</f>
        <v>规划建筑面积/㎡</v>
      </c>
    </row>
    <row r="45" spans="1:2">
      <c r="A45" s="2875" t="s">
        <v>2723</v>
      </c>
      <c r="B45" s="2876">
        <f>'预评函-2'!O5</f>
        <v>165129.68</v>
      </c>
    </row>
    <row r="46" spans="1:2">
      <c r="A46" s="2875" t="s">
        <v>2724</v>
      </c>
      <c r="B46" s="2876">
        <f ca="1">'预评函-2'!P5</f>
        <v>16215</v>
      </c>
    </row>
    <row r="47" spans="1:2">
      <c r="A47" s="2875" t="s">
        <v>2725</v>
      </c>
      <c r="B47" s="2876">
        <f ca="1">'预评函-2'!Q5</f>
        <v>8019</v>
      </c>
    </row>
    <row r="48" spans="1:2">
      <c r="A48" s="2875" t="s">
        <v>2726</v>
      </c>
      <c r="B48" s="2876">
        <f ca="1">'预评函-2'!R5</f>
        <v>132418</v>
      </c>
    </row>
    <row r="49" spans="1:2">
      <c r="A49" s="2875" t="s">
        <v>2742</v>
      </c>
      <c r="B49" s="2876" t="str">
        <f>'预评函-2'!A6</f>
        <v>抵押价格</v>
      </c>
    </row>
    <row r="50" spans="1:2">
      <c r="A50" s="2875" t="s">
        <v>2727</v>
      </c>
      <c r="B50" s="2876">
        <f ca="1">'预评函-2'!R6</f>
        <v>129382</v>
      </c>
    </row>
    <row r="51" spans="1:2">
      <c r="A51" s="2875" t="s">
        <v>2743</v>
      </c>
      <c r="B51" s="2876" t="str">
        <f>'预评函-2'!A7</f>
        <v>——</v>
      </c>
    </row>
    <row r="52" spans="1:2">
      <c r="A52" s="2875" t="s">
        <v>2728</v>
      </c>
      <c r="B52" s="2876" t="str">
        <f>'预评函-2'!R7</f>
        <v>——</v>
      </c>
    </row>
    <row r="53" spans="1:2">
      <c r="A53" s="2875" t="s">
        <v>2744</v>
      </c>
      <c r="B53" s="2876" t="str">
        <f>'预评函-2'!A8</f>
        <v>——</v>
      </c>
    </row>
    <row r="54" spans="1:2" s="2890" customFormat="1" ht="15" thickBot="1">
      <c r="A54" s="2897" t="s">
        <v>2729</v>
      </c>
      <c r="B54" s="2898" t="str">
        <f>'预评函-2'!R8</f>
        <v>——</v>
      </c>
    </row>
    <row r="55" spans="1:2" ht="15" thickTop="1">
      <c r="A55" s="2886" t="s">
        <v>2679</v>
      </c>
      <c r="B55" s="2887" t="str">
        <f>'预评函-3'!A2</f>
        <v>1.权利限制：根据估价对象《不动产权证书》复印件、，截至估价期日，估价对象抵押权未见登记。未设定租赁等其他他项权利。</v>
      </c>
    </row>
    <row r="56" spans="1:2">
      <c r="A56" s="2875" t="s">
        <v>2680</v>
      </c>
      <c r="B56" s="2876" t="str">
        <f>'预评函-3'!A3</f>
        <v>2.基础设施条件：估价对象实际开发程度为红线外七通、宗地红线内场地平整；本次评估设定开发程度为红线外七通、宗地红线内场地平整。</v>
      </c>
    </row>
    <row r="57" spans="1:2">
      <c r="A57" s="2875" t="s">
        <v>2681</v>
      </c>
      <c r="B57" s="2876" t="str">
        <f>'预评函-3'!A4</f>
        <v>3.估价规划限制条件：详见《建设工程规划许可证》[]、《出让合同》[]。</v>
      </c>
    </row>
    <row r="58" spans="1:2" s="2890" customFormat="1" ht="15" thickBot="1">
      <c r="A58" s="2897" t="s">
        <v>2730</v>
      </c>
      <c r="B58" s="2898" t="str">
        <f>'预评函-3'!A5</f>
        <v>4.影响价格的其他限定条件：无。</v>
      </c>
    </row>
    <row r="59" spans="1:2" ht="15" thickTop="1">
      <c r="A59" s="2886" t="s">
        <v>2682</v>
      </c>
      <c r="B59" s="2887" t="str">
        <f>'预评函-3'!A8</f>
        <v>2.本《评估意见函》仅供金融机构进行内部审核使用，不做其他目的之用。</v>
      </c>
    </row>
    <row r="60" spans="1:2">
      <c r="A60" s="2875" t="s">
        <v>2683</v>
      </c>
      <c r="B60" s="2876" t="str">
        <f>'预评函-3'!A9</f>
        <v>3.抵押双方在办理抵押登记手续时，应使用本公司出具的正式《土地估价报告》，特提请报告使用者注意。</v>
      </c>
    </row>
    <row r="61" spans="1:2">
      <c r="A61" s="2875" t="s">
        <v>2685</v>
      </c>
      <c r="B61" s="2876" t="str">
        <f>'预评函-3'!A10</f>
        <v>4.估价师所知悉的法定优先受偿款情况为：</v>
      </c>
    </row>
    <row r="62" spans="1:2">
      <c r="A62" s="2875" t="s">
        <v>2684</v>
      </c>
      <c r="B62" s="2876" t="str">
        <f>'预评函-3'!A11</f>
        <v>（1）根据估价对象《不动产权证书》复印件、，截至估价期日，估价对象抵押权未见登记。</v>
      </c>
    </row>
    <row r="63" spans="1:2">
      <c r="A63" s="2875" t="s">
        <v>2686</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2687</v>
      </c>
      <c r="B64" s="2881" t="str">
        <f>'预评函-3'!A13</f>
        <v>（3）。</v>
      </c>
    </row>
    <row r="65" spans="1:2">
      <c r="A65" s="2875" t="s">
        <v>2688</v>
      </c>
      <c r="B65" s="2882" t="str">
        <f>'预评函-3'!A14</f>
        <v>综上，本次评估估价师知悉的法定优先受偿款为人民币3036万元整。</v>
      </c>
    </row>
    <row r="66" spans="1:2">
      <c r="A66" s="2875" t="s">
        <v>2689</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2690</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2693</v>
      </c>
      <c r="B68" s="2901">
        <f>'预评函-3'!D30</f>
        <v>42558</v>
      </c>
    </row>
    <row r="69" spans="1:2" ht="15" thickTop="1">
      <c r="A69" s="2886" t="s">
        <v>2691</v>
      </c>
      <c r="B69" s="2887" t="str">
        <f>'预评函-3'!A20</f>
        <v>王鹏</v>
      </c>
    </row>
    <row r="70" spans="1:2">
      <c r="A70" s="2875" t="s">
        <v>2691</v>
      </c>
      <c r="B70" s="2882">
        <f ca="1">'预评函-3'!B20</f>
        <v>2002110030</v>
      </c>
    </row>
    <row r="71" spans="1:2">
      <c r="A71" s="2875" t="s">
        <v>2692</v>
      </c>
      <c r="B71" s="2876" t="str">
        <f>'预评函-3'!A21</f>
        <v>郑燚</v>
      </c>
    </row>
    <row r="72" spans="1:2" s="2890" customFormat="1" ht="15" thickBot="1">
      <c r="A72" s="2897" t="s">
        <v>2692</v>
      </c>
      <c r="B72" s="2903">
        <f>'预评函-3'!B21</f>
        <v>2014110011</v>
      </c>
    </row>
    <row r="73" spans="1:2" ht="15" thickTop="1">
      <c r="A73" s="2886" t="s">
        <v>2751</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2752</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2753</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2788</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I28"/>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1940</v>
      </c>
      <c r="B1" s="3237" t="str">
        <f>IF(B10="北京市","北京市",C10)&amp;F10&amp;B16&amp;"国有建设用地使用权"&amp;B9&amp;"预评估"</f>
        <v>北京市通州区西集镇西集村TZ07-0103-0029地块二类居住用地出让国有建设用地使用权抵押价格预评估</v>
      </c>
      <c r="C1" s="3238"/>
      <c r="D1" s="3238"/>
      <c r="E1" s="3238"/>
      <c r="F1" s="3238"/>
      <c r="G1" s="3238"/>
      <c r="H1" s="3238"/>
      <c r="I1" s="3239"/>
      <c r="J1" s="1690"/>
      <c r="K1" s="2452" t="str">
        <f>IF(B10="北京市","北京市",C10)&amp;F10&amp;B16&amp;"国有建设用地使用权"&amp;B9</f>
        <v>北京市通州区西集镇西集村TZ07-0103-0029地块二类居住用地出让国有建设用地使用权抵押价格</v>
      </c>
      <c r="L1" s="1719"/>
      <c r="M1" s="1719"/>
      <c r="N1" s="1690"/>
      <c r="O1" s="1691"/>
      <c r="P1" s="1690"/>
      <c r="Q1" s="1690"/>
      <c r="R1" s="1690"/>
      <c r="S1" s="1690"/>
      <c r="T1" s="1690"/>
      <c r="U1" s="1690"/>
    </row>
    <row r="2" spans="1:21">
      <c r="A2" s="1657" t="s">
        <v>1941</v>
      </c>
      <c r="B2" s="1838"/>
      <c r="D2" s="1690"/>
      <c r="E2" s="1690"/>
      <c r="F2" s="1690"/>
      <c r="G2" s="1690"/>
      <c r="H2" s="1657"/>
      <c r="I2" s="1691"/>
      <c r="J2" s="1690"/>
      <c r="K2" s="2452" t="str">
        <f>IF(B10="北京市","北京市",C10)&amp;F10&amp;B16&amp;"国有建设用地使用权"</f>
        <v>北京市通州区西集镇西集村TZ07-0103-0029地块二类居住用地出让国有建设用地使用权</v>
      </c>
      <c r="L2" s="1719"/>
      <c r="M2" s="1719"/>
      <c r="N2" s="1690"/>
      <c r="O2" s="1691"/>
      <c r="P2" s="1690"/>
      <c r="Q2" s="1690"/>
      <c r="R2" s="1690"/>
      <c r="S2" s="1690"/>
      <c r="T2" s="1690"/>
      <c r="U2" s="1690"/>
    </row>
    <row r="3" spans="1:21">
      <c r="A3" s="1658" t="s">
        <v>1942</v>
      </c>
      <c r="B3" s="1659">
        <v>43327</v>
      </c>
      <c r="C3" s="1660" t="s">
        <v>1996</v>
      </c>
      <c r="D3" s="1659">
        <v>43327</v>
      </c>
      <c r="E3" s="1690"/>
      <c r="F3" s="1690"/>
      <c r="G3" s="1690"/>
      <c r="H3" s="1657"/>
      <c r="I3" s="1691"/>
      <c r="J3" s="1690"/>
      <c r="K3" s="1770"/>
      <c r="L3" s="1719"/>
      <c r="M3" s="1719"/>
      <c r="N3" s="1690"/>
      <c r="O3" s="1691"/>
      <c r="P3" s="1690"/>
      <c r="Q3" s="1690"/>
      <c r="R3" s="1690"/>
      <c r="S3" s="1690"/>
      <c r="T3" s="1690"/>
      <c r="U3" s="1690"/>
    </row>
    <row r="4" spans="1:21" ht="15" thickBot="1">
      <c r="A4" s="1661" t="s">
        <v>1943</v>
      </c>
      <c r="B4" s="1839" t="s">
        <v>2977</v>
      </c>
      <c r="C4" s="1842">
        <f ca="1">SUMIF(土地估价师,B4,估价师及机构信息!E3:E24)</f>
        <v>2002110030</v>
      </c>
      <c r="D4" s="1839" t="s">
        <v>2978</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2" t="s">
        <v>1944</v>
      </c>
      <c r="B5" s="1785" t="s">
        <v>2982</v>
      </c>
      <c r="C5" s="1663"/>
      <c r="D5" s="1664"/>
      <c r="E5" s="1690"/>
      <c r="F5" s="1690"/>
      <c r="G5" s="1690"/>
      <c r="H5" s="1657"/>
      <c r="I5" s="1691"/>
      <c r="J5" s="1690"/>
      <c r="K5" s="1770"/>
      <c r="L5" s="1719"/>
      <c r="M5" s="1719"/>
      <c r="N5" s="1690"/>
      <c r="O5" s="1691"/>
      <c r="P5" s="1690"/>
      <c r="Q5" s="1690"/>
      <c r="R5" s="1690"/>
      <c r="S5" s="1690"/>
      <c r="T5" s="1690"/>
      <c r="U5" s="1690"/>
    </row>
    <row r="6" spans="1:21" ht="26.25">
      <c r="A6" s="1660" t="s">
        <v>2707</v>
      </c>
      <c r="B6" s="1785" t="s">
        <v>2983</v>
      </c>
      <c r="C6" s="1757"/>
      <c r="D6" s="1665"/>
      <c r="E6" s="1690"/>
      <c r="F6" s="1690"/>
      <c r="G6" s="1690"/>
      <c r="H6" s="1657"/>
      <c r="I6" s="1691"/>
      <c r="J6" s="1690"/>
      <c r="K6" s="3051" t="str">
        <f>IF(COUNTIF(B6,"*上海银行*"),"上海银行","")</f>
        <v/>
      </c>
      <c r="L6" s="1719"/>
      <c r="M6" s="1719"/>
      <c r="N6" s="1690"/>
      <c r="O6" s="1691"/>
      <c r="P6" s="1690"/>
      <c r="Q6" s="1690"/>
      <c r="R6" s="1690"/>
      <c r="S6" s="1690"/>
      <c r="T6" s="1690"/>
      <c r="U6" s="1690"/>
    </row>
    <row r="7" spans="1:21">
      <c r="A7" s="1666" t="s">
        <v>2708</v>
      </c>
      <c r="B7" s="1785" t="s">
        <v>3062</v>
      </c>
      <c r="C7" s="1757"/>
      <c r="D7" s="1665"/>
      <c r="E7" s="1690"/>
      <c r="F7" s="1690"/>
      <c r="G7" s="1690"/>
      <c r="H7" s="1657"/>
      <c r="I7" s="1691"/>
      <c r="J7" s="1690"/>
      <c r="K7" s="1770"/>
      <c r="L7" s="1719"/>
      <c r="M7" s="1719"/>
      <c r="N7" s="1690"/>
      <c r="O7" s="1691"/>
      <c r="P7" s="1690"/>
      <c r="Q7" s="1690"/>
      <c r="R7" s="1690"/>
      <c r="S7" s="1690"/>
      <c r="T7" s="1690"/>
      <c r="U7" s="1690"/>
    </row>
    <row r="8" spans="1:21">
      <c r="A8" s="1666" t="s">
        <v>1945</v>
      </c>
      <c r="B8" s="1667" t="s">
        <v>2979</v>
      </c>
      <c r="C8" s="1668"/>
      <c r="D8" s="3243" t="s">
        <v>1947</v>
      </c>
      <c r="E8" s="1840" t="s">
        <v>2980</v>
      </c>
      <c r="F8" s="1669"/>
      <c r="G8" s="1657"/>
      <c r="H8" s="1657"/>
      <c r="I8" s="1703"/>
      <c r="J8" s="1690"/>
      <c r="K8" s="1770"/>
      <c r="L8" s="1719"/>
      <c r="M8" s="1719"/>
      <c r="N8" s="1690"/>
      <c r="O8" s="1691"/>
      <c r="P8" s="1690"/>
      <c r="Q8" s="1690"/>
      <c r="R8" s="1690"/>
      <c r="S8" s="1690"/>
      <c r="T8" s="1690"/>
      <c r="U8" s="1690"/>
    </row>
    <row r="9" spans="1:21" ht="15" thickBot="1">
      <c r="A9" s="1670" t="s">
        <v>1946</v>
      </c>
      <c r="B9" s="1671" t="s">
        <v>2980</v>
      </c>
      <c r="C9" s="1672"/>
      <c r="D9" s="3244"/>
      <c r="E9" s="1671" t="s">
        <v>952</v>
      </c>
      <c r="F9" s="1743"/>
      <c r="G9" s="1738"/>
      <c r="H9" s="1738"/>
      <c r="I9" s="1739"/>
      <c r="J9" s="1690"/>
      <c r="K9" s="1770"/>
      <c r="L9" s="1719"/>
      <c r="M9" s="1719"/>
      <c r="N9" s="1690"/>
      <c r="O9" s="1691"/>
      <c r="P9" s="1690"/>
      <c r="Q9" s="1690"/>
      <c r="R9" s="1690"/>
      <c r="S9" s="1690"/>
      <c r="T9" s="1690"/>
      <c r="U9" s="1690"/>
    </row>
    <row r="10" spans="1:21" ht="15" thickTop="1">
      <c r="A10" s="1740" t="s">
        <v>2000</v>
      </c>
      <c r="B10" s="1715" t="s">
        <v>1948</v>
      </c>
      <c r="C10" s="1673"/>
      <c r="D10" s="1664"/>
      <c r="E10" s="1674" t="s">
        <v>1949</v>
      </c>
      <c r="F10" s="1675" t="s">
        <v>3074</v>
      </c>
      <c r="G10" s="1741"/>
      <c r="H10" s="1742"/>
      <c r="I10" s="1664"/>
      <c r="J10" s="1690"/>
      <c r="K10" s="1770"/>
      <c r="L10" s="1719"/>
      <c r="M10" s="1719"/>
      <c r="N10" s="1690"/>
      <c r="O10" s="1691"/>
      <c r="P10" s="1690"/>
      <c r="Q10" s="1690"/>
      <c r="R10" s="1690"/>
      <c r="S10" s="1690"/>
      <c r="T10" s="1690"/>
      <c r="U10" s="1690"/>
    </row>
    <row r="11" spans="1:21">
      <c r="A11" s="1693" t="s">
        <v>2001</v>
      </c>
      <c r="B11" s="1694" t="s">
        <v>2981</v>
      </c>
      <c r="C11" s="1785" t="s">
        <v>3075</v>
      </c>
      <c r="D11" s="1758"/>
      <c r="E11" s="1657"/>
      <c r="F11" s="1657"/>
      <c r="G11" s="1657"/>
      <c r="H11" s="1657"/>
      <c r="I11" s="1657"/>
      <c r="J11" s="1690"/>
      <c r="K11" s="1770"/>
      <c r="L11" s="1719"/>
      <c r="M11" s="1719"/>
      <c r="N11" s="1690"/>
      <c r="O11" s="1691"/>
      <c r="P11" s="1690"/>
      <c r="Q11" s="1690"/>
      <c r="R11" s="1690"/>
      <c r="S11" s="1690"/>
      <c r="T11" s="1690"/>
      <c r="U11" s="1690"/>
    </row>
    <row r="12" spans="1:21">
      <c r="A12" s="1781" t="s">
        <v>2059</v>
      </c>
      <c r="B12" s="3240" t="s">
        <v>2984</v>
      </c>
      <c r="C12" s="3241"/>
      <c r="D12" s="3242"/>
      <c r="E12" s="1695" t="s">
        <v>2062</v>
      </c>
      <c r="F12" s="3258" t="s">
        <v>2890</v>
      </c>
      <c r="G12" s="3259"/>
      <c r="H12" s="3259"/>
      <c r="I12" s="3260"/>
      <c r="J12" s="1690"/>
      <c r="K12" s="1770"/>
      <c r="L12" s="1719"/>
      <c r="M12" s="1719"/>
      <c r="N12" s="1690"/>
      <c r="O12" s="1691"/>
      <c r="P12" s="1690"/>
      <c r="Q12" s="1690"/>
      <c r="R12" s="1690"/>
      <c r="S12" s="1690"/>
      <c r="T12" s="1690"/>
      <c r="U12" s="1690"/>
    </row>
    <row r="13" spans="1:21">
      <c r="A13" s="1683" t="s">
        <v>2060</v>
      </c>
      <c r="B13" s="3240"/>
      <c r="C13" s="3241"/>
      <c r="D13" s="3242"/>
      <c r="E13" s="1695" t="s">
        <v>2062</v>
      </c>
      <c r="F13" s="3258" t="s">
        <v>2891</v>
      </c>
      <c r="G13" s="3259"/>
      <c r="H13" s="3259"/>
      <c r="I13" s="3260"/>
      <c r="J13" s="1690"/>
      <c r="K13" s="1770"/>
      <c r="L13" s="1719"/>
      <c r="M13" s="1719"/>
      <c r="N13" s="1690"/>
      <c r="O13" s="1691"/>
      <c r="P13" s="1690"/>
      <c r="Q13" s="1690"/>
      <c r="R13" s="1690"/>
      <c r="S13" s="1690"/>
      <c r="T13" s="1690"/>
      <c r="U13" s="1690"/>
    </row>
    <row r="14" spans="1:21">
      <c r="A14" s="1658" t="s">
        <v>2063</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42"/>
      <c r="B15" s="1660"/>
      <c r="C15" s="1660"/>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2987</v>
      </c>
      <c r="C16" s="1695" t="s">
        <v>1951</v>
      </c>
      <c r="D16" s="2643" t="s">
        <v>1952</v>
      </c>
      <c r="E16" s="1718" t="s">
        <v>2988</v>
      </c>
      <c r="F16" s="1718"/>
      <c r="G16" s="1718" t="s">
        <v>35</v>
      </c>
      <c r="H16" s="1718" t="s">
        <v>3065</v>
      </c>
      <c r="I16" s="1682" t="s">
        <v>1957</v>
      </c>
      <c r="J16" s="1690"/>
      <c r="K16" s="2453" t="str">
        <f>IF(D17="","",D16&amp;TEXT(D17,"yyyy年m月d日;;"))</f>
        <v>住宅2087年11月7日</v>
      </c>
      <c r="L16" s="1695" t="str">
        <f>IF(OR(K16="",M16=""),"","、")</f>
        <v>、</v>
      </c>
      <c r="M16" s="2453" t="str">
        <f>IF(E17="","",E16&amp;TEXT(E17,"yyyy年m月d日;;"))</f>
        <v>商业2057年11月7日</v>
      </c>
      <c r="N16" s="1695" t="str">
        <f>IF(OR(M16="",O16=""),"","、")</f>
        <v/>
      </c>
      <c r="O16" s="2453" t="str">
        <f>IF(F17="","",F16&amp;TEXT(F17,"yyyy年m月d日;;"))</f>
        <v/>
      </c>
      <c r="P16" s="1695" t="str">
        <f>IF(OR(O16="",Q16=""),"","、")</f>
        <v/>
      </c>
      <c r="Q16" s="2453" t="str">
        <f>IF(G17="","",G16&amp;TEXT(G17,"yyyy年m月d日;;"))</f>
        <v>地下车库2067年11月7日</v>
      </c>
      <c r="R16" s="1695" t="str">
        <f>IF(OR(Q16="",S16=""),"","、")</f>
        <v>、</v>
      </c>
      <c r="S16" s="2453" t="str">
        <f>IF(H17="","",H16&amp;TEXT(H17,"yyyy年m月d日;;"))</f>
        <v>地下仓储2067年11月7日</v>
      </c>
      <c r="T16" s="1695" t="str">
        <f>IF(OR(S16="",U16=""),"","、")</f>
        <v/>
      </c>
      <c r="U16" s="2453" t="str">
        <f>IF(I17="","",I16&amp;TEXT(I17,"yyyy年m月d日;;"))</f>
        <v/>
      </c>
    </row>
    <row r="17" spans="1:21">
      <c r="A17" s="1759"/>
      <c r="B17" s="1678"/>
      <c r="C17" s="1679" t="s">
        <v>1958</v>
      </c>
      <c r="D17" s="1696">
        <v>68613</v>
      </c>
      <c r="E17" s="1696">
        <v>57656</v>
      </c>
      <c r="F17" s="1696"/>
      <c r="G17" s="1696">
        <v>61308</v>
      </c>
      <c r="H17" s="1696">
        <v>61308</v>
      </c>
      <c r="I17" s="1696"/>
      <c r="J17" s="1690"/>
      <c r="K17" s="2452" t="str">
        <f>CONCATENATE(K16,L16,M16,N16,O16,P16,Q16,R16,S16,T16,,U16)</f>
        <v>住宅2087年11月7日、商业2057年11月7日地下车库2067年11月7日、地下仓储2067年11月7日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7" t="s">
        <v>1960</v>
      </c>
      <c r="D19" s="1754">
        <f>IF(B16="出让",IF(D17="","",ROUNDDOWN(MIN((D17-$D$3)/365,D18),2)),D18)</f>
        <v>69.27</v>
      </c>
      <c r="E19" s="1681">
        <f>IF(B16="出让",IF(E17="","",ROUNDDOWN(MIN((E17-$D$3)/365,E18),2)),E18)</f>
        <v>39.25</v>
      </c>
      <c r="F19" s="1681" t="str">
        <f>IF(B16="出让",IF(F17="","",ROUNDDOWN(MIN((F17-$D$3)/365,F18),2)),F18)</f>
        <v/>
      </c>
      <c r="G19" s="1681">
        <f>IF(B16="出让",IF(G17="","",ROUNDDOWN(MIN((G17-$D$3)/365,G18),2)),G18)</f>
        <v>49.26</v>
      </c>
      <c r="H19" s="1681">
        <f>IF(B16="出让",IF(H17="","",ROUNDDOWN(MIN((H17-$D$3)/365,H18),2)),H18)</f>
        <v>49.26</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55"/>
      <c r="E20" s="3256"/>
      <c r="F20" s="3256"/>
      <c r="G20" s="3256"/>
      <c r="H20" s="3256"/>
      <c r="I20" s="3257"/>
      <c r="J20" s="1690"/>
      <c r="K20" s="1770"/>
      <c r="L20" s="1719"/>
      <c r="M20" s="1719"/>
      <c r="N20" s="1690"/>
      <c r="O20" s="1691"/>
      <c r="P20" s="1690"/>
      <c r="Q20" s="1690"/>
      <c r="R20" s="1690"/>
      <c r="S20" s="1690"/>
      <c r="T20" s="1690"/>
      <c r="U20" s="1690"/>
    </row>
    <row r="21" spans="1:21">
      <c r="A21" s="1759" t="s">
        <v>1961</v>
      </c>
      <c r="B21" s="1760" t="s">
        <v>1962</v>
      </c>
      <c r="C21" s="1755">
        <f>'数据-汇总表'!E3</f>
        <v>165129.68</v>
      </c>
      <c r="D21" s="1756" t="s">
        <v>1963</v>
      </c>
      <c r="E21" s="3245" t="s">
        <v>1999</v>
      </c>
      <c r="F21" s="3246"/>
      <c r="G21" s="3246"/>
      <c r="H21" s="3246"/>
      <c r="I21" s="3247"/>
      <c r="J21" s="1690"/>
      <c r="K21" s="1770"/>
      <c r="L21" s="1719"/>
      <c r="M21" s="1719"/>
      <c r="N21" s="1690"/>
      <c r="O21" s="1691"/>
      <c r="P21" s="1690"/>
      <c r="Q21" s="1690"/>
      <c r="R21" s="1690"/>
      <c r="S21" s="1690"/>
      <c r="T21" s="1690"/>
      <c r="U21" s="1690"/>
    </row>
    <row r="22" spans="1:21">
      <c r="A22" s="3144" t="s">
        <v>952</v>
      </c>
      <c r="B22" s="1658" t="s">
        <v>1964</v>
      </c>
      <c r="C22" s="1682">
        <f>'数据-汇总表'!D3</f>
        <v>81664.259999999995</v>
      </c>
      <c r="D22" s="1683" t="s">
        <v>1963</v>
      </c>
      <c r="E22" s="3245" t="s">
        <v>2892</v>
      </c>
      <c r="F22" s="3246"/>
      <c r="G22" s="3246"/>
      <c r="H22" s="3246"/>
      <c r="I22" s="3247"/>
      <c r="J22" s="1690"/>
      <c r="K22" s="1770"/>
      <c r="L22" s="1719"/>
      <c r="M22" s="1719"/>
      <c r="N22" s="1690"/>
      <c r="O22" s="1691"/>
      <c r="P22" s="1690"/>
      <c r="Q22" s="1690"/>
      <c r="R22" s="1690"/>
      <c r="S22" s="1690"/>
      <c r="T22" s="1690"/>
      <c r="U22" s="1690"/>
    </row>
    <row r="23" spans="1:21" ht="43.5" thickBot="1">
      <c r="A23" s="1761" t="s">
        <v>1965</v>
      </c>
      <c r="B23" s="1697" t="s">
        <v>1966</v>
      </c>
      <c r="C23" s="1698" t="s">
        <v>2995</v>
      </c>
      <c r="D23" s="1699" t="s">
        <v>1967</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48" t="s">
        <v>1969</v>
      </c>
      <c r="C24" s="3249"/>
      <c r="D24" s="3250" t="s">
        <v>1970</v>
      </c>
      <c r="E24" s="3251"/>
      <c r="F24" s="1704" t="s">
        <v>1971</v>
      </c>
      <c r="G24" s="1690"/>
      <c r="H24" s="1690"/>
      <c r="I24" s="1703"/>
      <c r="J24" s="1690"/>
      <c r="K24" s="3236" t="s">
        <v>1972</v>
      </c>
      <c r="L24" s="245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2326</v>
      </c>
      <c r="C25" s="1705" t="s">
        <v>2327</v>
      </c>
      <c r="D25" s="1706"/>
      <c r="E25" s="1707" t="s">
        <v>952</v>
      </c>
      <c r="F25" s="1708"/>
      <c r="G25" s="1690"/>
      <c r="H25" s="1690"/>
      <c r="I25" s="1703"/>
      <c r="J25" s="1690"/>
      <c r="K25" s="3236"/>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7"/>
      <c r="E26" s="1657"/>
      <c r="F26" s="1684"/>
      <c r="G26" s="1690"/>
      <c r="H26" s="1690"/>
      <c r="I26" s="1703"/>
      <c r="J26" s="1690"/>
      <c r="K26" s="3236"/>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48"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49"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49"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50"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22" t="s">
        <v>2002</v>
      </c>
      <c r="B31" s="1760" t="s">
        <v>2003</v>
      </c>
      <c r="C31" s="3261" t="s">
        <v>2993</v>
      </c>
      <c r="D31" s="3262"/>
      <c r="E31" s="1690"/>
      <c r="F31" s="1690"/>
      <c r="G31" s="1690"/>
      <c r="H31" s="1690"/>
      <c r="I31" s="1703"/>
      <c r="J31" s="1690"/>
      <c r="K31" s="2455"/>
      <c r="L31" s="1690"/>
      <c r="M31" s="1690"/>
      <c r="N31" s="1690"/>
      <c r="O31" s="1690"/>
      <c r="P31" s="1690"/>
      <c r="Q31" s="1690"/>
      <c r="R31" s="1690"/>
      <c r="S31" s="1690"/>
      <c r="T31" s="1690"/>
      <c r="U31" s="1690"/>
    </row>
    <row r="32" spans="1:21">
      <c r="A32" s="3222"/>
      <c r="B32" s="1658" t="s">
        <v>2004</v>
      </c>
      <c r="C32" s="1715" t="s">
        <v>2994</v>
      </c>
      <c r="D32" s="1716"/>
      <c r="E32" s="1690"/>
      <c r="F32" s="1690"/>
      <c r="G32" s="1690"/>
      <c r="H32" s="1690"/>
      <c r="I32" s="1703"/>
      <c r="J32" s="1690"/>
      <c r="K32" s="2455"/>
      <c r="L32" s="1690"/>
      <c r="M32" s="1690"/>
      <c r="N32" s="1690"/>
      <c r="O32" s="1690"/>
      <c r="P32" s="1690"/>
      <c r="Q32" s="1690"/>
      <c r="R32" s="1690"/>
      <c r="S32" s="1690"/>
      <c r="T32" s="1690"/>
      <c r="U32" s="1690"/>
    </row>
    <row r="33" spans="1:21">
      <c r="A33" s="3222"/>
      <c r="B33" s="1658" t="s">
        <v>2005</v>
      </c>
      <c r="C33" s="1717" t="s">
        <v>2996</v>
      </c>
      <c r="D33" s="1834"/>
      <c r="E33" s="1690"/>
      <c r="F33" s="1690"/>
      <c r="G33" s="1690"/>
      <c r="H33" s="1690"/>
      <c r="I33" s="1703"/>
      <c r="J33" s="1690"/>
      <c r="K33" s="2455"/>
      <c r="L33" s="1690"/>
      <c r="M33" s="1690"/>
      <c r="N33" s="1690"/>
      <c r="O33" s="1690"/>
      <c r="P33" s="1690"/>
      <c r="Q33" s="1690"/>
      <c r="R33" s="1690"/>
      <c r="S33" s="1690"/>
      <c r="T33" s="1690"/>
      <c r="U33" s="1690"/>
    </row>
    <row r="34" spans="1:21">
      <c r="A34" s="3223"/>
      <c r="B34" s="1658" t="s">
        <v>2006</v>
      </c>
      <c r="C34" s="3224"/>
      <c r="D34" s="3225"/>
      <c r="E34" s="1690"/>
      <c r="F34" s="1690"/>
      <c r="G34" s="1690"/>
      <c r="H34" s="1690"/>
      <c r="I34" s="1703"/>
      <c r="J34" s="1690"/>
      <c r="K34" s="2455"/>
      <c r="L34" s="1690"/>
      <c r="M34" s="1690"/>
      <c r="N34" s="1690"/>
      <c r="O34" s="1690"/>
      <c r="P34" s="1690"/>
      <c r="Q34" s="1690"/>
      <c r="R34" s="1690"/>
      <c r="S34" s="1690"/>
      <c r="T34" s="1690"/>
      <c r="U34" s="1690"/>
    </row>
    <row r="35" spans="1:21">
      <c r="A35" s="3226" t="s">
        <v>847</v>
      </c>
      <c r="B35" s="1718" t="s">
        <v>2992</v>
      </c>
      <c r="C35" s="1772" t="str">
        <f>IF(B35="场地平整","——","具体情况：")</f>
        <v>——</v>
      </c>
      <c r="D35" s="3228"/>
      <c r="E35" s="3229"/>
      <c r="F35" s="3229"/>
      <c r="G35" s="3229"/>
      <c r="H35" s="3229"/>
      <c r="I35" s="3230"/>
      <c r="J35" s="1690"/>
      <c r="K35" s="1771"/>
      <c r="L35" s="1719"/>
      <c r="M35" s="1719"/>
      <c r="N35" s="1690"/>
      <c r="O35" s="1691"/>
      <c r="P35" s="1690"/>
      <c r="Q35" s="1690"/>
      <c r="R35" s="1690"/>
      <c r="S35" s="1690"/>
      <c r="T35" s="1690"/>
      <c r="U35" s="1690"/>
    </row>
    <row r="36" spans="1:21">
      <c r="A36" s="3222"/>
      <c r="B36" s="3231" t="s">
        <v>2055</v>
      </c>
      <c r="C36" s="3232"/>
      <c r="D36" s="1788" t="s">
        <v>2997</v>
      </c>
      <c r="E36" s="3233"/>
      <c r="F36" s="3233"/>
      <c r="G36" s="1683" t="str">
        <f>IF(B35="场地未平整","估价结果处理","")</f>
        <v/>
      </c>
      <c r="H36" s="3234"/>
      <c r="I36" s="3234"/>
      <c r="J36" s="1690"/>
      <c r="K36" s="1771"/>
      <c r="L36" s="1719"/>
      <c r="M36" s="1719"/>
      <c r="N36" s="1690"/>
      <c r="O36" s="1691"/>
      <c r="P36" s="1690"/>
      <c r="Q36" s="1690"/>
      <c r="R36" s="1690"/>
      <c r="S36" s="1690"/>
      <c r="T36" s="1690"/>
      <c r="U36" s="1690"/>
    </row>
    <row r="37" spans="1:21" ht="28.5">
      <c r="A37" s="3222"/>
      <c r="B37" s="3252"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22"/>
      <c r="B38" s="3253"/>
      <c r="C38" s="1666" t="s">
        <v>850</v>
      </c>
      <c r="D38" s="1787">
        <f>ROUNDDOWN(MIN(('数据-取费表'!$B$2-D37)/365,D34),1)</f>
        <v>118.7</v>
      </c>
      <c r="E38" s="1723" t="s">
        <v>851</v>
      </c>
      <c r="F38" s="1690"/>
      <c r="G38" s="1690"/>
      <c r="H38" s="1690"/>
      <c r="I38" s="1703"/>
      <c r="J38" s="1690"/>
      <c r="K38" s="1771"/>
      <c r="L38" s="1690"/>
      <c r="M38" s="1690"/>
      <c r="N38" s="1690"/>
      <c r="O38" s="1690"/>
      <c r="P38" s="1690"/>
      <c r="Q38" s="1690"/>
      <c r="R38" s="1690"/>
      <c r="S38" s="1690"/>
      <c r="T38" s="1690"/>
      <c r="U38" s="1690"/>
    </row>
    <row r="39" spans="1:21">
      <c r="A39" s="3223"/>
      <c r="B39" s="3254"/>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2989</v>
      </c>
      <c r="C40" s="1686" t="s">
        <v>2990</v>
      </c>
      <c r="D40" s="1686" t="s">
        <v>2991</v>
      </c>
      <c r="E40" s="1686"/>
      <c r="F40" s="1686"/>
      <c r="G40" s="1686"/>
      <c r="H40" s="1686"/>
      <c r="I40" s="1703"/>
      <c r="J40" s="1690"/>
      <c r="K40" s="1726">
        <f>COUNTIF(B40:H40,"——")</f>
        <v>0</v>
      </c>
      <c r="L40" s="1695" t="s">
        <v>1979</v>
      </c>
      <c r="M40" s="1692" t="s">
        <v>1980</v>
      </c>
      <c r="N40" s="1692" t="s">
        <v>1981</v>
      </c>
      <c r="O40" s="1692" t="s">
        <v>1982</v>
      </c>
      <c r="P40" s="1692" t="s">
        <v>1983</v>
      </c>
      <c r="Q40" s="1692" t="s">
        <v>1984</v>
      </c>
      <c r="R40" s="1692" t="s">
        <v>1985</v>
      </c>
      <c r="S40" s="3235" t="s">
        <v>1986</v>
      </c>
      <c r="T40" s="1727" t="str">
        <f>NUMBERSTRING(7-K40,1)&amp;"通"</f>
        <v>七通</v>
      </c>
      <c r="U40" s="1690"/>
    </row>
    <row r="41" spans="1:21">
      <c r="A41" s="1660"/>
      <c r="B41" s="3227" t="s">
        <v>1722</v>
      </c>
      <c r="C41" s="3227"/>
      <c r="D41" s="3227"/>
      <c r="E41" s="3227"/>
      <c r="F41" s="1728">
        <f>C10</f>
        <v>0</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35"/>
      <c r="T41" s="1729" t="str">
        <f>IF(T40="一通",L41,IF(T40="二通",M41,IF(T40="三通",N41,IF(T40="四通",O41,IF(T40="五通",P41,IF(T40="六通",Q41,R41))))))</f>
        <v>通路、通电、通上水、、、、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3031</v>
      </c>
      <c r="C43" s="1734" t="s">
        <v>3031</v>
      </c>
      <c r="D43" s="1734" t="s">
        <v>3031</v>
      </c>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t="s">
        <v>3032</v>
      </c>
      <c r="C44" s="1734" t="s">
        <v>3032</v>
      </c>
      <c r="D44" s="1734" t="s">
        <v>3032</v>
      </c>
      <c r="E44" s="1788"/>
      <c r="F44" s="1735"/>
      <c r="G44" s="1690"/>
      <c r="H44" s="1690"/>
      <c r="I44" s="1703"/>
      <c r="J44" s="1690"/>
      <c r="K44" s="1770"/>
      <c r="L44" s="1719"/>
      <c r="M44" s="1719"/>
      <c r="N44" s="1690"/>
      <c r="O44" s="1691"/>
      <c r="P44" s="1690"/>
      <c r="Q44" s="1690"/>
      <c r="R44" s="1690"/>
      <c r="S44" s="1690"/>
      <c r="T44" s="1690"/>
      <c r="U44" s="1690"/>
    </row>
    <row r="45" spans="1:21" s="3068" customFormat="1" ht="21" thickBot="1">
      <c r="A45" s="3069" t="s">
        <v>2893</v>
      </c>
      <c r="B45" s="3064"/>
      <c r="C45" s="3064"/>
      <c r="D45" s="3064"/>
      <c r="E45" s="3064"/>
      <c r="F45" s="3064"/>
      <c r="G45" s="3064"/>
      <c r="H45" s="3064"/>
      <c r="I45" s="3065"/>
      <c r="J45" s="3064"/>
      <c r="K45" s="3066"/>
      <c r="L45" s="3067"/>
      <c r="M45" s="3067"/>
      <c r="N45" s="3064"/>
      <c r="O45" s="3065"/>
      <c r="P45" s="3064"/>
      <c r="Q45" s="3064"/>
      <c r="R45" s="3064"/>
      <c r="S45" s="3064"/>
      <c r="T45" s="3064"/>
      <c r="U45" s="3064"/>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P27" sqref="P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2334</v>
      </c>
      <c r="BA2" s="2358"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50816.82+30847.44</f>
        <v>81664.259999999995</v>
      </c>
      <c r="B3" s="22">
        <f>IF(C3="否",G5-AT5,G5)</f>
        <v>165129.68</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165129.68</v>
      </c>
      <c r="H5" s="27">
        <f t="shared" ref="H5:AT5" si="0">SUM(H13:H641)</f>
        <v>150147.44</v>
      </c>
      <c r="I5" s="27">
        <f t="shared" si="0"/>
        <v>90547</v>
      </c>
      <c r="J5" s="27">
        <f t="shared" si="0"/>
        <v>0</v>
      </c>
      <c r="K5" s="27">
        <f t="shared" si="0"/>
        <v>7450</v>
      </c>
      <c r="L5" s="27">
        <f t="shared" si="0"/>
        <v>0</v>
      </c>
      <c r="M5" s="27">
        <f t="shared" si="0"/>
        <v>2000</v>
      </c>
      <c r="N5" s="27">
        <f t="shared" si="0"/>
        <v>0</v>
      </c>
      <c r="O5" s="27">
        <f t="shared" si="0"/>
        <v>39760</v>
      </c>
      <c r="P5" s="27">
        <f t="shared" si="0"/>
        <v>0</v>
      </c>
      <c r="Q5" s="27">
        <f t="shared" si="0"/>
        <v>10390.44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14982.239999999998</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14982.239999999998</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165129.68</v>
      </c>
      <c r="BA5" s="29">
        <f t="shared" si="1"/>
        <v>150147.44</v>
      </c>
      <c r="BB5" s="29">
        <f t="shared" si="1"/>
        <v>90547</v>
      </c>
      <c r="BC5" s="29">
        <f t="shared" si="1"/>
        <v>7450</v>
      </c>
      <c r="BD5" s="29">
        <f t="shared" si="1"/>
        <v>2000</v>
      </c>
      <c r="BE5" s="29">
        <f t="shared" si="1"/>
        <v>39760</v>
      </c>
      <c r="BF5" s="29">
        <f t="shared" si="1"/>
        <v>10390.44</v>
      </c>
      <c r="BG5" s="29">
        <f t="shared" si="1"/>
        <v>0</v>
      </c>
      <c r="BH5" s="29">
        <f t="shared" si="1"/>
        <v>0</v>
      </c>
      <c r="BI5" s="29">
        <f t="shared" si="1"/>
        <v>0</v>
      </c>
      <c r="BJ5" s="29">
        <f t="shared" si="1"/>
        <v>0</v>
      </c>
      <c r="BK5" s="29">
        <f t="shared" si="1"/>
        <v>0</v>
      </c>
      <c r="BL5" s="29">
        <f t="shared" si="1"/>
        <v>14982.239999999998</v>
      </c>
      <c r="BM5" s="29">
        <f t="shared" si="1"/>
        <v>0</v>
      </c>
      <c r="BN5" s="29">
        <f t="shared" si="1"/>
        <v>0</v>
      </c>
      <c r="BO5" s="29">
        <f t="shared" si="1"/>
        <v>0</v>
      </c>
      <c r="BP5" s="29">
        <f t="shared" si="1"/>
        <v>0</v>
      </c>
      <c r="BQ5" s="29">
        <f t="shared" si="1"/>
        <v>0</v>
      </c>
      <c r="BR5" s="29">
        <f t="shared" si="1"/>
        <v>14982.239999999998</v>
      </c>
      <c r="BS5" s="29">
        <f t="shared" si="1"/>
        <v>0</v>
      </c>
      <c r="BT5" s="30">
        <f t="shared" si="1"/>
        <v>0</v>
      </c>
    </row>
    <row r="6" spans="1:72" s="37" customFormat="1" ht="12.75">
      <c r="A6" s="26" t="s">
        <v>169</v>
      </c>
      <c r="B6" s="31"/>
      <c r="C6" s="31"/>
      <c r="D6" s="32"/>
      <c r="E6" s="27">
        <f>H6+AC6+AT6</f>
        <v>81664.260000000009</v>
      </c>
      <c r="F6" s="27" t="s">
        <v>1</v>
      </c>
      <c r="G6" s="27" t="s">
        <v>2</v>
      </c>
      <c r="H6" s="33">
        <f>SUMIF(I$12:AB$12,"总值",I6:AB6)</f>
        <v>74254.850000000006</v>
      </c>
      <c r="I6" s="27">
        <f t="shared" ref="I6:AB6" si="2">ROUND($A$3*I5/$B$3,2)</f>
        <v>44779.68</v>
      </c>
      <c r="J6" s="27">
        <f t="shared" si="2"/>
        <v>0</v>
      </c>
      <c r="K6" s="27">
        <f t="shared" si="2"/>
        <v>3684.37</v>
      </c>
      <c r="L6" s="27">
        <f t="shared" si="2"/>
        <v>0</v>
      </c>
      <c r="M6" s="27">
        <f t="shared" si="2"/>
        <v>989.09</v>
      </c>
      <c r="N6" s="27">
        <f t="shared" si="2"/>
        <v>0</v>
      </c>
      <c r="O6" s="27">
        <f t="shared" si="2"/>
        <v>19663.16</v>
      </c>
      <c r="P6" s="27">
        <f t="shared" si="2"/>
        <v>0</v>
      </c>
      <c r="Q6" s="27">
        <f t="shared" si="2"/>
        <v>5138.55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7409.41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7409.41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81664.259999999995</v>
      </c>
      <c r="AZ6" s="27" t="s">
        <v>3</v>
      </c>
      <c r="BA6" s="27">
        <f>ROUND($AY$6*BA5/$AZ$5,2)</f>
        <v>74254.850000000006</v>
      </c>
      <c r="BB6" s="27">
        <f>ROUND($AY$6*BB5/$AZ$5,2)</f>
        <v>44779.68</v>
      </c>
      <c r="BC6" s="27">
        <f t="shared" ref="BC6:BH6" si="4">ROUND($AY$6*BC5/$AZ$5,2)</f>
        <v>3684.37</v>
      </c>
      <c r="BD6" s="27">
        <f t="shared" si="4"/>
        <v>989.09</v>
      </c>
      <c r="BE6" s="27">
        <f t="shared" si="4"/>
        <v>19663.16</v>
      </c>
      <c r="BF6" s="27">
        <f t="shared" si="4"/>
        <v>5138.55</v>
      </c>
      <c r="BG6" s="27">
        <f t="shared" si="4"/>
        <v>0</v>
      </c>
      <c r="BH6" s="27">
        <f t="shared" si="4"/>
        <v>0</v>
      </c>
      <c r="BI6" s="27">
        <f t="shared" ref="BI6:BT6" si="5">ROUND($AY$6*BI5/$AZ$5,2)</f>
        <v>0</v>
      </c>
      <c r="BJ6" s="27">
        <f t="shared" si="5"/>
        <v>0</v>
      </c>
      <c r="BK6" s="27">
        <f t="shared" si="5"/>
        <v>0</v>
      </c>
      <c r="BL6" s="27">
        <f t="shared" si="5"/>
        <v>7409.41</v>
      </c>
      <c r="BM6" s="27">
        <f t="shared" si="5"/>
        <v>0</v>
      </c>
      <c r="BN6" s="27">
        <f t="shared" si="5"/>
        <v>0</v>
      </c>
      <c r="BO6" s="27">
        <f t="shared" si="5"/>
        <v>0</v>
      </c>
      <c r="BP6" s="27">
        <f t="shared" si="5"/>
        <v>0</v>
      </c>
      <c r="BQ6" s="27">
        <f t="shared" si="5"/>
        <v>0</v>
      </c>
      <c r="BR6" s="27">
        <f t="shared" si="5"/>
        <v>7409.41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4" t="s">
        <v>3000</v>
      </c>
      <c r="J9" s="51"/>
      <c r="K9" s="3014" t="s">
        <v>3000</v>
      </c>
      <c r="L9" s="51"/>
      <c r="M9" s="3014" t="s">
        <v>3002</v>
      </c>
      <c r="N9" s="51"/>
      <c r="O9" s="59" t="s">
        <v>3002</v>
      </c>
      <c r="P9" s="51"/>
      <c r="Q9" s="59" t="s">
        <v>3002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4" t="s">
        <v>923</v>
      </c>
      <c r="J10" s="51"/>
      <c r="K10" s="3016" t="s">
        <v>2988</v>
      </c>
      <c r="L10" s="51"/>
      <c r="M10" s="3016" t="s">
        <v>2988</v>
      </c>
      <c r="N10" s="51"/>
      <c r="O10" s="66" t="s">
        <v>3004</v>
      </c>
      <c r="P10" s="51"/>
      <c r="Q10" s="66" t="s">
        <v>3070</v>
      </c>
      <c r="R10" s="51"/>
      <c r="S10" s="66"/>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5" t="s">
        <v>3001</v>
      </c>
      <c r="J11" s="71"/>
      <c r="K11" s="3015" t="s">
        <v>3003</v>
      </c>
      <c r="L11" s="71"/>
      <c r="M11" s="70" t="s">
        <v>3003</v>
      </c>
      <c r="N11" s="71"/>
      <c r="O11" s="70" t="s">
        <v>3004</v>
      </c>
      <c r="P11" s="71"/>
      <c r="Q11" s="70" t="s">
        <v>3071</v>
      </c>
      <c r="R11" s="71"/>
      <c r="S11" s="70"/>
      <c r="T11" s="71"/>
      <c r="U11" s="70"/>
      <c r="V11" s="71"/>
      <c r="W11" s="70"/>
      <c r="X11" s="71"/>
      <c r="Y11" s="70"/>
      <c r="Z11" s="71"/>
      <c r="AA11" s="70"/>
      <c r="AB11" s="71"/>
      <c r="AC11" s="55"/>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商业</v>
      </c>
      <c r="BE11" s="50" t="str">
        <f>O10</f>
        <v>车库</v>
      </c>
      <c r="BF11" s="50" t="str">
        <f>Q10</f>
        <v>仓储</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独立商业</v>
      </c>
      <c r="BD12" s="79" t="str">
        <f>M11</f>
        <v>独立商业</v>
      </c>
      <c r="BE12" s="50" t="str">
        <f>O11</f>
        <v>车库</v>
      </c>
      <c r="BF12" s="50" t="str">
        <f>Q11</f>
        <v>戊类库房</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0"/>
      <c r="B13" s="3010"/>
      <c r="C13" s="3010" t="s">
        <v>3066</v>
      </c>
      <c r="D13" s="3011" t="s">
        <v>1679</v>
      </c>
      <c r="E13" s="27">
        <f t="shared" ref="E13:E20" si="6">IF($C$3="是",ROUND($A$3*G13/$B$3,2),ROUND($A$3*(G13-AT13)/$B$3,2))</f>
        <v>52189.09</v>
      </c>
      <c r="F13" s="81"/>
      <c r="G13" s="82">
        <f t="shared" ref="G13:G20" si="7">H13+AC13+AT13</f>
        <v>105529.23999999999</v>
      </c>
      <c r="H13" s="33">
        <f t="shared" ref="H13:H20" si="8">SUMIF(I$12:AB$12,"总值",I13:AB13)</f>
        <v>90547</v>
      </c>
      <c r="I13" s="3497">
        <v>90547</v>
      </c>
      <c r="J13" s="3013"/>
      <c r="K13" s="3013"/>
      <c r="L13" s="3013"/>
      <c r="M13" s="3013"/>
      <c r="N13" s="83"/>
      <c r="O13" s="83"/>
      <c r="P13" s="83"/>
      <c r="Q13" s="83"/>
      <c r="R13" s="83"/>
      <c r="S13" s="83"/>
      <c r="T13" s="83"/>
      <c r="U13" s="83"/>
      <c r="V13" s="83"/>
      <c r="W13" s="83"/>
      <c r="X13" s="83"/>
      <c r="Y13" s="83"/>
      <c r="Z13" s="83"/>
      <c r="AA13" s="83"/>
      <c r="AB13" s="83"/>
      <c r="AC13" s="27">
        <f t="shared" ref="AC13:AC20" si="9">SUMIF(AD$12:AS$12,"总值",AD13:AS13)</f>
        <v>14982.239999999998</v>
      </c>
      <c r="AD13" s="3017"/>
      <c r="AE13" s="3017"/>
      <c r="AF13" s="3017"/>
      <c r="AG13" s="3017"/>
      <c r="AH13" s="3017"/>
      <c r="AI13" s="3017"/>
      <c r="AJ13" s="3017"/>
      <c r="AK13" s="3017"/>
      <c r="AL13" s="3017"/>
      <c r="AM13" s="3017"/>
      <c r="AN13" s="3017">
        <f>3200+93.23+3300+5768.59+37660.42+450+4270-O16</f>
        <v>14982.239999999998</v>
      </c>
      <c r="AO13" s="3017"/>
      <c r="AP13" s="3017"/>
      <c r="AQ13" s="3017"/>
      <c r="AR13" s="3017"/>
      <c r="AS13" s="3017"/>
      <c r="AT13" s="3018"/>
      <c r="AU13" s="3019"/>
      <c r="AV13" s="17">
        <f t="shared" ref="AV13:AX20" si="10">A13</f>
        <v>0</v>
      </c>
      <c r="AW13" s="17">
        <f t="shared" si="10"/>
        <v>0</v>
      </c>
      <c r="AX13" s="17" t="str">
        <f t="shared" si="10"/>
        <v>住宅</v>
      </c>
      <c r="AY13" s="994">
        <f t="shared" ref="AY13:AY20" si="11">ROUND($AY$6*AZ13/$AZ$5,2)</f>
        <v>52189.09</v>
      </c>
      <c r="AZ13" s="27">
        <f t="shared" ref="AZ13:AZ20" si="12">BA13+BL13</f>
        <v>105529.23999999999</v>
      </c>
      <c r="BA13" s="27">
        <f t="shared" ref="BA13:BA20" si="13">SUM(BB13:BK13)</f>
        <v>90547</v>
      </c>
      <c r="BB13" s="27">
        <f t="shared" ref="BB13:BB20" si="14">IF($D13="是",I13-J13,0)</f>
        <v>90547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14982.239999999998</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14982.239999999998</v>
      </c>
      <c r="BS13" s="27">
        <f t="shared" ref="BS13:BS20" si="31">IF($D13="是",AP13-AQ13,0)</f>
        <v>0</v>
      </c>
      <c r="BT13" s="36">
        <f t="shared" ref="BT13:BT20" si="32">IF($D13="是",AR13-AS13,0)</f>
        <v>0</v>
      </c>
    </row>
    <row r="14" spans="1:72" s="18" customFormat="1" ht="12.75">
      <c r="A14" s="3010"/>
      <c r="B14" s="3010"/>
      <c r="C14" s="3010" t="s">
        <v>3067</v>
      </c>
      <c r="D14" s="3011" t="s">
        <v>1679</v>
      </c>
      <c r="E14" s="27">
        <f t="shared" si="6"/>
        <v>3684.37</v>
      </c>
      <c r="F14" s="81"/>
      <c r="G14" s="82">
        <f t="shared" si="7"/>
        <v>7450</v>
      </c>
      <c r="H14" s="33">
        <f t="shared" si="8"/>
        <v>7450</v>
      </c>
      <c r="I14" s="3013"/>
      <c r="J14" s="3013"/>
      <c r="K14" s="3013">
        <f>7450</f>
        <v>7450</v>
      </c>
      <c r="L14" s="3013"/>
      <c r="M14" s="3013"/>
      <c r="N14" s="83"/>
      <c r="O14" s="8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t="str">
        <f t="shared" si="10"/>
        <v>商业</v>
      </c>
      <c r="AY14" s="994">
        <f t="shared" si="11"/>
        <v>3684.37</v>
      </c>
      <c r="AZ14" s="27">
        <f t="shared" si="12"/>
        <v>7450</v>
      </c>
      <c r="BA14" s="27">
        <f t="shared" si="13"/>
        <v>7450</v>
      </c>
      <c r="BB14" s="27">
        <f t="shared" si="14"/>
        <v>0</v>
      </c>
      <c r="BC14" s="27">
        <f t="shared" si="15"/>
        <v>7450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0" t="s">
        <v>2999</v>
      </c>
      <c r="D15" s="3011" t="s">
        <v>1679</v>
      </c>
      <c r="E15" s="27">
        <f t="shared" si="6"/>
        <v>989.09</v>
      </c>
      <c r="F15" s="81"/>
      <c r="G15" s="82">
        <f t="shared" si="7"/>
        <v>2000</v>
      </c>
      <c r="H15" s="33">
        <f t="shared" si="8"/>
        <v>2000</v>
      </c>
      <c r="I15" s="3013"/>
      <c r="J15" s="3013"/>
      <c r="K15" s="3013"/>
      <c r="L15" s="3013"/>
      <c r="M15" s="3013">
        <v>2000</v>
      </c>
      <c r="N15" s="83"/>
      <c r="O15" s="8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t="str">
        <f t="shared" si="10"/>
        <v>地下商业</v>
      </c>
      <c r="AY15" s="994">
        <f t="shared" si="11"/>
        <v>989.09</v>
      </c>
      <c r="AZ15" s="27">
        <f t="shared" si="12"/>
        <v>2000</v>
      </c>
      <c r="BA15" s="27">
        <f t="shared" si="13"/>
        <v>2000</v>
      </c>
      <c r="BB15" s="27">
        <f t="shared" si="14"/>
        <v>0</v>
      </c>
      <c r="BC15" s="27">
        <f t="shared" si="15"/>
        <v>0</v>
      </c>
      <c r="BD15" s="27">
        <f t="shared" si="16"/>
        <v>2000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0" t="s">
        <v>3068</v>
      </c>
      <c r="D16" s="3011" t="s">
        <v>1679</v>
      </c>
      <c r="E16" s="27">
        <f t="shared" si="6"/>
        <v>19663.16</v>
      </c>
      <c r="F16" s="81"/>
      <c r="G16" s="82">
        <f t="shared" si="7"/>
        <v>39760</v>
      </c>
      <c r="H16" s="33">
        <f t="shared" si="8"/>
        <v>39760</v>
      </c>
      <c r="I16" s="3013"/>
      <c r="J16" s="3013"/>
      <c r="K16" s="3013"/>
      <c r="L16" s="3013"/>
      <c r="M16" s="3013"/>
      <c r="N16" s="83"/>
      <c r="O16" s="83">
        <f>35*(1061+75)</f>
        <v>39760</v>
      </c>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t="str">
        <f t="shared" si="10"/>
        <v>地下车库</v>
      </c>
      <c r="AY16" s="994">
        <f t="shared" si="11"/>
        <v>19663.16</v>
      </c>
      <c r="AZ16" s="27">
        <f t="shared" si="12"/>
        <v>39760</v>
      </c>
      <c r="BA16" s="27">
        <f t="shared" si="13"/>
        <v>39760</v>
      </c>
      <c r="BB16" s="27">
        <f t="shared" si="14"/>
        <v>0</v>
      </c>
      <c r="BC16" s="27">
        <f t="shared" si="15"/>
        <v>0</v>
      </c>
      <c r="BD16" s="27">
        <f t="shared" si="16"/>
        <v>0</v>
      </c>
      <c r="BE16" s="27">
        <f t="shared" si="17"/>
        <v>39760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0" t="s">
        <v>3069</v>
      </c>
      <c r="D17" s="3011" t="s">
        <v>1679</v>
      </c>
      <c r="E17" s="27">
        <f t="shared" si="6"/>
        <v>5138.55</v>
      </c>
      <c r="F17" s="81"/>
      <c r="G17" s="82">
        <f t="shared" si="7"/>
        <v>10390.44</v>
      </c>
      <c r="H17" s="33">
        <f t="shared" si="8"/>
        <v>10390.44</v>
      </c>
      <c r="I17" s="3013"/>
      <c r="J17" s="3013"/>
      <c r="K17" s="3013"/>
      <c r="L17" s="3013"/>
      <c r="M17" s="3013"/>
      <c r="N17" s="83"/>
      <c r="O17" s="83"/>
      <c r="P17" s="83"/>
      <c r="Q17" s="83">
        <v>10390.44</v>
      </c>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t="str">
        <f t="shared" si="10"/>
        <v>地下仓储</v>
      </c>
      <c r="AY17" s="994">
        <f t="shared" si="11"/>
        <v>5138.55</v>
      </c>
      <c r="AZ17" s="27">
        <f t="shared" si="12"/>
        <v>10390.44</v>
      </c>
      <c r="BA17" s="27">
        <f t="shared" si="13"/>
        <v>10390.44</v>
      </c>
      <c r="BB17" s="27">
        <f t="shared" si="14"/>
        <v>0</v>
      </c>
      <c r="BC17" s="27">
        <f t="shared" si="15"/>
        <v>0</v>
      </c>
      <c r="BD17" s="27">
        <f t="shared" si="16"/>
        <v>0</v>
      </c>
      <c r="BE17" s="27">
        <f t="shared" si="17"/>
        <v>0</v>
      </c>
      <c r="BF17" s="27">
        <f t="shared" si="18"/>
        <v>10390.44</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2"/>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IF($D21="是",O21-P21,0)</f>
        <v>0</v>
      </c>
      <c r="BF21" s="87">
        <f t="shared" ref="BF21:BF109" si="46">IF($D21="是",Q21-R21,0)</f>
        <v>0</v>
      </c>
      <c r="BG21" s="87">
        <f t="shared" ref="BG21:BG109" si="47">IF($D21="是",S21-T21,0)</f>
        <v>0</v>
      </c>
      <c r="BH21" s="87">
        <f t="shared" ref="BH21:BH109" si="48">IF($D21="是",U21-V21,0)</f>
        <v>0</v>
      </c>
      <c r="BI21" s="87">
        <f t="shared" ref="BI21:BI109" si="49">IF($D21="是",W21-X21,0)</f>
        <v>0</v>
      </c>
      <c r="BJ21" s="87">
        <f t="shared" ref="BJ21:BJ109" si="50">IF($D21="是",Y21-Z21,0)</f>
        <v>0</v>
      </c>
      <c r="BK21" s="87">
        <f t="shared" ref="BK21:BK109" si="51">IF($D21="是",AA21-AB21,0)</f>
        <v>0</v>
      </c>
      <c r="BL21" s="87">
        <f t="shared" ref="BL21:BL109" si="52">SUM(BM21:BT21)</f>
        <v>0</v>
      </c>
      <c r="BM21" s="87">
        <f t="shared" ref="BM21:BM109" si="53">IF($D21="是",AD21-AE21,0)</f>
        <v>0</v>
      </c>
      <c r="BN21" s="87">
        <f t="shared" ref="BN21:BN109" si="54">IF($D21="是",AF21-AG21,0)</f>
        <v>0</v>
      </c>
      <c r="BO21" s="87">
        <f t="shared" ref="BO21:BO109" si="55">IF($D21="是",AH21-AI21,0)</f>
        <v>0</v>
      </c>
      <c r="BP21" s="87">
        <f t="shared" ref="BP21:BP109" si="56">IF($D21="是",AJ21-AK21,0)</f>
        <v>0</v>
      </c>
      <c r="BQ21" s="87">
        <f t="shared" ref="BQ21:BQ109" si="57">IF($D21="是",AL21-AM21,0)</f>
        <v>0</v>
      </c>
      <c r="BR21" s="87">
        <f t="shared" ref="BR21:BR109" si="58">IF($D21="是",AN21-AO21,0)</f>
        <v>0</v>
      </c>
      <c r="BS21" s="87">
        <f t="shared" ref="BS21:BS109" si="59">IF($D21="是",AP21-AQ21,0)</f>
        <v>0</v>
      </c>
      <c r="BT21" s="96">
        <f t="shared" ref="BT21:BT109" si="60">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ref="BE22:BE109" si="61">IF($D22="是",O22-P22,0)</f>
        <v>0</v>
      </c>
      <c r="BF22" s="87">
        <f t="shared" si="46"/>
        <v>0</v>
      </c>
      <c r="BG22" s="87">
        <f t="shared" si="47"/>
        <v>0</v>
      </c>
      <c r="BH22" s="87">
        <f t="shared" si="48"/>
        <v>0</v>
      </c>
      <c r="BI22" s="87">
        <f t="shared" si="49"/>
        <v>0</v>
      </c>
      <c r="BJ22" s="87">
        <f t="shared" si="50"/>
        <v>0</v>
      </c>
      <c r="BK22" s="87">
        <f t="shared" si="51"/>
        <v>0</v>
      </c>
      <c r="BL22" s="87">
        <f t="shared" si="52"/>
        <v>0</v>
      </c>
      <c r="BM22" s="87">
        <f t="shared" si="53"/>
        <v>0</v>
      </c>
      <c r="BN22" s="87">
        <f t="shared" si="54"/>
        <v>0</v>
      </c>
      <c r="BO22" s="87">
        <f t="shared" si="55"/>
        <v>0</v>
      </c>
      <c r="BP22" s="87">
        <f t="shared" si="56"/>
        <v>0</v>
      </c>
      <c r="BQ22" s="87">
        <f t="shared" si="57"/>
        <v>0</v>
      </c>
      <c r="BR22" s="87">
        <f t="shared" si="58"/>
        <v>0</v>
      </c>
      <c r="BS22" s="87">
        <f t="shared" si="59"/>
        <v>0</v>
      </c>
      <c r="BT22" s="96">
        <f t="shared" si="60"/>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IF($D23="是",K23-L23,0)</f>
        <v>0</v>
      </c>
      <c r="BD23" s="87">
        <f t="shared" si="45"/>
        <v>0</v>
      </c>
      <c r="BE23" s="87">
        <f t="shared" si="61"/>
        <v>0</v>
      </c>
      <c r="BF23" s="87">
        <f t="shared" si="46"/>
        <v>0</v>
      </c>
      <c r="BG23" s="87">
        <f t="shared" si="47"/>
        <v>0</v>
      </c>
      <c r="BH23" s="87">
        <f t="shared" si="48"/>
        <v>0</v>
      </c>
      <c r="BI23" s="87">
        <f t="shared" si="49"/>
        <v>0</v>
      </c>
      <c r="BJ23" s="87">
        <f t="shared" si="50"/>
        <v>0</v>
      </c>
      <c r="BK23" s="87">
        <f t="shared" si="51"/>
        <v>0</v>
      </c>
      <c r="BL23" s="87">
        <f t="shared" si="52"/>
        <v>0</v>
      </c>
      <c r="BM23" s="87">
        <f t="shared" si="53"/>
        <v>0</v>
      </c>
      <c r="BN23" s="87">
        <f t="shared" si="54"/>
        <v>0</v>
      </c>
      <c r="BO23" s="87">
        <f t="shared" si="55"/>
        <v>0</v>
      </c>
      <c r="BP23" s="87">
        <f t="shared" si="56"/>
        <v>0</v>
      </c>
      <c r="BQ23" s="87">
        <f t="shared" si="57"/>
        <v>0</v>
      </c>
      <c r="BR23" s="87">
        <f t="shared" si="58"/>
        <v>0</v>
      </c>
      <c r="BS23" s="87">
        <f t="shared" si="59"/>
        <v>0</v>
      </c>
      <c r="BT23" s="96">
        <f t="shared" si="60"/>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61"/>
        <v>0</v>
      </c>
      <c r="BF24" s="87">
        <f t="shared" si="46"/>
        <v>0</v>
      </c>
      <c r="BG24" s="87">
        <f t="shared" si="47"/>
        <v>0</v>
      </c>
      <c r="BH24" s="87">
        <f t="shared" si="48"/>
        <v>0</v>
      </c>
      <c r="BI24" s="87">
        <f t="shared" si="49"/>
        <v>0</v>
      </c>
      <c r="BJ24" s="87">
        <f t="shared" si="50"/>
        <v>0</v>
      </c>
      <c r="BK24" s="87">
        <f t="shared" si="51"/>
        <v>0</v>
      </c>
      <c r="BL24" s="87">
        <f t="shared" si="52"/>
        <v>0</v>
      </c>
      <c r="BM24" s="87">
        <f t="shared" si="53"/>
        <v>0</v>
      </c>
      <c r="BN24" s="87">
        <f t="shared" si="54"/>
        <v>0</v>
      </c>
      <c r="BO24" s="87">
        <f t="shared" si="55"/>
        <v>0</v>
      </c>
      <c r="BP24" s="87">
        <f t="shared" si="56"/>
        <v>0</v>
      </c>
      <c r="BQ24" s="87">
        <f t="shared" si="57"/>
        <v>0</v>
      </c>
      <c r="BR24" s="87">
        <f t="shared" si="58"/>
        <v>0</v>
      </c>
      <c r="BS24" s="87">
        <f t="shared" si="59"/>
        <v>0</v>
      </c>
      <c r="BT24" s="96">
        <f t="shared" si="60"/>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61"/>
        <v>0</v>
      </c>
      <c r="BF25" s="87">
        <f t="shared" si="46"/>
        <v>0</v>
      </c>
      <c r="BG25" s="87">
        <f t="shared" si="47"/>
        <v>0</v>
      </c>
      <c r="BH25" s="87">
        <f t="shared" si="48"/>
        <v>0</v>
      </c>
      <c r="BI25" s="87">
        <f t="shared" si="49"/>
        <v>0</v>
      </c>
      <c r="BJ25" s="87">
        <f t="shared" si="50"/>
        <v>0</v>
      </c>
      <c r="BK25" s="87">
        <f t="shared" si="51"/>
        <v>0</v>
      </c>
      <c r="BL25" s="87">
        <f t="shared" si="52"/>
        <v>0</v>
      </c>
      <c r="BM25" s="87">
        <f t="shared" si="53"/>
        <v>0</v>
      </c>
      <c r="BN25" s="87">
        <f t="shared" si="54"/>
        <v>0</v>
      </c>
      <c r="BO25" s="87">
        <f t="shared" si="55"/>
        <v>0</v>
      </c>
      <c r="BP25" s="87">
        <f t="shared" si="56"/>
        <v>0</v>
      </c>
      <c r="BQ25" s="87">
        <f t="shared" si="57"/>
        <v>0</v>
      </c>
      <c r="BR25" s="87">
        <f t="shared" si="58"/>
        <v>0</v>
      </c>
      <c r="BS25" s="87">
        <f t="shared" si="59"/>
        <v>0</v>
      </c>
      <c r="BT25" s="96">
        <f t="shared" si="60"/>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61"/>
        <v>0</v>
      </c>
      <c r="BF26" s="87">
        <f t="shared" si="46"/>
        <v>0</v>
      </c>
      <c r="BG26" s="87">
        <f t="shared" si="47"/>
        <v>0</v>
      </c>
      <c r="BH26" s="87">
        <f t="shared" si="48"/>
        <v>0</v>
      </c>
      <c r="BI26" s="87">
        <f t="shared" si="49"/>
        <v>0</v>
      </c>
      <c r="BJ26" s="87">
        <f t="shared" si="50"/>
        <v>0</v>
      </c>
      <c r="BK26" s="87">
        <f t="shared" si="51"/>
        <v>0</v>
      </c>
      <c r="BL26" s="87">
        <f t="shared" si="52"/>
        <v>0</v>
      </c>
      <c r="BM26" s="87">
        <f t="shared" si="53"/>
        <v>0</v>
      </c>
      <c r="BN26" s="87">
        <f t="shared" si="54"/>
        <v>0</v>
      </c>
      <c r="BO26" s="87">
        <f t="shared" si="55"/>
        <v>0</v>
      </c>
      <c r="BP26" s="87">
        <f t="shared" si="56"/>
        <v>0</v>
      </c>
      <c r="BQ26" s="87">
        <f t="shared" si="57"/>
        <v>0</v>
      </c>
      <c r="BR26" s="87">
        <f t="shared" si="58"/>
        <v>0</v>
      </c>
      <c r="BS26" s="87">
        <f t="shared" si="59"/>
        <v>0</v>
      </c>
      <c r="BT26" s="96">
        <f t="shared" si="60"/>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61"/>
        <v>0</v>
      </c>
      <c r="BF27" s="87">
        <f t="shared" si="46"/>
        <v>0</v>
      </c>
      <c r="BG27" s="87">
        <f t="shared" si="47"/>
        <v>0</v>
      </c>
      <c r="BH27" s="87">
        <f t="shared" si="48"/>
        <v>0</v>
      </c>
      <c r="BI27" s="87">
        <f t="shared" si="49"/>
        <v>0</v>
      </c>
      <c r="BJ27" s="87">
        <f t="shared" si="50"/>
        <v>0</v>
      </c>
      <c r="BK27" s="87">
        <f t="shared" si="51"/>
        <v>0</v>
      </c>
      <c r="BL27" s="87">
        <f t="shared" si="52"/>
        <v>0</v>
      </c>
      <c r="BM27" s="87">
        <f t="shared" si="53"/>
        <v>0</v>
      </c>
      <c r="BN27" s="87">
        <f t="shared" si="54"/>
        <v>0</v>
      </c>
      <c r="BO27" s="87">
        <f t="shared" si="55"/>
        <v>0</v>
      </c>
      <c r="BP27" s="87">
        <f t="shared" si="56"/>
        <v>0</v>
      </c>
      <c r="BQ27" s="87">
        <f t="shared" si="57"/>
        <v>0</v>
      </c>
      <c r="BR27" s="87">
        <f t="shared" si="58"/>
        <v>0</v>
      </c>
      <c r="BS27" s="87">
        <f t="shared" si="59"/>
        <v>0</v>
      </c>
      <c r="BT27" s="96">
        <f t="shared" si="60"/>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61"/>
        <v>0</v>
      </c>
      <c r="BF28" s="87">
        <f t="shared" si="46"/>
        <v>0</v>
      </c>
      <c r="BG28" s="87">
        <f t="shared" si="47"/>
        <v>0</v>
      </c>
      <c r="BH28" s="87">
        <f t="shared" si="48"/>
        <v>0</v>
      </c>
      <c r="BI28" s="87">
        <f t="shared" si="49"/>
        <v>0</v>
      </c>
      <c r="BJ28" s="87">
        <f t="shared" si="50"/>
        <v>0</v>
      </c>
      <c r="BK28" s="87">
        <f t="shared" si="51"/>
        <v>0</v>
      </c>
      <c r="BL28" s="87">
        <f t="shared" si="52"/>
        <v>0</v>
      </c>
      <c r="BM28" s="87">
        <f t="shared" si="53"/>
        <v>0</v>
      </c>
      <c r="BN28" s="87">
        <f t="shared" si="54"/>
        <v>0</v>
      </c>
      <c r="BO28" s="87">
        <f t="shared" si="55"/>
        <v>0</v>
      </c>
      <c r="BP28" s="87">
        <f t="shared" si="56"/>
        <v>0</v>
      </c>
      <c r="BQ28" s="87">
        <f t="shared" si="57"/>
        <v>0</v>
      </c>
      <c r="BR28" s="87">
        <f t="shared" si="58"/>
        <v>0</v>
      </c>
      <c r="BS28" s="87">
        <f t="shared" si="59"/>
        <v>0</v>
      </c>
      <c r="BT28" s="96">
        <f t="shared" si="60"/>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61"/>
        <v>0</v>
      </c>
      <c r="BF29" s="87">
        <f t="shared" si="46"/>
        <v>0</v>
      </c>
      <c r="BG29" s="87">
        <f t="shared" si="47"/>
        <v>0</v>
      </c>
      <c r="BH29" s="87">
        <f t="shared" si="48"/>
        <v>0</v>
      </c>
      <c r="BI29" s="87">
        <f t="shared" si="49"/>
        <v>0</v>
      </c>
      <c r="BJ29" s="87">
        <f t="shared" si="50"/>
        <v>0</v>
      </c>
      <c r="BK29" s="87">
        <f t="shared" si="51"/>
        <v>0</v>
      </c>
      <c r="BL29" s="87">
        <f t="shared" si="52"/>
        <v>0</v>
      </c>
      <c r="BM29" s="87">
        <f t="shared" si="53"/>
        <v>0</v>
      </c>
      <c r="BN29" s="87">
        <f t="shared" si="54"/>
        <v>0</v>
      </c>
      <c r="BO29" s="87">
        <f t="shared" si="55"/>
        <v>0</v>
      </c>
      <c r="BP29" s="87">
        <f t="shared" si="56"/>
        <v>0</v>
      </c>
      <c r="BQ29" s="87">
        <f t="shared" si="57"/>
        <v>0</v>
      </c>
      <c r="BR29" s="87">
        <f t="shared" si="58"/>
        <v>0</v>
      </c>
      <c r="BS29" s="87">
        <f t="shared" si="59"/>
        <v>0</v>
      </c>
      <c r="BT29" s="96">
        <f t="shared" si="60"/>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61"/>
        <v>0</v>
      </c>
      <c r="BF30" s="87">
        <f t="shared" si="46"/>
        <v>0</v>
      </c>
      <c r="BG30" s="87">
        <f t="shared" si="47"/>
        <v>0</v>
      </c>
      <c r="BH30" s="87">
        <f t="shared" si="48"/>
        <v>0</v>
      </c>
      <c r="BI30" s="87">
        <f t="shared" si="49"/>
        <v>0</v>
      </c>
      <c r="BJ30" s="87">
        <f t="shared" si="50"/>
        <v>0</v>
      </c>
      <c r="BK30" s="87">
        <f t="shared" si="51"/>
        <v>0</v>
      </c>
      <c r="BL30" s="87">
        <f t="shared" si="52"/>
        <v>0</v>
      </c>
      <c r="BM30" s="87">
        <f t="shared" si="53"/>
        <v>0</v>
      </c>
      <c r="BN30" s="87">
        <f t="shared" si="54"/>
        <v>0</v>
      </c>
      <c r="BO30" s="87">
        <f t="shared" si="55"/>
        <v>0</v>
      </c>
      <c r="BP30" s="87">
        <f t="shared" si="56"/>
        <v>0</v>
      </c>
      <c r="BQ30" s="87">
        <f t="shared" si="57"/>
        <v>0</v>
      </c>
      <c r="BR30" s="87">
        <f t="shared" si="58"/>
        <v>0</v>
      </c>
      <c r="BS30" s="87">
        <f t="shared" si="59"/>
        <v>0</v>
      </c>
      <c r="BT30" s="96">
        <f t="shared" si="60"/>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61"/>
        <v>0</v>
      </c>
      <c r="BF31" s="87">
        <f t="shared" si="46"/>
        <v>0</v>
      </c>
      <c r="BG31" s="87">
        <f t="shared" si="47"/>
        <v>0</v>
      </c>
      <c r="BH31" s="87">
        <f t="shared" si="48"/>
        <v>0</v>
      </c>
      <c r="BI31" s="87">
        <f t="shared" si="49"/>
        <v>0</v>
      </c>
      <c r="BJ31" s="87">
        <f t="shared" si="50"/>
        <v>0</v>
      </c>
      <c r="BK31" s="87">
        <f t="shared" si="51"/>
        <v>0</v>
      </c>
      <c r="BL31" s="87">
        <f t="shared" si="52"/>
        <v>0</v>
      </c>
      <c r="BM31" s="87">
        <f t="shared" si="53"/>
        <v>0</v>
      </c>
      <c r="BN31" s="87">
        <f t="shared" si="54"/>
        <v>0</v>
      </c>
      <c r="BO31" s="87">
        <f t="shared" si="55"/>
        <v>0</v>
      </c>
      <c r="BP31" s="87">
        <f t="shared" si="56"/>
        <v>0</v>
      </c>
      <c r="BQ31" s="87">
        <f t="shared" si="57"/>
        <v>0</v>
      </c>
      <c r="BR31" s="87">
        <f t="shared" si="58"/>
        <v>0</v>
      </c>
      <c r="BS31" s="87">
        <f t="shared" si="59"/>
        <v>0</v>
      </c>
      <c r="BT31" s="96">
        <f t="shared" si="60"/>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61"/>
        <v>0</v>
      </c>
      <c r="BF32" s="87">
        <f t="shared" si="46"/>
        <v>0</v>
      </c>
      <c r="BG32" s="87">
        <f t="shared" si="47"/>
        <v>0</v>
      </c>
      <c r="BH32" s="87">
        <f t="shared" si="48"/>
        <v>0</v>
      </c>
      <c r="BI32" s="87">
        <f t="shared" si="49"/>
        <v>0</v>
      </c>
      <c r="BJ32" s="87">
        <f t="shared" si="50"/>
        <v>0</v>
      </c>
      <c r="BK32" s="87">
        <f t="shared" si="51"/>
        <v>0</v>
      </c>
      <c r="BL32" s="87">
        <f t="shared" si="52"/>
        <v>0</v>
      </c>
      <c r="BM32" s="87">
        <f t="shared" si="53"/>
        <v>0</v>
      </c>
      <c r="BN32" s="87">
        <f t="shared" si="54"/>
        <v>0</v>
      </c>
      <c r="BO32" s="87">
        <f t="shared" si="55"/>
        <v>0</v>
      </c>
      <c r="BP32" s="87">
        <f t="shared" si="56"/>
        <v>0</v>
      </c>
      <c r="BQ32" s="87">
        <f t="shared" si="57"/>
        <v>0</v>
      </c>
      <c r="BR32" s="87">
        <f t="shared" si="58"/>
        <v>0</v>
      </c>
      <c r="BS32" s="87">
        <f t="shared" si="59"/>
        <v>0</v>
      </c>
      <c r="BT32" s="96">
        <f t="shared" si="60"/>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61"/>
        <v>0</v>
      </c>
      <c r="BF33" s="87">
        <f t="shared" si="46"/>
        <v>0</v>
      </c>
      <c r="BG33" s="87">
        <f t="shared" si="47"/>
        <v>0</v>
      </c>
      <c r="BH33" s="87">
        <f t="shared" si="48"/>
        <v>0</v>
      </c>
      <c r="BI33" s="87">
        <f t="shared" si="49"/>
        <v>0</v>
      </c>
      <c r="BJ33" s="87">
        <f t="shared" si="50"/>
        <v>0</v>
      </c>
      <c r="BK33" s="87">
        <f t="shared" si="51"/>
        <v>0</v>
      </c>
      <c r="BL33" s="87">
        <f t="shared" si="52"/>
        <v>0</v>
      </c>
      <c r="BM33" s="87">
        <f t="shared" si="53"/>
        <v>0</v>
      </c>
      <c r="BN33" s="87">
        <f t="shared" si="54"/>
        <v>0</v>
      </c>
      <c r="BO33" s="87">
        <f t="shared" si="55"/>
        <v>0</v>
      </c>
      <c r="BP33" s="87">
        <f t="shared" si="56"/>
        <v>0</v>
      </c>
      <c r="BQ33" s="87">
        <f t="shared" si="57"/>
        <v>0</v>
      </c>
      <c r="BR33" s="87">
        <f t="shared" si="58"/>
        <v>0</v>
      </c>
      <c r="BS33" s="87">
        <f t="shared" si="59"/>
        <v>0</v>
      </c>
      <c r="BT33" s="96">
        <f t="shared" si="60"/>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61"/>
        <v>0</v>
      </c>
      <c r="BF34" s="87">
        <f t="shared" si="46"/>
        <v>0</v>
      </c>
      <c r="BG34" s="87">
        <f t="shared" si="47"/>
        <v>0</v>
      </c>
      <c r="BH34" s="87">
        <f t="shared" si="48"/>
        <v>0</v>
      </c>
      <c r="BI34" s="87">
        <f t="shared" si="49"/>
        <v>0</v>
      </c>
      <c r="BJ34" s="87">
        <f t="shared" si="50"/>
        <v>0</v>
      </c>
      <c r="BK34" s="87">
        <f t="shared" si="51"/>
        <v>0</v>
      </c>
      <c r="BL34" s="87">
        <f t="shared" si="52"/>
        <v>0</v>
      </c>
      <c r="BM34" s="87">
        <f t="shared" si="53"/>
        <v>0</v>
      </c>
      <c r="BN34" s="87">
        <f t="shared" si="54"/>
        <v>0</v>
      </c>
      <c r="BO34" s="87">
        <f t="shared" si="55"/>
        <v>0</v>
      </c>
      <c r="BP34" s="87">
        <f t="shared" si="56"/>
        <v>0</v>
      </c>
      <c r="BQ34" s="87">
        <f t="shared" si="57"/>
        <v>0</v>
      </c>
      <c r="BR34" s="87">
        <f t="shared" si="58"/>
        <v>0</v>
      </c>
      <c r="BS34" s="87">
        <f t="shared" si="59"/>
        <v>0</v>
      </c>
      <c r="BT34" s="96">
        <f t="shared" si="60"/>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61"/>
        <v>0</v>
      </c>
      <c r="BF35" s="87">
        <f t="shared" si="46"/>
        <v>0</v>
      </c>
      <c r="BG35" s="87">
        <f t="shared" si="47"/>
        <v>0</v>
      </c>
      <c r="BH35" s="87">
        <f t="shared" si="48"/>
        <v>0</v>
      </c>
      <c r="BI35" s="87">
        <f t="shared" si="49"/>
        <v>0</v>
      </c>
      <c r="BJ35" s="87">
        <f t="shared" si="50"/>
        <v>0</v>
      </c>
      <c r="BK35" s="87">
        <f t="shared" si="51"/>
        <v>0</v>
      </c>
      <c r="BL35" s="87">
        <f t="shared" si="52"/>
        <v>0</v>
      </c>
      <c r="BM35" s="87">
        <f t="shared" si="53"/>
        <v>0</v>
      </c>
      <c r="BN35" s="87">
        <f t="shared" si="54"/>
        <v>0</v>
      </c>
      <c r="BO35" s="87">
        <f t="shared" si="55"/>
        <v>0</v>
      </c>
      <c r="BP35" s="87">
        <f t="shared" si="56"/>
        <v>0</v>
      </c>
      <c r="BQ35" s="87">
        <f t="shared" si="57"/>
        <v>0</v>
      </c>
      <c r="BR35" s="87">
        <f t="shared" si="58"/>
        <v>0</v>
      </c>
      <c r="BS35" s="87">
        <f t="shared" si="59"/>
        <v>0</v>
      </c>
      <c r="BT35" s="96">
        <f t="shared" si="60"/>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61"/>
        <v>0</v>
      </c>
      <c r="BF36" s="87">
        <f t="shared" si="46"/>
        <v>0</v>
      </c>
      <c r="BG36" s="87">
        <f t="shared" si="47"/>
        <v>0</v>
      </c>
      <c r="BH36" s="87">
        <f t="shared" si="48"/>
        <v>0</v>
      </c>
      <c r="BI36" s="87">
        <f t="shared" si="49"/>
        <v>0</v>
      </c>
      <c r="BJ36" s="87">
        <f t="shared" si="50"/>
        <v>0</v>
      </c>
      <c r="BK36" s="87">
        <f t="shared" si="51"/>
        <v>0</v>
      </c>
      <c r="BL36" s="87">
        <f t="shared" si="52"/>
        <v>0</v>
      </c>
      <c r="BM36" s="87">
        <f t="shared" si="53"/>
        <v>0</v>
      </c>
      <c r="BN36" s="87">
        <f t="shared" si="54"/>
        <v>0</v>
      </c>
      <c r="BO36" s="87">
        <f t="shared" si="55"/>
        <v>0</v>
      </c>
      <c r="BP36" s="87">
        <f t="shared" si="56"/>
        <v>0</v>
      </c>
      <c r="BQ36" s="87">
        <f t="shared" si="57"/>
        <v>0</v>
      </c>
      <c r="BR36" s="87">
        <f t="shared" si="58"/>
        <v>0</v>
      </c>
      <c r="BS36" s="87">
        <f t="shared" si="59"/>
        <v>0</v>
      </c>
      <c r="BT36" s="96">
        <f t="shared" si="60"/>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61"/>
        <v>0</v>
      </c>
      <c r="BF37" s="87">
        <f t="shared" si="46"/>
        <v>0</v>
      </c>
      <c r="BG37" s="87">
        <f t="shared" si="47"/>
        <v>0</v>
      </c>
      <c r="BH37" s="87">
        <f t="shared" si="48"/>
        <v>0</v>
      </c>
      <c r="BI37" s="87">
        <f t="shared" si="49"/>
        <v>0</v>
      </c>
      <c r="BJ37" s="87">
        <f t="shared" si="50"/>
        <v>0</v>
      </c>
      <c r="BK37" s="87">
        <f t="shared" si="51"/>
        <v>0</v>
      </c>
      <c r="BL37" s="87">
        <f t="shared" si="52"/>
        <v>0</v>
      </c>
      <c r="BM37" s="87">
        <f t="shared" si="53"/>
        <v>0</v>
      </c>
      <c r="BN37" s="87">
        <f t="shared" si="54"/>
        <v>0</v>
      </c>
      <c r="BO37" s="87">
        <f t="shared" si="55"/>
        <v>0</v>
      </c>
      <c r="BP37" s="87">
        <f t="shared" si="56"/>
        <v>0</v>
      </c>
      <c r="BQ37" s="87">
        <f t="shared" si="57"/>
        <v>0</v>
      </c>
      <c r="BR37" s="87">
        <f t="shared" si="58"/>
        <v>0</v>
      </c>
      <c r="BS37" s="87">
        <f t="shared" si="59"/>
        <v>0</v>
      </c>
      <c r="BT37" s="96">
        <f t="shared" si="60"/>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61"/>
        <v>0</v>
      </c>
      <c r="BF38" s="87">
        <f t="shared" si="46"/>
        <v>0</v>
      </c>
      <c r="BG38" s="87">
        <f t="shared" si="47"/>
        <v>0</v>
      </c>
      <c r="BH38" s="87">
        <f t="shared" si="48"/>
        <v>0</v>
      </c>
      <c r="BI38" s="87">
        <f t="shared" si="49"/>
        <v>0</v>
      </c>
      <c r="BJ38" s="87">
        <f t="shared" si="50"/>
        <v>0</v>
      </c>
      <c r="BK38" s="87">
        <f t="shared" si="51"/>
        <v>0</v>
      </c>
      <c r="BL38" s="87">
        <f t="shared" si="52"/>
        <v>0</v>
      </c>
      <c r="BM38" s="87">
        <f t="shared" si="53"/>
        <v>0</v>
      </c>
      <c r="BN38" s="87">
        <f t="shared" si="54"/>
        <v>0</v>
      </c>
      <c r="BO38" s="87">
        <f t="shared" si="55"/>
        <v>0</v>
      </c>
      <c r="BP38" s="87">
        <f t="shared" si="56"/>
        <v>0</v>
      </c>
      <c r="BQ38" s="87">
        <f t="shared" si="57"/>
        <v>0</v>
      </c>
      <c r="BR38" s="87">
        <f t="shared" si="58"/>
        <v>0</v>
      </c>
      <c r="BS38" s="87">
        <f t="shared" si="59"/>
        <v>0</v>
      </c>
      <c r="BT38" s="96">
        <f t="shared" si="60"/>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61"/>
        <v>0</v>
      </c>
      <c r="BF39" s="87">
        <f t="shared" si="46"/>
        <v>0</v>
      </c>
      <c r="BG39" s="87">
        <f t="shared" si="47"/>
        <v>0</v>
      </c>
      <c r="BH39" s="87">
        <f t="shared" si="48"/>
        <v>0</v>
      </c>
      <c r="BI39" s="87">
        <f t="shared" si="49"/>
        <v>0</v>
      </c>
      <c r="BJ39" s="87">
        <f t="shared" si="50"/>
        <v>0</v>
      </c>
      <c r="BK39" s="87">
        <f t="shared" si="51"/>
        <v>0</v>
      </c>
      <c r="BL39" s="87">
        <f t="shared" si="52"/>
        <v>0</v>
      </c>
      <c r="BM39" s="87">
        <f t="shared" si="53"/>
        <v>0</v>
      </c>
      <c r="BN39" s="87">
        <f t="shared" si="54"/>
        <v>0</v>
      </c>
      <c r="BO39" s="87">
        <f t="shared" si="55"/>
        <v>0</v>
      </c>
      <c r="BP39" s="87">
        <f t="shared" si="56"/>
        <v>0</v>
      </c>
      <c r="BQ39" s="87">
        <f t="shared" si="57"/>
        <v>0</v>
      </c>
      <c r="BR39" s="87">
        <f t="shared" si="58"/>
        <v>0</v>
      </c>
      <c r="BS39" s="87">
        <f t="shared" si="59"/>
        <v>0</v>
      </c>
      <c r="BT39" s="96">
        <f t="shared" si="60"/>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61"/>
        <v>0</v>
      </c>
      <c r="BF40" s="87">
        <f t="shared" si="46"/>
        <v>0</v>
      </c>
      <c r="BG40" s="87">
        <f t="shared" si="47"/>
        <v>0</v>
      </c>
      <c r="BH40" s="87">
        <f t="shared" si="48"/>
        <v>0</v>
      </c>
      <c r="BI40" s="87">
        <f t="shared" si="49"/>
        <v>0</v>
      </c>
      <c r="BJ40" s="87">
        <f t="shared" si="50"/>
        <v>0</v>
      </c>
      <c r="BK40" s="87">
        <f t="shared" si="51"/>
        <v>0</v>
      </c>
      <c r="BL40" s="87">
        <f t="shared" si="52"/>
        <v>0</v>
      </c>
      <c r="BM40" s="87">
        <f t="shared" si="53"/>
        <v>0</v>
      </c>
      <c r="BN40" s="87">
        <f t="shared" si="54"/>
        <v>0</v>
      </c>
      <c r="BO40" s="87">
        <f t="shared" si="55"/>
        <v>0</v>
      </c>
      <c r="BP40" s="87">
        <f t="shared" si="56"/>
        <v>0</v>
      </c>
      <c r="BQ40" s="87">
        <f t="shared" si="57"/>
        <v>0</v>
      </c>
      <c r="BR40" s="87">
        <f t="shared" si="58"/>
        <v>0</v>
      </c>
      <c r="BS40" s="87">
        <f t="shared" si="59"/>
        <v>0</v>
      </c>
      <c r="BT40" s="96">
        <f t="shared" si="60"/>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61"/>
        <v>0</v>
      </c>
      <c r="BF41" s="87">
        <f t="shared" si="46"/>
        <v>0</v>
      </c>
      <c r="BG41" s="87">
        <f t="shared" si="47"/>
        <v>0</v>
      </c>
      <c r="BH41" s="87">
        <f t="shared" si="48"/>
        <v>0</v>
      </c>
      <c r="BI41" s="87">
        <f t="shared" si="49"/>
        <v>0</v>
      </c>
      <c r="BJ41" s="87">
        <f t="shared" si="50"/>
        <v>0</v>
      </c>
      <c r="BK41" s="87">
        <f t="shared" si="51"/>
        <v>0</v>
      </c>
      <c r="BL41" s="87">
        <f t="shared" si="52"/>
        <v>0</v>
      </c>
      <c r="BM41" s="87">
        <f t="shared" si="53"/>
        <v>0</v>
      </c>
      <c r="BN41" s="87">
        <f t="shared" si="54"/>
        <v>0</v>
      </c>
      <c r="BO41" s="87">
        <f t="shared" si="55"/>
        <v>0</v>
      </c>
      <c r="BP41" s="87">
        <f t="shared" si="56"/>
        <v>0</v>
      </c>
      <c r="BQ41" s="87">
        <f t="shared" si="57"/>
        <v>0</v>
      </c>
      <c r="BR41" s="87">
        <f t="shared" si="58"/>
        <v>0</v>
      </c>
      <c r="BS41" s="87">
        <f t="shared" si="59"/>
        <v>0</v>
      </c>
      <c r="BT41" s="96">
        <f t="shared" si="60"/>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61"/>
        <v>0</v>
      </c>
      <c r="BF42" s="87">
        <f t="shared" si="46"/>
        <v>0</v>
      </c>
      <c r="BG42" s="87">
        <f t="shared" si="47"/>
        <v>0</v>
      </c>
      <c r="BH42" s="87">
        <f t="shared" si="48"/>
        <v>0</v>
      </c>
      <c r="BI42" s="87">
        <f t="shared" si="49"/>
        <v>0</v>
      </c>
      <c r="BJ42" s="87">
        <f t="shared" si="50"/>
        <v>0</v>
      </c>
      <c r="BK42" s="87">
        <f t="shared" si="51"/>
        <v>0</v>
      </c>
      <c r="BL42" s="87">
        <f t="shared" si="52"/>
        <v>0</v>
      </c>
      <c r="BM42" s="87">
        <f t="shared" si="53"/>
        <v>0</v>
      </c>
      <c r="BN42" s="87">
        <f t="shared" si="54"/>
        <v>0</v>
      </c>
      <c r="BO42" s="87">
        <f t="shared" si="55"/>
        <v>0</v>
      </c>
      <c r="BP42" s="87">
        <f t="shared" si="56"/>
        <v>0</v>
      </c>
      <c r="BQ42" s="87">
        <f t="shared" si="57"/>
        <v>0</v>
      </c>
      <c r="BR42" s="87">
        <f t="shared" si="58"/>
        <v>0</v>
      </c>
      <c r="BS42" s="87">
        <f t="shared" si="59"/>
        <v>0</v>
      </c>
      <c r="BT42" s="96">
        <f t="shared" si="60"/>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61"/>
        <v>0</v>
      </c>
      <c r="BF43" s="87">
        <f t="shared" si="46"/>
        <v>0</v>
      </c>
      <c r="BG43" s="87">
        <f t="shared" si="47"/>
        <v>0</v>
      </c>
      <c r="BH43" s="87">
        <f t="shared" si="48"/>
        <v>0</v>
      </c>
      <c r="BI43" s="87">
        <f t="shared" si="49"/>
        <v>0</v>
      </c>
      <c r="BJ43" s="87">
        <f t="shared" si="50"/>
        <v>0</v>
      </c>
      <c r="BK43" s="87">
        <f t="shared" si="51"/>
        <v>0</v>
      </c>
      <c r="BL43" s="87">
        <f t="shared" si="52"/>
        <v>0</v>
      </c>
      <c r="BM43" s="87">
        <f t="shared" si="53"/>
        <v>0</v>
      </c>
      <c r="BN43" s="87">
        <f t="shared" si="54"/>
        <v>0</v>
      </c>
      <c r="BO43" s="87">
        <f t="shared" si="55"/>
        <v>0</v>
      </c>
      <c r="BP43" s="87">
        <f t="shared" si="56"/>
        <v>0</v>
      </c>
      <c r="BQ43" s="87">
        <f t="shared" si="57"/>
        <v>0</v>
      </c>
      <c r="BR43" s="87">
        <f t="shared" si="58"/>
        <v>0</v>
      </c>
      <c r="BS43" s="87">
        <f t="shared" si="59"/>
        <v>0</v>
      </c>
      <c r="BT43" s="96">
        <f t="shared" si="60"/>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61"/>
        <v>0</v>
      </c>
      <c r="BF44" s="87">
        <f t="shared" si="46"/>
        <v>0</v>
      </c>
      <c r="BG44" s="87">
        <f t="shared" si="47"/>
        <v>0</v>
      </c>
      <c r="BH44" s="87">
        <f t="shared" si="48"/>
        <v>0</v>
      </c>
      <c r="BI44" s="87">
        <f t="shared" si="49"/>
        <v>0</v>
      </c>
      <c r="BJ44" s="87">
        <f t="shared" si="50"/>
        <v>0</v>
      </c>
      <c r="BK44" s="87">
        <f t="shared" si="51"/>
        <v>0</v>
      </c>
      <c r="BL44" s="87">
        <f t="shared" si="52"/>
        <v>0</v>
      </c>
      <c r="BM44" s="87">
        <f t="shared" si="53"/>
        <v>0</v>
      </c>
      <c r="BN44" s="87">
        <f t="shared" si="54"/>
        <v>0</v>
      </c>
      <c r="BO44" s="87">
        <f t="shared" si="55"/>
        <v>0</v>
      </c>
      <c r="BP44" s="87">
        <f t="shared" si="56"/>
        <v>0</v>
      </c>
      <c r="BQ44" s="87">
        <f t="shared" si="57"/>
        <v>0</v>
      </c>
      <c r="BR44" s="87">
        <f t="shared" si="58"/>
        <v>0</v>
      </c>
      <c r="BS44" s="87">
        <f t="shared" si="59"/>
        <v>0</v>
      </c>
      <c r="BT44" s="96">
        <f t="shared" si="60"/>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61"/>
        <v>0</v>
      </c>
      <c r="BF45" s="87">
        <f t="shared" si="46"/>
        <v>0</v>
      </c>
      <c r="BG45" s="87">
        <f t="shared" si="47"/>
        <v>0</v>
      </c>
      <c r="BH45" s="87">
        <f t="shared" si="48"/>
        <v>0</v>
      </c>
      <c r="BI45" s="87">
        <f t="shared" si="49"/>
        <v>0</v>
      </c>
      <c r="BJ45" s="87">
        <f t="shared" si="50"/>
        <v>0</v>
      </c>
      <c r="BK45" s="87">
        <f t="shared" si="51"/>
        <v>0</v>
      </c>
      <c r="BL45" s="87">
        <f t="shared" si="52"/>
        <v>0</v>
      </c>
      <c r="BM45" s="87">
        <f t="shared" si="53"/>
        <v>0</v>
      </c>
      <c r="BN45" s="87">
        <f t="shared" si="54"/>
        <v>0</v>
      </c>
      <c r="BO45" s="87">
        <f t="shared" si="55"/>
        <v>0</v>
      </c>
      <c r="BP45" s="87">
        <f t="shared" si="56"/>
        <v>0</v>
      </c>
      <c r="BQ45" s="87">
        <f t="shared" si="57"/>
        <v>0</v>
      </c>
      <c r="BR45" s="87">
        <f t="shared" si="58"/>
        <v>0</v>
      </c>
      <c r="BS45" s="87">
        <f t="shared" si="59"/>
        <v>0</v>
      </c>
      <c r="BT45" s="96">
        <f t="shared" si="60"/>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61"/>
        <v>0</v>
      </c>
      <c r="BF46" s="87">
        <f t="shared" si="46"/>
        <v>0</v>
      </c>
      <c r="BG46" s="87">
        <f t="shared" si="47"/>
        <v>0</v>
      </c>
      <c r="BH46" s="87">
        <f t="shared" si="48"/>
        <v>0</v>
      </c>
      <c r="BI46" s="87">
        <f t="shared" si="49"/>
        <v>0</v>
      </c>
      <c r="BJ46" s="87">
        <f t="shared" si="50"/>
        <v>0</v>
      </c>
      <c r="BK46" s="87">
        <f t="shared" si="51"/>
        <v>0</v>
      </c>
      <c r="BL46" s="87">
        <f t="shared" si="52"/>
        <v>0</v>
      </c>
      <c r="BM46" s="87">
        <f t="shared" si="53"/>
        <v>0</v>
      </c>
      <c r="BN46" s="87">
        <f t="shared" si="54"/>
        <v>0</v>
      </c>
      <c r="BO46" s="87">
        <f t="shared" si="55"/>
        <v>0</v>
      </c>
      <c r="BP46" s="87">
        <f t="shared" si="56"/>
        <v>0</v>
      </c>
      <c r="BQ46" s="87">
        <f t="shared" si="57"/>
        <v>0</v>
      </c>
      <c r="BR46" s="87">
        <f t="shared" si="58"/>
        <v>0</v>
      </c>
      <c r="BS46" s="87">
        <f t="shared" si="59"/>
        <v>0</v>
      </c>
      <c r="BT46" s="96">
        <f t="shared" si="60"/>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61"/>
        <v>0</v>
      </c>
      <c r="BF47" s="87">
        <f t="shared" si="46"/>
        <v>0</v>
      </c>
      <c r="BG47" s="87">
        <f t="shared" si="47"/>
        <v>0</v>
      </c>
      <c r="BH47" s="87">
        <f t="shared" si="48"/>
        <v>0</v>
      </c>
      <c r="BI47" s="87">
        <f t="shared" si="49"/>
        <v>0</v>
      </c>
      <c r="BJ47" s="87">
        <f t="shared" si="50"/>
        <v>0</v>
      </c>
      <c r="BK47" s="87">
        <f t="shared" si="51"/>
        <v>0</v>
      </c>
      <c r="BL47" s="87">
        <f t="shared" si="52"/>
        <v>0</v>
      </c>
      <c r="BM47" s="87">
        <f t="shared" si="53"/>
        <v>0</v>
      </c>
      <c r="BN47" s="87">
        <f t="shared" si="54"/>
        <v>0</v>
      </c>
      <c r="BO47" s="87">
        <f t="shared" si="55"/>
        <v>0</v>
      </c>
      <c r="BP47" s="87">
        <f t="shared" si="56"/>
        <v>0</v>
      </c>
      <c r="BQ47" s="87">
        <f t="shared" si="57"/>
        <v>0</v>
      </c>
      <c r="BR47" s="87">
        <f t="shared" si="58"/>
        <v>0</v>
      </c>
      <c r="BS47" s="87">
        <f t="shared" si="59"/>
        <v>0</v>
      </c>
      <c r="BT47" s="96">
        <f t="shared" si="60"/>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61"/>
        <v>0</v>
      </c>
      <c r="BF48" s="87">
        <f t="shared" si="46"/>
        <v>0</v>
      </c>
      <c r="BG48" s="87">
        <f t="shared" si="47"/>
        <v>0</v>
      </c>
      <c r="BH48" s="87">
        <f t="shared" si="48"/>
        <v>0</v>
      </c>
      <c r="BI48" s="87">
        <f t="shared" si="49"/>
        <v>0</v>
      </c>
      <c r="BJ48" s="87">
        <f t="shared" si="50"/>
        <v>0</v>
      </c>
      <c r="BK48" s="87">
        <f t="shared" si="51"/>
        <v>0</v>
      </c>
      <c r="BL48" s="87">
        <f t="shared" si="52"/>
        <v>0</v>
      </c>
      <c r="BM48" s="87">
        <f t="shared" si="53"/>
        <v>0</v>
      </c>
      <c r="BN48" s="87">
        <f t="shared" si="54"/>
        <v>0</v>
      </c>
      <c r="BO48" s="87">
        <f t="shared" si="55"/>
        <v>0</v>
      </c>
      <c r="BP48" s="87">
        <f t="shared" si="56"/>
        <v>0</v>
      </c>
      <c r="BQ48" s="87">
        <f t="shared" si="57"/>
        <v>0</v>
      </c>
      <c r="BR48" s="87">
        <f t="shared" si="58"/>
        <v>0</v>
      </c>
      <c r="BS48" s="87">
        <f t="shared" si="59"/>
        <v>0</v>
      </c>
      <c r="BT48" s="96">
        <f t="shared" si="60"/>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61"/>
        <v>0</v>
      </c>
      <c r="BF49" s="87">
        <f t="shared" si="46"/>
        <v>0</v>
      </c>
      <c r="BG49" s="87">
        <f t="shared" si="47"/>
        <v>0</v>
      </c>
      <c r="BH49" s="87">
        <f t="shared" si="48"/>
        <v>0</v>
      </c>
      <c r="BI49" s="87">
        <f t="shared" si="49"/>
        <v>0</v>
      </c>
      <c r="BJ49" s="87">
        <f t="shared" si="50"/>
        <v>0</v>
      </c>
      <c r="BK49" s="87">
        <f t="shared" si="51"/>
        <v>0</v>
      </c>
      <c r="BL49" s="87">
        <f t="shared" si="52"/>
        <v>0</v>
      </c>
      <c r="BM49" s="87">
        <f t="shared" si="53"/>
        <v>0</v>
      </c>
      <c r="BN49" s="87">
        <f t="shared" si="54"/>
        <v>0</v>
      </c>
      <c r="BO49" s="87">
        <f t="shared" si="55"/>
        <v>0</v>
      </c>
      <c r="BP49" s="87">
        <f t="shared" si="56"/>
        <v>0</v>
      </c>
      <c r="BQ49" s="87">
        <f t="shared" si="57"/>
        <v>0</v>
      </c>
      <c r="BR49" s="87">
        <f t="shared" si="58"/>
        <v>0</v>
      </c>
      <c r="BS49" s="87">
        <f t="shared" si="59"/>
        <v>0</v>
      </c>
      <c r="BT49" s="96">
        <f t="shared" si="60"/>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61"/>
        <v>0</v>
      </c>
      <c r="BF50" s="87">
        <f t="shared" si="46"/>
        <v>0</v>
      </c>
      <c r="BG50" s="87">
        <f t="shared" si="47"/>
        <v>0</v>
      </c>
      <c r="BH50" s="87">
        <f t="shared" si="48"/>
        <v>0</v>
      </c>
      <c r="BI50" s="87">
        <f t="shared" si="49"/>
        <v>0</v>
      </c>
      <c r="BJ50" s="87">
        <f t="shared" si="50"/>
        <v>0</v>
      </c>
      <c r="BK50" s="87">
        <f t="shared" si="51"/>
        <v>0</v>
      </c>
      <c r="BL50" s="87">
        <f t="shared" si="52"/>
        <v>0</v>
      </c>
      <c r="BM50" s="87">
        <f t="shared" si="53"/>
        <v>0</v>
      </c>
      <c r="BN50" s="87">
        <f t="shared" si="54"/>
        <v>0</v>
      </c>
      <c r="BO50" s="87">
        <f t="shared" si="55"/>
        <v>0</v>
      </c>
      <c r="BP50" s="87">
        <f t="shared" si="56"/>
        <v>0</v>
      </c>
      <c r="BQ50" s="87">
        <f t="shared" si="57"/>
        <v>0</v>
      </c>
      <c r="BR50" s="87">
        <f t="shared" si="58"/>
        <v>0</v>
      </c>
      <c r="BS50" s="87">
        <f t="shared" si="59"/>
        <v>0</v>
      </c>
      <c r="BT50" s="96">
        <f t="shared" si="60"/>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61"/>
        <v>0</v>
      </c>
      <c r="BF51" s="87">
        <f t="shared" si="46"/>
        <v>0</v>
      </c>
      <c r="BG51" s="87">
        <f t="shared" si="47"/>
        <v>0</v>
      </c>
      <c r="BH51" s="87">
        <f t="shared" si="48"/>
        <v>0</v>
      </c>
      <c r="BI51" s="87">
        <f t="shared" si="49"/>
        <v>0</v>
      </c>
      <c r="BJ51" s="87">
        <f t="shared" si="50"/>
        <v>0</v>
      </c>
      <c r="BK51" s="87">
        <f t="shared" si="51"/>
        <v>0</v>
      </c>
      <c r="BL51" s="87">
        <f t="shared" si="52"/>
        <v>0</v>
      </c>
      <c r="BM51" s="87">
        <f t="shared" si="53"/>
        <v>0</v>
      </c>
      <c r="BN51" s="87">
        <f t="shared" si="54"/>
        <v>0</v>
      </c>
      <c r="BO51" s="87">
        <f t="shared" si="55"/>
        <v>0</v>
      </c>
      <c r="BP51" s="87">
        <f t="shared" si="56"/>
        <v>0</v>
      </c>
      <c r="BQ51" s="87">
        <f t="shared" si="57"/>
        <v>0</v>
      </c>
      <c r="BR51" s="87">
        <f t="shared" si="58"/>
        <v>0</v>
      </c>
      <c r="BS51" s="87">
        <f t="shared" si="59"/>
        <v>0</v>
      </c>
      <c r="BT51" s="96">
        <f t="shared" si="60"/>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61"/>
        <v>0</v>
      </c>
      <c r="BF52" s="87">
        <f t="shared" si="46"/>
        <v>0</v>
      </c>
      <c r="BG52" s="87">
        <f t="shared" si="47"/>
        <v>0</v>
      </c>
      <c r="BH52" s="87">
        <f t="shared" si="48"/>
        <v>0</v>
      </c>
      <c r="BI52" s="87">
        <f t="shared" si="49"/>
        <v>0</v>
      </c>
      <c r="BJ52" s="87">
        <f t="shared" si="50"/>
        <v>0</v>
      </c>
      <c r="BK52" s="87">
        <f t="shared" si="51"/>
        <v>0</v>
      </c>
      <c r="BL52" s="87">
        <f t="shared" si="52"/>
        <v>0</v>
      </c>
      <c r="BM52" s="87">
        <f t="shared" si="53"/>
        <v>0</v>
      </c>
      <c r="BN52" s="87">
        <f t="shared" si="54"/>
        <v>0</v>
      </c>
      <c r="BO52" s="87">
        <f t="shared" si="55"/>
        <v>0</v>
      </c>
      <c r="BP52" s="87">
        <f t="shared" si="56"/>
        <v>0</v>
      </c>
      <c r="BQ52" s="87">
        <f t="shared" si="57"/>
        <v>0</v>
      </c>
      <c r="BR52" s="87">
        <f t="shared" si="58"/>
        <v>0</v>
      </c>
      <c r="BS52" s="87">
        <f t="shared" si="59"/>
        <v>0</v>
      </c>
      <c r="BT52" s="96">
        <f t="shared" si="60"/>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61"/>
        <v>0</v>
      </c>
      <c r="BF53" s="87">
        <f t="shared" si="46"/>
        <v>0</v>
      </c>
      <c r="BG53" s="87">
        <f t="shared" si="47"/>
        <v>0</v>
      </c>
      <c r="BH53" s="87">
        <f t="shared" si="48"/>
        <v>0</v>
      </c>
      <c r="BI53" s="87">
        <f t="shared" si="49"/>
        <v>0</v>
      </c>
      <c r="BJ53" s="87">
        <f t="shared" si="50"/>
        <v>0</v>
      </c>
      <c r="BK53" s="87">
        <f t="shared" si="51"/>
        <v>0</v>
      </c>
      <c r="BL53" s="87">
        <f t="shared" si="52"/>
        <v>0</v>
      </c>
      <c r="BM53" s="87">
        <f t="shared" si="53"/>
        <v>0</v>
      </c>
      <c r="BN53" s="87">
        <f t="shared" si="54"/>
        <v>0</v>
      </c>
      <c r="BO53" s="87">
        <f t="shared" si="55"/>
        <v>0</v>
      </c>
      <c r="BP53" s="87">
        <f t="shared" si="56"/>
        <v>0</v>
      </c>
      <c r="BQ53" s="87">
        <f t="shared" si="57"/>
        <v>0</v>
      </c>
      <c r="BR53" s="87">
        <f t="shared" si="58"/>
        <v>0</v>
      </c>
      <c r="BS53" s="87">
        <f t="shared" si="59"/>
        <v>0</v>
      </c>
      <c r="BT53" s="96">
        <f t="shared" si="60"/>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61"/>
        <v>0</v>
      </c>
      <c r="BF54" s="87">
        <f t="shared" si="46"/>
        <v>0</v>
      </c>
      <c r="BG54" s="87">
        <f t="shared" si="47"/>
        <v>0</v>
      </c>
      <c r="BH54" s="87">
        <f t="shared" si="48"/>
        <v>0</v>
      </c>
      <c r="BI54" s="87">
        <f t="shared" si="49"/>
        <v>0</v>
      </c>
      <c r="BJ54" s="87">
        <f t="shared" si="50"/>
        <v>0</v>
      </c>
      <c r="BK54" s="87">
        <f t="shared" si="51"/>
        <v>0</v>
      </c>
      <c r="BL54" s="87">
        <f t="shared" si="52"/>
        <v>0</v>
      </c>
      <c r="BM54" s="87">
        <f t="shared" si="53"/>
        <v>0</v>
      </c>
      <c r="BN54" s="87">
        <f t="shared" si="54"/>
        <v>0</v>
      </c>
      <c r="BO54" s="87">
        <f t="shared" si="55"/>
        <v>0</v>
      </c>
      <c r="BP54" s="87">
        <f t="shared" si="56"/>
        <v>0</v>
      </c>
      <c r="BQ54" s="87">
        <f t="shared" si="57"/>
        <v>0</v>
      </c>
      <c r="BR54" s="87">
        <f t="shared" si="58"/>
        <v>0</v>
      </c>
      <c r="BS54" s="87">
        <f t="shared" si="59"/>
        <v>0</v>
      </c>
      <c r="BT54" s="96">
        <f t="shared" si="60"/>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61"/>
        <v>0</v>
      </c>
      <c r="BF55" s="87">
        <f t="shared" si="46"/>
        <v>0</v>
      </c>
      <c r="BG55" s="87">
        <f t="shared" si="47"/>
        <v>0</v>
      </c>
      <c r="BH55" s="87">
        <f t="shared" si="48"/>
        <v>0</v>
      </c>
      <c r="BI55" s="87">
        <f t="shared" si="49"/>
        <v>0</v>
      </c>
      <c r="BJ55" s="87">
        <f t="shared" si="50"/>
        <v>0</v>
      </c>
      <c r="BK55" s="87">
        <f t="shared" si="51"/>
        <v>0</v>
      </c>
      <c r="BL55" s="87">
        <f t="shared" si="52"/>
        <v>0</v>
      </c>
      <c r="BM55" s="87">
        <f t="shared" si="53"/>
        <v>0</v>
      </c>
      <c r="BN55" s="87">
        <f t="shared" si="54"/>
        <v>0</v>
      </c>
      <c r="BO55" s="87">
        <f t="shared" si="55"/>
        <v>0</v>
      </c>
      <c r="BP55" s="87">
        <f t="shared" si="56"/>
        <v>0</v>
      </c>
      <c r="BQ55" s="87">
        <f t="shared" si="57"/>
        <v>0</v>
      </c>
      <c r="BR55" s="87">
        <f t="shared" si="58"/>
        <v>0</v>
      </c>
      <c r="BS55" s="87">
        <f t="shared" si="59"/>
        <v>0</v>
      </c>
      <c r="BT55" s="96">
        <f t="shared" si="60"/>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61"/>
        <v>0</v>
      </c>
      <c r="BF56" s="87">
        <f t="shared" si="46"/>
        <v>0</v>
      </c>
      <c r="BG56" s="87">
        <f t="shared" si="47"/>
        <v>0</v>
      </c>
      <c r="BH56" s="87">
        <f t="shared" si="48"/>
        <v>0</v>
      </c>
      <c r="BI56" s="87">
        <f t="shared" si="49"/>
        <v>0</v>
      </c>
      <c r="BJ56" s="87">
        <f t="shared" si="50"/>
        <v>0</v>
      </c>
      <c r="BK56" s="87">
        <f t="shared" si="51"/>
        <v>0</v>
      </c>
      <c r="BL56" s="87">
        <f t="shared" si="52"/>
        <v>0</v>
      </c>
      <c r="BM56" s="87">
        <f t="shared" si="53"/>
        <v>0</v>
      </c>
      <c r="BN56" s="87">
        <f t="shared" si="54"/>
        <v>0</v>
      </c>
      <c r="BO56" s="87">
        <f t="shared" si="55"/>
        <v>0</v>
      </c>
      <c r="BP56" s="87">
        <f t="shared" si="56"/>
        <v>0</v>
      </c>
      <c r="BQ56" s="87">
        <f t="shared" si="57"/>
        <v>0</v>
      </c>
      <c r="BR56" s="87">
        <f t="shared" si="58"/>
        <v>0</v>
      </c>
      <c r="BS56" s="87">
        <f t="shared" si="59"/>
        <v>0</v>
      </c>
      <c r="BT56" s="96">
        <f t="shared" si="60"/>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61"/>
        <v>0</v>
      </c>
      <c r="BF57" s="87">
        <f t="shared" si="46"/>
        <v>0</v>
      </c>
      <c r="BG57" s="87">
        <f t="shared" si="47"/>
        <v>0</v>
      </c>
      <c r="BH57" s="87">
        <f t="shared" si="48"/>
        <v>0</v>
      </c>
      <c r="BI57" s="87">
        <f t="shared" si="49"/>
        <v>0</v>
      </c>
      <c r="BJ57" s="87">
        <f t="shared" si="50"/>
        <v>0</v>
      </c>
      <c r="BK57" s="87">
        <f t="shared" si="51"/>
        <v>0</v>
      </c>
      <c r="BL57" s="87">
        <f t="shared" si="52"/>
        <v>0</v>
      </c>
      <c r="BM57" s="87">
        <f t="shared" si="53"/>
        <v>0</v>
      </c>
      <c r="BN57" s="87">
        <f t="shared" si="54"/>
        <v>0</v>
      </c>
      <c r="BO57" s="87">
        <f t="shared" si="55"/>
        <v>0</v>
      </c>
      <c r="BP57" s="87">
        <f t="shared" si="56"/>
        <v>0</v>
      </c>
      <c r="BQ57" s="87">
        <f t="shared" si="57"/>
        <v>0</v>
      </c>
      <c r="BR57" s="87">
        <f t="shared" si="58"/>
        <v>0</v>
      </c>
      <c r="BS57" s="87">
        <f t="shared" si="59"/>
        <v>0</v>
      </c>
      <c r="BT57" s="96">
        <f t="shared" si="60"/>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61"/>
        <v>0</v>
      </c>
      <c r="BF58" s="87">
        <f t="shared" si="46"/>
        <v>0</v>
      </c>
      <c r="BG58" s="87">
        <f t="shared" si="47"/>
        <v>0</v>
      </c>
      <c r="BH58" s="87">
        <f t="shared" si="48"/>
        <v>0</v>
      </c>
      <c r="BI58" s="87">
        <f t="shared" si="49"/>
        <v>0</v>
      </c>
      <c r="BJ58" s="87">
        <f t="shared" si="50"/>
        <v>0</v>
      </c>
      <c r="BK58" s="87">
        <f t="shared" si="51"/>
        <v>0</v>
      </c>
      <c r="BL58" s="87">
        <f t="shared" si="52"/>
        <v>0</v>
      </c>
      <c r="BM58" s="87">
        <f t="shared" si="53"/>
        <v>0</v>
      </c>
      <c r="BN58" s="87">
        <f t="shared" si="54"/>
        <v>0</v>
      </c>
      <c r="BO58" s="87">
        <f t="shared" si="55"/>
        <v>0</v>
      </c>
      <c r="BP58" s="87">
        <f t="shared" si="56"/>
        <v>0</v>
      </c>
      <c r="BQ58" s="87">
        <f t="shared" si="57"/>
        <v>0</v>
      </c>
      <c r="BR58" s="87">
        <f t="shared" si="58"/>
        <v>0</v>
      </c>
      <c r="BS58" s="87">
        <f t="shared" si="59"/>
        <v>0</v>
      </c>
      <c r="BT58" s="96">
        <f t="shared" si="60"/>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61"/>
        <v>0</v>
      </c>
      <c r="BF59" s="87">
        <f t="shared" si="46"/>
        <v>0</v>
      </c>
      <c r="BG59" s="87">
        <f t="shared" si="47"/>
        <v>0</v>
      </c>
      <c r="BH59" s="87">
        <f t="shared" si="48"/>
        <v>0</v>
      </c>
      <c r="BI59" s="87">
        <f t="shared" si="49"/>
        <v>0</v>
      </c>
      <c r="BJ59" s="87">
        <f t="shared" si="50"/>
        <v>0</v>
      </c>
      <c r="BK59" s="87">
        <f t="shared" si="51"/>
        <v>0</v>
      </c>
      <c r="BL59" s="87">
        <f t="shared" si="52"/>
        <v>0</v>
      </c>
      <c r="BM59" s="87">
        <f t="shared" si="53"/>
        <v>0</v>
      </c>
      <c r="BN59" s="87">
        <f t="shared" si="54"/>
        <v>0</v>
      </c>
      <c r="BO59" s="87">
        <f t="shared" si="55"/>
        <v>0</v>
      </c>
      <c r="BP59" s="87">
        <f t="shared" si="56"/>
        <v>0</v>
      </c>
      <c r="BQ59" s="87">
        <f t="shared" si="57"/>
        <v>0</v>
      </c>
      <c r="BR59" s="87">
        <f t="shared" si="58"/>
        <v>0</v>
      </c>
      <c r="BS59" s="87">
        <f t="shared" si="59"/>
        <v>0</v>
      </c>
      <c r="BT59" s="96">
        <f t="shared" si="60"/>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61"/>
        <v>0</v>
      </c>
      <c r="BF60" s="87">
        <f t="shared" si="46"/>
        <v>0</v>
      </c>
      <c r="BG60" s="87">
        <f t="shared" si="47"/>
        <v>0</v>
      </c>
      <c r="BH60" s="87">
        <f t="shared" si="48"/>
        <v>0</v>
      </c>
      <c r="BI60" s="87">
        <f t="shared" si="49"/>
        <v>0</v>
      </c>
      <c r="BJ60" s="87">
        <f t="shared" si="50"/>
        <v>0</v>
      </c>
      <c r="BK60" s="87">
        <f t="shared" si="51"/>
        <v>0</v>
      </c>
      <c r="BL60" s="87">
        <f t="shared" si="52"/>
        <v>0</v>
      </c>
      <c r="BM60" s="87">
        <f t="shared" si="53"/>
        <v>0</v>
      </c>
      <c r="BN60" s="87">
        <f t="shared" si="54"/>
        <v>0</v>
      </c>
      <c r="BO60" s="87">
        <f t="shared" si="55"/>
        <v>0</v>
      </c>
      <c r="BP60" s="87">
        <f t="shared" si="56"/>
        <v>0</v>
      </c>
      <c r="BQ60" s="87">
        <f t="shared" si="57"/>
        <v>0</v>
      </c>
      <c r="BR60" s="87">
        <f t="shared" si="58"/>
        <v>0</v>
      </c>
      <c r="BS60" s="87">
        <f t="shared" si="59"/>
        <v>0</v>
      </c>
      <c r="BT60" s="96">
        <f t="shared" si="60"/>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61"/>
        <v>0</v>
      </c>
      <c r="BF61" s="87">
        <f t="shared" si="46"/>
        <v>0</v>
      </c>
      <c r="BG61" s="87">
        <f t="shared" si="47"/>
        <v>0</v>
      </c>
      <c r="BH61" s="87">
        <f t="shared" si="48"/>
        <v>0</v>
      </c>
      <c r="BI61" s="87">
        <f t="shared" si="49"/>
        <v>0</v>
      </c>
      <c r="BJ61" s="87">
        <f t="shared" si="50"/>
        <v>0</v>
      </c>
      <c r="BK61" s="87">
        <f t="shared" si="51"/>
        <v>0</v>
      </c>
      <c r="BL61" s="87">
        <f t="shared" si="52"/>
        <v>0</v>
      </c>
      <c r="BM61" s="87">
        <f t="shared" si="53"/>
        <v>0</v>
      </c>
      <c r="BN61" s="87">
        <f t="shared" si="54"/>
        <v>0</v>
      </c>
      <c r="BO61" s="87">
        <f t="shared" si="55"/>
        <v>0</v>
      </c>
      <c r="BP61" s="87">
        <f t="shared" si="56"/>
        <v>0</v>
      </c>
      <c r="BQ61" s="87">
        <f t="shared" si="57"/>
        <v>0</v>
      </c>
      <c r="BR61" s="87">
        <f t="shared" si="58"/>
        <v>0</v>
      </c>
      <c r="BS61" s="87">
        <f t="shared" si="59"/>
        <v>0</v>
      </c>
      <c r="BT61" s="96">
        <f t="shared" si="60"/>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61"/>
        <v>0</v>
      </c>
      <c r="BF62" s="87">
        <f t="shared" si="46"/>
        <v>0</v>
      </c>
      <c r="BG62" s="87">
        <f t="shared" si="47"/>
        <v>0</v>
      </c>
      <c r="BH62" s="87">
        <f t="shared" si="48"/>
        <v>0</v>
      </c>
      <c r="BI62" s="87">
        <f t="shared" si="49"/>
        <v>0</v>
      </c>
      <c r="BJ62" s="87">
        <f t="shared" si="50"/>
        <v>0</v>
      </c>
      <c r="BK62" s="87">
        <f t="shared" si="51"/>
        <v>0</v>
      </c>
      <c r="BL62" s="87">
        <f t="shared" si="52"/>
        <v>0</v>
      </c>
      <c r="BM62" s="87">
        <f t="shared" si="53"/>
        <v>0</v>
      </c>
      <c r="BN62" s="87">
        <f t="shared" si="54"/>
        <v>0</v>
      </c>
      <c r="BO62" s="87">
        <f t="shared" si="55"/>
        <v>0</v>
      </c>
      <c r="BP62" s="87">
        <f t="shared" si="56"/>
        <v>0</v>
      </c>
      <c r="BQ62" s="87">
        <f t="shared" si="57"/>
        <v>0</v>
      </c>
      <c r="BR62" s="87">
        <f t="shared" si="58"/>
        <v>0</v>
      </c>
      <c r="BS62" s="87">
        <f t="shared" si="59"/>
        <v>0</v>
      </c>
      <c r="BT62" s="96">
        <f t="shared" si="60"/>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61"/>
        <v>0</v>
      </c>
      <c r="BF63" s="87">
        <f t="shared" si="46"/>
        <v>0</v>
      </c>
      <c r="BG63" s="87">
        <f t="shared" si="47"/>
        <v>0</v>
      </c>
      <c r="BH63" s="87">
        <f t="shared" si="48"/>
        <v>0</v>
      </c>
      <c r="BI63" s="87">
        <f t="shared" si="49"/>
        <v>0</v>
      </c>
      <c r="BJ63" s="87">
        <f t="shared" si="50"/>
        <v>0</v>
      </c>
      <c r="BK63" s="87">
        <f t="shared" si="51"/>
        <v>0</v>
      </c>
      <c r="BL63" s="87">
        <f t="shared" si="52"/>
        <v>0</v>
      </c>
      <c r="BM63" s="87">
        <f t="shared" si="53"/>
        <v>0</v>
      </c>
      <c r="BN63" s="87">
        <f t="shared" si="54"/>
        <v>0</v>
      </c>
      <c r="BO63" s="87">
        <f t="shared" si="55"/>
        <v>0</v>
      </c>
      <c r="BP63" s="87">
        <f t="shared" si="56"/>
        <v>0</v>
      </c>
      <c r="BQ63" s="87">
        <f t="shared" si="57"/>
        <v>0</v>
      </c>
      <c r="BR63" s="87">
        <f t="shared" si="58"/>
        <v>0</v>
      </c>
      <c r="BS63" s="87">
        <f t="shared" si="59"/>
        <v>0</v>
      </c>
      <c r="BT63" s="96">
        <f t="shared" si="60"/>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61"/>
        <v>0</v>
      </c>
      <c r="BF64" s="87">
        <f t="shared" si="46"/>
        <v>0</v>
      </c>
      <c r="BG64" s="87">
        <f t="shared" si="47"/>
        <v>0</v>
      </c>
      <c r="BH64" s="87">
        <f t="shared" si="48"/>
        <v>0</v>
      </c>
      <c r="BI64" s="87">
        <f t="shared" si="49"/>
        <v>0</v>
      </c>
      <c r="BJ64" s="87">
        <f t="shared" si="50"/>
        <v>0</v>
      </c>
      <c r="BK64" s="87">
        <f t="shared" si="51"/>
        <v>0</v>
      </c>
      <c r="BL64" s="87">
        <f t="shared" si="52"/>
        <v>0</v>
      </c>
      <c r="BM64" s="87">
        <f t="shared" si="53"/>
        <v>0</v>
      </c>
      <c r="BN64" s="87">
        <f t="shared" si="54"/>
        <v>0</v>
      </c>
      <c r="BO64" s="87">
        <f t="shared" si="55"/>
        <v>0</v>
      </c>
      <c r="BP64" s="87">
        <f t="shared" si="56"/>
        <v>0</v>
      </c>
      <c r="BQ64" s="87">
        <f t="shared" si="57"/>
        <v>0</v>
      </c>
      <c r="BR64" s="87">
        <f t="shared" si="58"/>
        <v>0</v>
      </c>
      <c r="BS64" s="87">
        <f t="shared" si="59"/>
        <v>0</v>
      </c>
      <c r="BT64" s="96">
        <f t="shared" si="60"/>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61"/>
        <v>0</v>
      </c>
      <c r="BF65" s="87">
        <f t="shared" si="46"/>
        <v>0</v>
      </c>
      <c r="BG65" s="87">
        <f t="shared" si="47"/>
        <v>0</v>
      </c>
      <c r="BH65" s="87">
        <f t="shared" si="48"/>
        <v>0</v>
      </c>
      <c r="BI65" s="87">
        <f t="shared" si="49"/>
        <v>0</v>
      </c>
      <c r="BJ65" s="87">
        <f t="shared" si="50"/>
        <v>0</v>
      </c>
      <c r="BK65" s="87">
        <f t="shared" si="51"/>
        <v>0</v>
      </c>
      <c r="BL65" s="87">
        <f t="shared" si="52"/>
        <v>0</v>
      </c>
      <c r="BM65" s="87">
        <f t="shared" si="53"/>
        <v>0</v>
      </c>
      <c r="BN65" s="87">
        <f t="shared" si="54"/>
        <v>0</v>
      </c>
      <c r="BO65" s="87">
        <f t="shared" si="55"/>
        <v>0</v>
      </c>
      <c r="BP65" s="87">
        <f t="shared" si="56"/>
        <v>0</v>
      </c>
      <c r="BQ65" s="87">
        <f t="shared" si="57"/>
        <v>0</v>
      </c>
      <c r="BR65" s="87">
        <f t="shared" si="58"/>
        <v>0</v>
      </c>
      <c r="BS65" s="87">
        <f t="shared" si="59"/>
        <v>0</v>
      </c>
      <c r="BT65" s="96">
        <f t="shared" si="60"/>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61"/>
        <v>0</v>
      </c>
      <c r="BF66" s="87">
        <f t="shared" si="46"/>
        <v>0</v>
      </c>
      <c r="BG66" s="87">
        <f t="shared" si="47"/>
        <v>0</v>
      </c>
      <c r="BH66" s="87">
        <f t="shared" si="48"/>
        <v>0</v>
      </c>
      <c r="BI66" s="87">
        <f t="shared" si="49"/>
        <v>0</v>
      </c>
      <c r="BJ66" s="87">
        <f t="shared" si="50"/>
        <v>0</v>
      </c>
      <c r="BK66" s="87">
        <f t="shared" si="51"/>
        <v>0</v>
      </c>
      <c r="BL66" s="87">
        <f t="shared" si="52"/>
        <v>0</v>
      </c>
      <c r="BM66" s="87">
        <f t="shared" si="53"/>
        <v>0</v>
      </c>
      <c r="BN66" s="87">
        <f t="shared" si="54"/>
        <v>0</v>
      </c>
      <c r="BO66" s="87">
        <f t="shared" si="55"/>
        <v>0</v>
      </c>
      <c r="BP66" s="87">
        <f t="shared" si="56"/>
        <v>0</v>
      </c>
      <c r="BQ66" s="87">
        <f t="shared" si="57"/>
        <v>0</v>
      </c>
      <c r="BR66" s="87">
        <f t="shared" si="58"/>
        <v>0</v>
      </c>
      <c r="BS66" s="87">
        <f t="shared" si="59"/>
        <v>0</v>
      </c>
      <c r="BT66" s="96">
        <f t="shared" si="60"/>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61"/>
        <v>0</v>
      </c>
      <c r="BF67" s="87">
        <f t="shared" si="46"/>
        <v>0</v>
      </c>
      <c r="BG67" s="87">
        <f t="shared" si="47"/>
        <v>0</v>
      </c>
      <c r="BH67" s="87">
        <f t="shared" si="48"/>
        <v>0</v>
      </c>
      <c r="BI67" s="87">
        <f t="shared" si="49"/>
        <v>0</v>
      </c>
      <c r="BJ67" s="87">
        <f t="shared" si="50"/>
        <v>0</v>
      </c>
      <c r="BK67" s="87">
        <f t="shared" si="51"/>
        <v>0</v>
      </c>
      <c r="BL67" s="87">
        <f t="shared" si="52"/>
        <v>0</v>
      </c>
      <c r="BM67" s="87">
        <f t="shared" si="53"/>
        <v>0</v>
      </c>
      <c r="BN67" s="87">
        <f t="shared" si="54"/>
        <v>0</v>
      </c>
      <c r="BO67" s="87">
        <f t="shared" si="55"/>
        <v>0</v>
      </c>
      <c r="BP67" s="87">
        <f t="shared" si="56"/>
        <v>0</v>
      </c>
      <c r="BQ67" s="87">
        <f t="shared" si="57"/>
        <v>0</v>
      </c>
      <c r="BR67" s="87">
        <f t="shared" si="58"/>
        <v>0</v>
      </c>
      <c r="BS67" s="87">
        <f t="shared" si="59"/>
        <v>0</v>
      </c>
      <c r="BT67" s="96">
        <f t="shared" si="60"/>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61"/>
        <v>0</v>
      </c>
      <c r="BF68" s="87">
        <f t="shared" si="46"/>
        <v>0</v>
      </c>
      <c r="BG68" s="87">
        <f t="shared" si="47"/>
        <v>0</v>
      </c>
      <c r="BH68" s="87">
        <f t="shared" si="48"/>
        <v>0</v>
      </c>
      <c r="BI68" s="87">
        <f t="shared" si="49"/>
        <v>0</v>
      </c>
      <c r="BJ68" s="87">
        <f t="shared" si="50"/>
        <v>0</v>
      </c>
      <c r="BK68" s="87">
        <f t="shared" si="51"/>
        <v>0</v>
      </c>
      <c r="BL68" s="87">
        <f t="shared" si="52"/>
        <v>0</v>
      </c>
      <c r="BM68" s="87">
        <f t="shared" si="53"/>
        <v>0</v>
      </c>
      <c r="BN68" s="87">
        <f t="shared" si="54"/>
        <v>0</v>
      </c>
      <c r="BO68" s="87">
        <f t="shared" si="55"/>
        <v>0</v>
      </c>
      <c r="BP68" s="87">
        <f t="shared" si="56"/>
        <v>0</v>
      </c>
      <c r="BQ68" s="87">
        <f t="shared" si="57"/>
        <v>0</v>
      </c>
      <c r="BR68" s="87">
        <f t="shared" si="58"/>
        <v>0</v>
      </c>
      <c r="BS68" s="87">
        <f t="shared" si="59"/>
        <v>0</v>
      </c>
      <c r="BT68" s="96">
        <f t="shared" si="60"/>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61"/>
        <v>0</v>
      </c>
      <c r="BF69" s="87">
        <f t="shared" si="46"/>
        <v>0</v>
      </c>
      <c r="BG69" s="87">
        <f t="shared" si="47"/>
        <v>0</v>
      </c>
      <c r="BH69" s="87">
        <f t="shared" si="48"/>
        <v>0</v>
      </c>
      <c r="BI69" s="87">
        <f t="shared" si="49"/>
        <v>0</v>
      </c>
      <c r="BJ69" s="87">
        <f t="shared" si="50"/>
        <v>0</v>
      </c>
      <c r="BK69" s="87">
        <f t="shared" si="51"/>
        <v>0</v>
      </c>
      <c r="BL69" s="87">
        <f t="shared" si="52"/>
        <v>0</v>
      </c>
      <c r="BM69" s="87">
        <f t="shared" si="53"/>
        <v>0</v>
      </c>
      <c r="BN69" s="87">
        <f t="shared" si="54"/>
        <v>0</v>
      </c>
      <c r="BO69" s="87">
        <f t="shared" si="55"/>
        <v>0</v>
      </c>
      <c r="BP69" s="87">
        <f t="shared" si="56"/>
        <v>0</v>
      </c>
      <c r="BQ69" s="87">
        <f t="shared" si="57"/>
        <v>0</v>
      </c>
      <c r="BR69" s="87">
        <f t="shared" si="58"/>
        <v>0</v>
      </c>
      <c r="BS69" s="87">
        <f t="shared" si="59"/>
        <v>0</v>
      </c>
      <c r="BT69" s="96">
        <f t="shared" si="60"/>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61"/>
        <v>0</v>
      </c>
      <c r="BF70" s="87">
        <f t="shared" si="46"/>
        <v>0</v>
      </c>
      <c r="BG70" s="87">
        <f t="shared" si="47"/>
        <v>0</v>
      </c>
      <c r="BH70" s="87">
        <f t="shared" si="48"/>
        <v>0</v>
      </c>
      <c r="BI70" s="87">
        <f t="shared" si="49"/>
        <v>0</v>
      </c>
      <c r="BJ70" s="87">
        <f t="shared" si="50"/>
        <v>0</v>
      </c>
      <c r="BK70" s="87">
        <f t="shared" si="51"/>
        <v>0</v>
      </c>
      <c r="BL70" s="87">
        <f t="shared" si="52"/>
        <v>0</v>
      </c>
      <c r="BM70" s="87">
        <f t="shared" si="53"/>
        <v>0</v>
      </c>
      <c r="BN70" s="87">
        <f t="shared" si="54"/>
        <v>0</v>
      </c>
      <c r="BO70" s="87">
        <f t="shared" si="55"/>
        <v>0</v>
      </c>
      <c r="BP70" s="87">
        <f t="shared" si="56"/>
        <v>0</v>
      </c>
      <c r="BQ70" s="87">
        <f t="shared" si="57"/>
        <v>0</v>
      </c>
      <c r="BR70" s="87">
        <f t="shared" si="58"/>
        <v>0</v>
      </c>
      <c r="BS70" s="87">
        <f t="shared" si="59"/>
        <v>0</v>
      </c>
      <c r="BT70" s="96">
        <f t="shared" si="60"/>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61"/>
        <v>0</v>
      </c>
      <c r="BF71" s="87">
        <f t="shared" si="46"/>
        <v>0</v>
      </c>
      <c r="BG71" s="87">
        <f t="shared" si="47"/>
        <v>0</v>
      </c>
      <c r="BH71" s="87">
        <f t="shared" si="48"/>
        <v>0</v>
      </c>
      <c r="BI71" s="87">
        <f t="shared" si="49"/>
        <v>0</v>
      </c>
      <c r="BJ71" s="87">
        <f t="shared" si="50"/>
        <v>0</v>
      </c>
      <c r="BK71" s="87">
        <f t="shared" si="51"/>
        <v>0</v>
      </c>
      <c r="BL71" s="87">
        <f t="shared" si="52"/>
        <v>0</v>
      </c>
      <c r="BM71" s="87">
        <f t="shared" si="53"/>
        <v>0</v>
      </c>
      <c r="BN71" s="87">
        <f t="shared" si="54"/>
        <v>0</v>
      </c>
      <c r="BO71" s="87">
        <f t="shared" si="55"/>
        <v>0</v>
      </c>
      <c r="BP71" s="87">
        <f t="shared" si="56"/>
        <v>0</v>
      </c>
      <c r="BQ71" s="87">
        <f t="shared" si="57"/>
        <v>0</v>
      </c>
      <c r="BR71" s="87">
        <f t="shared" si="58"/>
        <v>0</v>
      </c>
      <c r="BS71" s="87">
        <f t="shared" si="59"/>
        <v>0</v>
      </c>
      <c r="BT71" s="96">
        <f t="shared" si="60"/>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61"/>
        <v>0</v>
      </c>
      <c r="BF72" s="87">
        <f t="shared" si="46"/>
        <v>0</v>
      </c>
      <c r="BG72" s="87">
        <f t="shared" si="47"/>
        <v>0</v>
      </c>
      <c r="BH72" s="87">
        <f t="shared" si="48"/>
        <v>0</v>
      </c>
      <c r="BI72" s="87">
        <f t="shared" si="49"/>
        <v>0</v>
      </c>
      <c r="BJ72" s="87">
        <f t="shared" si="50"/>
        <v>0</v>
      </c>
      <c r="BK72" s="87">
        <f t="shared" si="51"/>
        <v>0</v>
      </c>
      <c r="BL72" s="87">
        <f t="shared" si="52"/>
        <v>0</v>
      </c>
      <c r="BM72" s="87">
        <f t="shared" si="53"/>
        <v>0</v>
      </c>
      <c r="BN72" s="87">
        <f t="shared" si="54"/>
        <v>0</v>
      </c>
      <c r="BO72" s="87">
        <f t="shared" si="55"/>
        <v>0</v>
      </c>
      <c r="BP72" s="87">
        <f t="shared" si="56"/>
        <v>0</v>
      </c>
      <c r="BQ72" s="87">
        <f t="shared" si="57"/>
        <v>0</v>
      </c>
      <c r="BR72" s="87">
        <f t="shared" si="58"/>
        <v>0</v>
      </c>
      <c r="BS72" s="87">
        <f t="shared" si="59"/>
        <v>0</v>
      </c>
      <c r="BT72" s="96">
        <f t="shared" si="60"/>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61"/>
        <v>0</v>
      </c>
      <c r="BF73" s="87">
        <f t="shared" si="46"/>
        <v>0</v>
      </c>
      <c r="BG73" s="87">
        <f t="shared" si="47"/>
        <v>0</v>
      </c>
      <c r="BH73" s="87">
        <f t="shared" si="48"/>
        <v>0</v>
      </c>
      <c r="BI73" s="87">
        <f t="shared" si="49"/>
        <v>0</v>
      </c>
      <c r="BJ73" s="87">
        <f t="shared" si="50"/>
        <v>0</v>
      </c>
      <c r="BK73" s="87">
        <f t="shared" si="51"/>
        <v>0</v>
      </c>
      <c r="BL73" s="87">
        <f t="shared" si="52"/>
        <v>0</v>
      </c>
      <c r="BM73" s="87">
        <f t="shared" si="53"/>
        <v>0</v>
      </c>
      <c r="BN73" s="87">
        <f t="shared" si="54"/>
        <v>0</v>
      </c>
      <c r="BO73" s="87">
        <f t="shared" si="55"/>
        <v>0</v>
      </c>
      <c r="BP73" s="87">
        <f t="shared" si="56"/>
        <v>0</v>
      </c>
      <c r="BQ73" s="87">
        <f t="shared" si="57"/>
        <v>0</v>
      </c>
      <c r="BR73" s="87">
        <f t="shared" si="58"/>
        <v>0</v>
      </c>
      <c r="BS73" s="87">
        <f t="shared" si="59"/>
        <v>0</v>
      </c>
      <c r="BT73" s="96">
        <f t="shared" si="60"/>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61"/>
        <v>0</v>
      </c>
      <c r="BF74" s="87">
        <f t="shared" si="46"/>
        <v>0</v>
      </c>
      <c r="BG74" s="87">
        <f t="shared" si="47"/>
        <v>0</v>
      </c>
      <c r="BH74" s="87">
        <f t="shared" si="48"/>
        <v>0</v>
      </c>
      <c r="BI74" s="87">
        <f t="shared" si="49"/>
        <v>0</v>
      </c>
      <c r="BJ74" s="87">
        <f t="shared" si="50"/>
        <v>0</v>
      </c>
      <c r="BK74" s="87">
        <f t="shared" si="51"/>
        <v>0</v>
      </c>
      <c r="BL74" s="87">
        <f t="shared" si="52"/>
        <v>0</v>
      </c>
      <c r="BM74" s="87">
        <f t="shared" si="53"/>
        <v>0</v>
      </c>
      <c r="BN74" s="87">
        <f t="shared" si="54"/>
        <v>0</v>
      </c>
      <c r="BO74" s="87">
        <f t="shared" si="55"/>
        <v>0</v>
      </c>
      <c r="BP74" s="87">
        <f t="shared" si="56"/>
        <v>0</v>
      </c>
      <c r="BQ74" s="87">
        <f t="shared" si="57"/>
        <v>0</v>
      </c>
      <c r="BR74" s="87">
        <f t="shared" si="58"/>
        <v>0</v>
      </c>
      <c r="BS74" s="87">
        <f t="shared" si="59"/>
        <v>0</v>
      </c>
      <c r="BT74" s="96">
        <f t="shared" si="60"/>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61"/>
        <v>0</v>
      </c>
      <c r="BF75" s="87">
        <f t="shared" si="46"/>
        <v>0</v>
      </c>
      <c r="BG75" s="87">
        <f t="shared" si="47"/>
        <v>0</v>
      </c>
      <c r="BH75" s="87">
        <f t="shared" si="48"/>
        <v>0</v>
      </c>
      <c r="BI75" s="87">
        <f t="shared" si="49"/>
        <v>0</v>
      </c>
      <c r="BJ75" s="87">
        <f t="shared" si="50"/>
        <v>0</v>
      </c>
      <c r="BK75" s="87">
        <f t="shared" si="51"/>
        <v>0</v>
      </c>
      <c r="BL75" s="87">
        <f t="shared" si="52"/>
        <v>0</v>
      </c>
      <c r="BM75" s="87">
        <f t="shared" si="53"/>
        <v>0</v>
      </c>
      <c r="BN75" s="87">
        <f t="shared" si="54"/>
        <v>0</v>
      </c>
      <c r="BO75" s="87">
        <f t="shared" si="55"/>
        <v>0</v>
      </c>
      <c r="BP75" s="87">
        <f t="shared" si="56"/>
        <v>0</v>
      </c>
      <c r="BQ75" s="87">
        <f t="shared" si="57"/>
        <v>0</v>
      </c>
      <c r="BR75" s="87">
        <f t="shared" si="58"/>
        <v>0</v>
      </c>
      <c r="BS75" s="87">
        <f t="shared" si="59"/>
        <v>0</v>
      </c>
      <c r="BT75" s="96">
        <f t="shared" si="60"/>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61"/>
        <v>0</v>
      </c>
      <c r="BF76" s="87">
        <f t="shared" si="46"/>
        <v>0</v>
      </c>
      <c r="BG76" s="87">
        <f t="shared" si="47"/>
        <v>0</v>
      </c>
      <c r="BH76" s="87">
        <f t="shared" si="48"/>
        <v>0</v>
      </c>
      <c r="BI76" s="87">
        <f t="shared" si="49"/>
        <v>0</v>
      </c>
      <c r="BJ76" s="87">
        <f t="shared" si="50"/>
        <v>0</v>
      </c>
      <c r="BK76" s="87">
        <f t="shared" si="51"/>
        <v>0</v>
      </c>
      <c r="BL76" s="87">
        <f t="shared" si="52"/>
        <v>0</v>
      </c>
      <c r="BM76" s="87">
        <f t="shared" si="53"/>
        <v>0</v>
      </c>
      <c r="BN76" s="87">
        <f t="shared" si="54"/>
        <v>0</v>
      </c>
      <c r="BO76" s="87">
        <f t="shared" si="55"/>
        <v>0</v>
      </c>
      <c r="BP76" s="87">
        <f t="shared" si="56"/>
        <v>0</v>
      </c>
      <c r="BQ76" s="87">
        <f t="shared" si="57"/>
        <v>0</v>
      </c>
      <c r="BR76" s="87">
        <f t="shared" si="58"/>
        <v>0</v>
      </c>
      <c r="BS76" s="87">
        <f t="shared" si="59"/>
        <v>0</v>
      </c>
      <c r="BT76" s="96">
        <f t="shared" si="60"/>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61"/>
        <v>0</v>
      </c>
      <c r="BF77" s="87">
        <f t="shared" si="46"/>
        <v>0</v>
      </c>
      <c r="BG77" s="87">
        <f t="shared" si="47"/>
        <v>0</v>
      </c>
      <c r="BH77" s="87">
        <f t="shared" si="48"/>
        <v>0</v>
      </c>
      <c r="BI77" s="87">
        <f t="shared" si="49"/>
        <v>0</v>
      </c>
      <c r="BJ77" s="87">
        <f t="shared" si="50"/>
        <v>0</v>
      </c>
      <c r="BK77" s="87">
        <f t="shared" si="51"/>
        <v>0</v>
      </c>
      <c r="BL77" s="87">
        <f t="shared" si="52"/>
        <v>0</v>
      </c>
      <c r="BM77" s="87">
        <f t="shared" si="53"/>
        <v>0</v>
      </c>
      <c r="BN77" s="87">
        <f t="shared" si="54"/>
        <v>0</v>
      </c>
      <c r="BO77" s="87">
        <f t="shared" si="55"/>
        <v>0</v>
      </c>
      <c r="BP77" s="87">
        <f t="shared" si="56"/>
        <v>0</v>
      </c>
      <c r="BQ77" s="87">
        <f t="shared" si="57"/>
        <v>0</v>
      </c>
      <c r="BR77" s="87">
        <f t="shared" si="58"/>
        <v>0</v>
      </c>
      <c r="BS77" s="87">
        <f t="shared" si="59"/>
        <v>0</v>
      </c>
      <c r="BT77" s="96">
        <f t="shared" si="60"/>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61"/>
        <v>0</v>
      </c>
      <c r="BF78" s="87">
        <f t="shared" si="46"/>
        <v>0</v>
      </c>
      <c r="BG78" s="87">
        <f t="shared" si="47"/>
        <v>0</v>
      </c>
      <c r="BH78" s="87">
        <f t="shared" si="48"/>
        <v>0</v>
      </c>
      <c r="BI78" s="87">
        <f t="shared" si="49"/>
        <v>0</v>
      </c>
      <c r="BJ78" s="87">
        <f t="shared" si="50"/>
        <v>0</v>
      </c>
      <c r="BK78" s="87">
        <f t="shared" si="51"/>
        <v>0</v>
      </c>
      <c r="BL78" s="87">
        <f t="shared" si="52"/>
        <v>0</v>
      </c>
      <c r="BM78" s="87">
        <f t="shared" si="53"/>
        <v>0</v>
      </c>
      <c r="BN78" s="87">
        <f t="shared" si="54"/>
        <v>0</v>
      </c>
      <c r="BO78" s="87">
        <f t="shared" si="55"/>
        <v>0</v>
      </c>
      <c r="BP78" s="87">
        <f t="shared" si="56"/>
        <v>0</v>
      </c>
      <c r="BQ78" s="87">
        <f t="shared" si="57"/>
        <v>0</v>
      </c>
      <c r="BR78" s="87">
        <f t="shared" si="58"/>
        <v>0</v>
      </c>
      <c r="BS78" s="87">
        <f t="shared" si="59"/>
        <v>0</v>
      </c>
      <c r="BT78" s="96">
        <f t="shared" si="60"/>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61"/>
        <v>0</v>
      </c>
      <c r="BF79" s="87">
        <f t="shared" si="46"/>
        <v>0</v>
      </c>
      <c r="BG79" s="87">
        <f t="shared" si="47"/>
        <v>0</v>
      </c>
      <c r="BH79" s="87">
        <f t="shared" si="48"/>
        <v>0</v>
      </c>
      <c r="BI79" s="87">
        <f t="shared" si="49"/>
        <v>0</v>
      </c>
      <c r="BJ79" s="87">
        <f t="shared" si="50"/>
        <v>0</v>
      </c>
      <c r="BK79" s="87">
        <f t="shared" si="51"/>
        <v>0</v>
      </c>
      <c r="BL79" s="87">
        <f t="shared" si="52"/>
        <v>0</v>
      </c>
      <c r="BM79" s="87">
        <f t="shared" si="53"/>
        <v>0</v>
      </c>
      <c r="BN79" s="87">
        <f t="shared" si="54"/>
        <v>0</v>
      </c>
      <c r="BO79" s="87">
        <f t="shared" si="55"/>
        <v>0</v>
      </c>
      <c r="BP79" s="87">
        <f t="shared" si="56"/>
        <v>0</v>
      </c>
      <c r="BQ79" s="87">
        <f t="shared" si="57"/>
        <v>0</v>
      </c>
      <c r="BR79" s="87">
        <f t="shared" si="58"/>
        <v>0</v>
      </c>
      <c r="BS79" s="87">
        <f t="shared" si="59"/>
        <v>0</v>
      </c>
      <c r="BT79" s="96">
        <f t="shared" si="60"/>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61"/>
        <v>0</v>
      </c>
      <c r="BF80" s="87">
        <f t="shared" si="46"/>
        <v>0</v>
      </c>
      <c r="BG80" s="87">
        <f t="shared" si="47"/>
        <v>0</v>
      </c>
      <c r="BH80" s="87">
        <f t="shared" si="48"/>
        <v>0</v>
      </c>
      <c r="BI80" s="87">
        <f t="shared" si="49"/>
        <v>0</v>
      </c>
      <c r="BJ80" s="87">
        <f t="shared" si="50"/>
        <v>0</v>
      </c>
      <c r="BK80" s="87">
        <f t="shared" si="51"/>
        <v>0</v>
      </c>
      <c r="BL80" s="87">
        <f t="shared" si="52"/>
        <v>0</v>
      </c>
      <c r="BM80" s="87">
        <f t="shared" si="53"/>
        <v>0</v>
      </c>
      <c r="BN80" s="87">
        <f t="shared" si="54"/>
        <v>0</v>
      </c>
      <c r="BO80" s="87">
        <f t="shared" si="55"/>
        <v>0</v>
      </c>
      <c r="BP80" s="87">
        <f t="shared" si="56"/>
        <v>0</v>
      </c>
      <c r="BQ80" s="87">
        <f t="shared" si="57"/>
        <v>0</v>
      </c>
      <c r="BR80" s="87">
        <f t="shared" si="58"/>
        <v>0</v>
      </c>
      <c r="BS80" s="87">
        <f t="shared" si="59"/>
        <v>0</v>
      </c>
      <c r="BT80" s="96">
        <f t="shared" si="60"/>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61"/>
        <v>0</v>
      </c>
      <c r="BF81" s="87">
        <f t="shared" si="46"/>
        <v>0</v>
      </c>
      <c r="BG81" s="87">
        <f t="shared" si="47"/>
        <v>0</v>
      </c>
      <c r="BH81" s="87">
        <f t="shared" si="48"/>
        <v>0</v>
      </c>
      <c r="BI81" s="87">
        <f t="shared" si="49"/>
        <v>0</v>
      </c>
      <c r="BJ81" s="87">
        <f t="shared" si="50"/>
        <v>0</v>
      </c>
      <c r="BK81" s="87">
        <f t="shared" si="51"/>
        <v>0</v>
      </c>
      <c r="BL81" s="87">
        <f t="shared" si="52"/>
        <v>0</v>
      </c>
      <c r="BM81" s="87">
        <f t="shared" si="53"/>
        <v>0</v>
      </c>
      <c r="BN81" s="87">
        <f t="shared" si="54"/>
        <v>0</v>
      </c>
      <c r="BO81" s="87">
        <f t="shared" si="55"/>
        <v>0</v>
      </c>
      <c r="BP81" s="87">
        <f t="shared" si="56"/>
        <v>0</v>
      </c>
      <c r="BQ81" s="87">
        <f t="shared" si="57"/>
        <v>0</v>
      </c>
      <c r="BR81" s="87">
        <f t="shared" si="58"/>
        <v>0</v>
      </c>
      <c r="BS81" s="87">
        <f t="shared" si="59"/>
        <v>0</v>
      </c>
      <c r="BT81" s="96">
        <f t="shared" si="60"/>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61"/>
        <v>0</v>
      </c>
      <c r="BF82" s="87">
        <f t="shared" si="46"/>
        <v>0</v>
      </c>
      <c r="BG82" s="87">
        <f t="shared" si="47"/>
        <v>0</v>
      </c>
      <c r="BH82" s="87">
        <f t="shared" si="48"/>
        <v>0</v>
      </c>
      <c r="BI82" s="87">
        <f t="shared" si="49"/>
        <v>0</v>
      </c>
      <c r="BJ82" s="87">
        <f t="shared" si="50"/>
        <v>0</v>
      </c>
      <c r="BK82" s="87">
        <f t="shared" si="51"/>
        <v>0</v>
      </c>
      <c r="BL82" s="87">
        <f t="shared" si="52"/>
        <v>0</v>
      </c>
      <c r="BM82" s="87">
        <f t="shared" si="53"/>
        <v>0</v>
      </c>
      <c r="BN82" s="87">
        <f t="shared" si="54"/>
        <v>0</v>
      </c>
      <c r="BO82" s="87">
        <f t="shared" si="55"/>
        <v>0</v>
      </c>
      <c r="BP82" s="87">
        <f t="shared" si="56"/>
        <v>0</v>
      </c>
      <c r="BQ82" s="87">
        <f t="shared" si="57"/>
        <v>0</v>
      </c>
      <c r="BR82" s="87">
        <f t="shared" si="58"/>
        <v>0</v>
      </c>
      <c r="BS82" s="87">
        <f t="shared" si="59"/>
        <v>0</v>
      </c>
      <c r="BT82" s="96">
        <f t="shared" si="60"/>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61"/>
        <v>0</v>
      </c>
      <c r="BF83" s="87">
        <f t="shared" si="46"/>
        <v>0</v>
      </c>
      <c r="BG83" s="87">
        <f t="shared" si="47"/>
        <v>0</v>
      </c>
      <c r="BH83" s="87">
        <f t="shared" si="48"/>
        <v>0</v>
      </c>
      <c r="BI83" s="87">
        <f t="shared" si="49"/>
        <v>0</v>
      </c>
      <c r="BJ83" s="87">
        <f t="shared" si="50"/>
        <v>0</v>
      </c>
      <c r="BK83" s="87">
        <f t="shared" si="51"/>
        <v>0</v>
      </c>
      <c r="BL83" s="87">
        <f t="shared" si="52"/>
        <v>0</v>
      </c>
      <c r="BM83" s="87">
        <f t="shared" si="53"/>
        <v>0</v>
      </c>
      <c r="BN83" s="87">
        <f t="shared" si="54"/>
        <v>0</v>
      </c>
      <c r="BO83" s="87">
        <f t="shared" si="55"/>
        <v>0</v>
      </c>
      <c r="BP83" s="87">
        <f t="shared" si="56"/>
        <v>0</v>
      </c>
      <c r="BQ83" s="87">
        <f t="shared" si="57"/>
        <v>0</v>
      </c>
      <c r="BR83" s="87">
        <f t="shared" si="58"/>
        <v>0</v>
      </c>
      <c r="BS83" s="87">
        <f t="shared" si="59"/>
        <v>0</v>
      </c>
      <c r="BT83" s="96">
        <f t="shared" si="60"/>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61"/>
        <v>0</v>
      </c>
      <c r="BF84" s="87">
        <f t="shared" si="46"/>
        <v>0</v>
      </c>
      <c r="BG84" s="87">
        <f t="shared" si="47"/>
        <v>0</v>
      </c>
      <c r="BH84" s="87">
        <f t="shared" si="48"/>
        <v>0</v>
      </c>
      <c r="BI84" s="87">
        <f t="shared" si="49"/>
        <v>0</v>
      </c>
      <c r="BJ84" s="87">
        <f t="shared" si="50"/>
        <v>0</v>
      </c>
      <c r="BK84" s="87">
        <f t="shared" si="51"/>
        <v>0</v>
      </c>
      <c r="BL84" s="87">
        <f t="shared" si="52"/>
        <v>0</v>
      </c>
      <c r="BM84" s="87">
        <f t="shared" si="53"/>
        <v>0</v>
      </c>
      <c r="BN84" s="87">
        <f t="shared" si="54"/>
        <v>0</v>
      </c>
      <c r="BO84" s="87">
        <f t="shared" si="55"/>
        <v>0</v>
      </c>
      <c r="BP84" s="87">
        <f t="shared" si="56"/>
        <v>0</v>
      </c>
      <c r="BQ84" s="87">
        <f t="shared" si="57"/>
        <v>0</v>
      </c>
      <c r="BR84" s="87">
        <f t="shared" si="58"/>
        <v>0</v>
      </c>
      <c r="BS84" s="87">
        <f t="shared" si="59"/>
        <v>0</v>
      </c>
      <c r="BT84" s="96">
        <f t="shared" si="60"/>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61"/>
        <v>0</v>
      </c>
      <c r="BF85" s="87">
        <f t="shared" si="46"/>
        <v>0</v>
      </c>
      <c r="BG85" s="87">
        <f t="shared" si="47"/>
        <v>0</v>
      </c>
      <c r="BH85" s="87">
        <f t="shared" si="48"/>
        <v>0</v>
      </c>
      <c r="BI85" s="87">
        <f t="shared" si="49"/>
        <v>0</v>
      </c>
      <c r="BJ85" s="87">
        <f t="shared" si="50"/>
        <v>0</v>
      </c>
      <c r="BK85" s="87">
        <f t="shared" si="51"/>
        <v>0</v>
      </c>
      <c r="BL85" s="87">
        <f t="shared" si="52"/>
        <v>0</v>
      </c>
      <c r="BM85" s="87">
        <f t="shared" si="53"/>
        <v>0</v>
      </c>
      <c r="BN85" s="87">
        <f t="shared" si="54"/>
        <v>0</v>
      </c>
      <c r="BO85" s="87">
        <f t="shared" si="55"/>
        <v>0</v>
      </c>
      <c r="BP85" s="87">
        <f t="shared" si="56"/>
        <v>0</v>
      </c>
      <c r="BQ85" s="87">
        <f t="shared" si="57"/>
        <v>0</v>
      </c>
      <c r="BR85" s="87">
        <f t="shared" si="58"/>
        <v>0</v>
      </c>
      <c r="BS85" s="87">
        <f t="shared" si="59"/>
        <v>0</v>
      </c>
      <c r="BT85" s="96">
        <f t="shared" si="60"/>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61"/>
        <v>0</v>
      </c>
      <c r="BF86" s="87">
        <f t="shared" si="46"/>
        <v>0</v>
      </c>
      <c r="BG86" s="87">
        <f t="shared" si="47"/>
        <v>0</v>
      </c>
      <c r="BH86" s="87">
        <f t="shared" si="48"/>
        <v>0</v>
      </c>
      <c r="BI86" s="87">
        <f t="shared" si="49"/>
        <v>0</v>
      </c>
      <c r="BJ86" s="87">
        <f t="shared" si="50"/>
        <v>0</v>
      </c>
      <c r="BK86" s="87">
        <f t="shared" si="51"/>
        <v>0</v>
      </c>
      <c r="BL86" s="87">
        <f t="shared" si="52"/>
        <v>0</v>
      </c>
      <c r="BM86" s="87">
        <f t="shared" si="53"/>
        <v>0</v>
      </c>
      <c r="BN86" s="87">
        <f t="shared" si="54"/>
        <v>0</v>
      </c>
      <c r="BO86" s="87">
        <f t="shared" si="55"/>
        <v>0</v>
      </c>
      <c r="BP86" s="87">
        <f t="shared" si="56"/>
        <v>0</v>
      </c>
      <c r="BQ86" s="87">
        <f t="shared" si="57"/>
        <v>0</v>
      </c>
      <c r="BR86" s="87">
        <f t="shared" si="58"/>
        <v>0</v>
      </c>
      <c r="BS86" s="87">
        <f t="shared" si="59"/>
        <v>0</v>
      </c>
      <c r="BT86" s="96">
        <f t="shared" si="60"/>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61"/>
        <v>0</v>
      </c>
      <c r="BF87" s="87">
        <f t="shared" si="46"/>
        <v>0</v>
      </c>
      <c r="BG87" s="87">
        <f t="shared" si="47"/>
        <v>0</v>
      </c>
      <c r="BH87" s="87">
        <f t="shared" si="48"/>
        <v>0</v>
      </c>
      <c r="BI87" s="87">
        <f t="shared" si="49"/>
        <v>0</v>
      </c>
      <c r="BJ87" s="87">
        <f t="shared" si="50"/>
        <v>0</v>
      </c>
      <c r="BK87" s="87">
        <f t="shared" si="51"/>
        <v>0</v>
      </c>
      <c r="BL87" s="87">
        <f t="shared" si="52"/>
        <v>0</v>
      </c>
      <c r="BM87" s="87">
        <f t="shared" si="53"/>
        <v>0</v>
      </c>
      <c r="BN87" s="87">
        <f t="shared" si="54"/>
        <v>0</v>
      </c>
      <c r="BO87" s="87">
        <f t="shared" si="55"/>
        <v>0</v>
      </c>
      <c r="BP87" s="87">
        <f t="shared" si="56"/>
        <v>0</v>
      </c>
      <c r="BQ87" s="87">
        <f t="shared" si="57"/>
        <v>0</v>
      </c>
      <c r="BR87" s="87">
        <f t="shared" si="58"/>
        <v>0</v>
      </c>
      <c r="BS87" s="87">
        <f t="shared" si="59"/>
        <v>0</v>
      </c>
      <c r="BT87" s="96">
        <f t="shared" si="60"/>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61"/>
        <v>0</v>
      </c>
      <c r="BF88" s="87">
        <f t="shared" si="46"/>
        <v>0</v>
      </c>
      <c r="BG88" s="87">
        <f t="shared" si="47"/>
        <v>0</v>
      </c>
      <c r="BH88" s="87">
        <f t="shared" si="48"/>
        <v>0</v>
      </c>
      <c r="BI88" s="87">
        <f t="shared" si="49"/>
        <v>0</v>
      </c>
      <c r="BJ88" s="87">
        <f t="shared" si="50"/>
        <v>0</v>
      </c>
      <c r="BK88" s="87">
        <f t="shared" si="51"/>
        <v>0</v>
      </c>
      <c r="BL88" s="87">
        <f t="shared" si="52"/>
        <v>0</v>
      </c>
      <c r="BM88" s="87">
        <f t="shared" si="53"/>
        <v>0</v>
      </c>
      <c r="BN88" s="87">
        <f t="shared" si="54"/>
        <v>0</v>
      </c>
      <c r="BO88" s="87">
        <f t="shared" si="55"/>
        <v>0</v>
      </c>
      <c r="BP88" s="87">
        <f t="shared" si="56"/>
        <v>0</v>
      </c>
      <c r="BQ88" s="87">
        <f t="shared" si="57"/>
        <v>0</v>
      </c>
      <c r="BR88" s="87">
        <f t="shared" si="58"/>
        <v>0</v>
      </c>
      <c r="BS88" s="87">
        <f t="shared" si="59"/>
        <v>0</v>
      </c>
      <c r="BT88" s="96">
        <f t="shared" si="60"/>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61"/>
        <v>0</v>
      </c>
      <c r="BF89" s="87">
        <f t="shared" si="46"/>
        <v>0</v>
      </c>
      <c r="BG89" s="87">
        <f t="shared" si="47"/>
        <v>0</v>
      </c>
      <c r="BH89" s="87">
        <f t="shared" si="48"/>
        <v>0</v>
      </c>
      <c r="BI89" s="87">
        <f t="shared" si="49"/>
        <v>0</v>
      </c>
      <c r="BJ89" s="87">
        <f t="shared" si="50"/>
        <v>0</v>
      </c>
      <c r="BK89" s="87">
        <f t="shared" si="51"/>
        <v>0</v>
      </c>
      <c r="BL89" s="87">
        <f t="shared" si="52"/>
        <v>0</v>
      </c>
      <c r="BM89" s="87">
        <f t="shared" si="53"/>
        <v>0</v>
      </c>
      <c r="BN89" s="87">
        <f t="shared" si="54"/>
        <v>0</v>
      </c>
      <c r="BO89" s="87">
        <f t="shared" si="55"/>
        <v>0</v>
      </c>
      <c r="BP89" s="87">
        <f t="shared" si="56"/>
        <v>0</v>
      </c>
      <c r="BQ89" s="87">
        <f t="shared" si="57"/>
        <v>0</v>
      </c>
      <c r="BR89" s="87">
        <f t="shared" si="58"/>
        <v>0</v>
      </c>
      <c r="BS89" s="87">
        <f t="shared" si="59"/>
        <v>0</v>
      </c>
      <c r="BT89" s="96">
        <f t="shared" si="60"/>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61"/>
        <v>0</v>
      </c>
      <c r="BF90" s="87">
        <f t="shared" si="46"/>
        <v>0</v>
      </c>
      <c r="BG90" s="87">
        <f t="shared" si="47"/>
        <v>0</v>
      </c>
      <c r="BH90" s="87">
        <f t="shared" si="48"/>
        <v>0</v>
      </c>
      <c r="BI90" s="87">
        <f t="shared" si="49"/>
        <v>0</v>
      </c>
      <c r="BJ90" s="87">
        <f t="shared" si="50"/>
        <v>0</v>
      </c>
      <c r="BK90" s="87">
        <f t="shared" si="51"/>
        <v>0</v>
      </c>
      <c r="BL90" s="87">
        <f t="shared" si="52"/>
        <v>0</v>
      </c>
      <c r="BM90" s="87">
        <f t="shared" si="53"/>
        <v>0</v>
      </c>
      <c r="BN90" s="87">
        <f t="shared" si="54"/>
        <v>0</v>
      </c>
      <c r="BO90" s="87">
        <f t="shared" si="55"/>
        <v>0</v>
      </c>
      <c r="BP90" s="87">
        <f t="shared" si="56"/>
        <v>0</v>
      </c>
      <c r="BQ90" s="87">
        <f t="shared" si="57"/>
        <v>0</v>
      </c>
      <c r="BR90" s="87">
        <f t="shared" si="58"/>
        <v>0</v>
      </c>
      <c r="BS90" s="87">
        <f t="shared" si="59"/>
        <v>0</v>
      </c>
      <c r="BT90" s="96">
        <f t="shared" si="60"/>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61"/>
        <v>0</v>
      </c>
      <c r="BF91" s="87">
        <f t="shared" si="46"/>
        <v>0</v>
      </c>
      <c r="BG91" s="87">
        <f t="shared" si="47"/>
        <v>0</v>
      </c>
      <c r="BH91" s="87">
        <f t="shared" si="48"/>
        <v>0</v>
      </c>
      <c r="BI91" s="87">
        <f t="shared" si="49"/>
        <v>0</v>
      </c>
      <c r="BJ91" s="87">
        <f t="shared" si="50"/>
        <v>0</v>
      </c>
      <c r="BK91" s="87">
        <f t="shared" si="51"/>
        <v>0</v>
      </c>
      <c r="BL91" s="87">
        <f t="shared" si="52"/>
        <v>0</v>
      </c>
      <c r="BM91" s="87">
        <f t="shared" si="53"/>
        <v>0</v>
      </c>
      <c r="BN91" s="87">
        <f t="shared" si="54"/>
        <v>0</v>
      </c>
      <c r="BO91" s="87">
        <f t="shared" si="55"/>
        <v>0</v>
      </c>
      <c r="BP91" s="87">
        <f t="shared" si="56"/>
        <v>0</v>
      </c>
      <c r="BQ91" s="87">
        <f t="shared" si="57"/>
        <v>0</v>
      </c>
      <c r="BR91" s="87">
        <f t="shared" si="58"/>
        <v>0</v>
      </c>
      <c r="BS91" s="87">
        <f t="shared" si="59"/>
        <v>0</v>
      </c>
      <c r="BT91" s="96">
        <f t="shared" si="60"/>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61"/>
        <v>0</v>
      </c>
      <c r="BF92" s="87">
        <f t="shared" si="46"/>
        <v>0</v>
      </c>
      <c r="BG92" s="87">
        <f t="shared" si="47"/>
        <v>0</v>
      </c>
      <c r="BH92" s="87">
        <f t="shared" si="48"/>
        <v>0</v>
      </c>
      <c r="BI92" s="87">
        <f t="shared" si="49"/>
        <v>0</v>
      </c>
      <c r="BJ92" s="87">
        <f t="shared" si="50"/>
        <v>0</v>
      </c>
      <c r="BK92" s="87">
        <f t="shared" si="51"/>
        <v>0</v>
      </c>
      <c r="BL92" s="87">
        <f t="shared" si="52"/>
        <v>0</v>
      </c>
      <c r="BM92" s="87">
        <f t="shared" si="53"/>
        <v>0</v>
      </c>
      <c r="BN92" s="87">
        <f t="shared" si="54"/>
        <v>0</v>
      </c>
      <c r="BO92" s="87">
        <f t="shared" si="55"/>
        <v>0</v>
      </c>
      <c r="BP92" s="87">
        <f t="shared" si="56"/>
        <v>0</v>
      </c>
      <c r="BQ92" s="87">
        <f t="shared" si="57"/>
        <v>0</v>
      </c>
      <c r="BR92" s="87">
        <f t="shared" si="58"/>
        <v>0</v>
      </c>
      <c r="BS92" s="87">
        <f t="shared" si="59"/>
        <v>0</v>
      </c>
      <c r="BT92" s="96">
        <f t="shared" si="60"/>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61"/>
        <v>0</v>
      </c>
      <c r="BF93" s="87">
        <f t="shared" si="46"/>
        <v>0</v>
      </c>
      <c r="BG93" s="87">
        <f t="shared" si="47"/>
        <v>0</v>
      </c>
      <c r="BH93" s="87">
        <f t="shared" si="48"/>
        <v>0</v>
      </c>
      <c r="BI93" s="87">
        <f t="shared" si="49"/>
        <v>0</v>
      </c>
      <c r="BJ93" s="87">
        <f t="shared" si="50"/>
        <v>0</v>
      </c>
      <c r="BK93" s="87">
        <f t="shared" si="51"/>
        <v>0</v>
      </c>
      <c r="BL93" s="87">
        <f t="shared" si="52"/>
        <v>0</v>
      </c>
      <c r="BM93" s="87">
        <f t="shared" si="53"/>
        <v>0</v>
      </c>
      <c r="BN93" s="87">
        <f t="shared" si="54"/>
        <v>0</v>
      </c>
      <c r="BO93" s="87">
        <f t="shared" si="55"/>
        <v>0</v>
      </c>
      <c r="BP93" s="87">
        <f t="shared" si="56"/>
        <v>0</v>
      </c>
      <c r="BQ93" s="87">
        <f t="shared" si="57"/>
        <v>0</v>
      </c>
      <c r="BR93" s="87">
        <f t="shared" si="58"/>
        <v>0</v>
      </c>
      <c r="BS93" s="87">
        <f t="shared" si="59"/>
        <v>0</v>
      </c>
      <c r="BT93" s="96">
        <f t="shared" si="60"/>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61"/>
        <v>0</v>
      </c>
      <c r="BF94" s="87">
        <f t="shared" si="46"/>
        <v>0</v>
      </c>
      <c r="BG94" s="87">
        <f t="shared" si="47"/>
        <v>0</v>
      </c>
      <c r="BH94" s="87">
        <f t="shared" si="48"/>
        <v>0</v>
      </c>
      <c r="BI94" s="87">
        <f t="shared" si="49"/>
        <v>0</v>
      </c>
      <c r="BJ94" s="87">
        <f t="shared" si="50"/>
        <v>0</v>
      </c>
      <c r="BK94" s="87">
        <f t="shared" si="51"/>
        <v>0</v>
      </c>
      <c r="BL94" s="87">
        <f t="shared" si="52"/>
        <v>0</v>
      </c>
      <c r="BM94" s="87">
        <f t="shared" si="53"/>
        <v>0</v>
      </c>
      <c r="BN94" s="87">
        <f t="shared" si="54"/>
        <v>0</v>
      </c>
      <c r="BO94" s="87">
        <f t="shared" si="55"/>
        <v>0</v>
      </c>
      <c r="BP94" s="87">
        <f t="shared" si="56"/>
        <v>0</v>
      </c>
      <c r="BQ94" s="87">
        <f t="shared" si="57"/>
        <v>0</v>
      </c>
      <c r="BR94" s="87">
        <f t="shared" si="58"/>
        <v>0</v>
      </c>
      <c r="BS94" s="87">
        <f t="shared" si="59"/>
        <v>0</v>
      </c>
      <c r="BT94" s="96">
        <f t="shared" si="60"/>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61"/>
        <v>0</v>
      </c>
      <c r="BF95" s="87">
        <f t="shared" si="46"/>
        <v>0</v>
      </c>
      <c r="BG95" s="87">
        <f t="shared" si="47"/>
        <v>0</v>
      </c>
      <c r="BH95" s="87">
        <f t="shared" si="48"/>
        <v>0</v>
      </c>
      <c r="BI95" s="87">
        <f t="shared" si="49"/>
        <v>0</v>
      </c>
      <c r="BJ95" s="87">
        <f t="shared" si="50"/>
        <v>0</v>
      </c>
      <c r="BK95" s="87">
        <f t="shared" si="51"/>
        <v>0</v>
      </c>
      <c r="BL95" s="87">
        <f t="shared" si="52"/>
        <v>0</v>
      </c>
      <c r="BM95" s="87">
        <f t="shared" si="53"/>
        <v>0</v>
      </c>
      <c r="BN95" s="87">
        <f t="shared" si="54"/>
        <v>0</v>
      </c>
      <c r="BO95" s="87">
        <f t="shared" si="55"/>
        <v>0</v>
      </c>
      <c r="BP95" s="87">
        <f t="shared" si="56"/>
        <v>0</v>
      </c>
      <c r="BQ95" s="87">
        <f t="shared" si="57"/>
        <v>0</v>
      </c>
      <c r="BR95" s="87">
        <f t="shared" si="58"/>
        <v>0</v>
      </c>
      <c r="BS95" s="87">
        <f t="shared" si="59"/>
        <v>0</v>
      </c>
      <c r="BT95" s="96">
        <f t="shared" si="60"/>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61"/>
        <v>0</v>
      </c>
      <c r="BF96" s="87">
        <f t="shared" si="46"/>
        <v>0</v>
      </c>
      <c r="BG96" s="87">
        <f t="shared" si="47"/>
        <v>0</v>
      </c>
      <c r="BH96" s="87">
        <f t="shared" si="48"/>
        <v>0</v>
      </c>
      <c r="BI96" s="87">
        <f t="shared" si="49"/>
        <v>0</v>
      </c>
      <c r="BJ96" s="87">
        <f t="shared" si="50"/>
        <v>0</v>
      </c>
      <c r="BK96" s="87">
        <f t="shared" si="51"/>
        <v>0</v>
      </c>
      <c r="BL96" s="87">
        <f t="shared" si="52"/>
        <v>0</v>
      </c>
      <c r="BM96" s="87">
        <f t="shared" si="53"/>
        <v>0</v>
      </c>
      <c r="BN96" s="87">
        <f t="shared" si="54"/>
        <v>0</v>
      </c>
      <c r="BO96" s="87">
        <f t="shared" si="55"/>
        <v>0</v>
      </c>
      <c r="BP96" s="87">
        <f t="shared" si="56"/>
        <v>0</v>
      </c>
      <c r="BQ96" s="87">
        <f t="shared" si="57"/>
        <v>0</v>
      </c>
      <c r="BR96" s="87">
        <f t="shared" si="58"/>
        <v>0</v>
      </c>
      <c r="BS96" s="87">
        <f t="shared" si="59"/>
        <v>0</v>
      </c>
      <c r="BT96" s="96">
        <f t="shared" si="60"/>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61"/>
        <v>0</v>
      </c>
      <c r="BF97" s="87">
        <f t="shared" si="46"/>
        <v>0</v>
      </c>
      <c r="BG97" s="87">
        <f t="shared" si="47"/>
        <v>0</v>
      </c>
      <c r="BH97" s="87">
        <f t="shared" si="48"/>
        <v>0</v>
      </c>
      <c r="BI97" s="87">
        <f t="shared" si="49"/>
        <v>0</v>
      </c>
      <c r="BJ97" s="87">
        <f t="shared" si="50"/>
        <v>0</v>
      </c>
      <c r="BK97" s="87">
        <f t="shared" si="51"/>
        <v>0</v>
      </c>
      <c r="BL97" s="87">
        <f t="shared" si="52"/>
        <v>0</v>
      </c>
      <c r="BM97" s="87">
        <f t="shared" si="53"/>
        <v>0</v>
      </c>
      <c r="BN97" s="87">
        <f t="shared" si="54"/>
        <v>0</v>
      </c>
      <c r="BO97" s="87">
        <f t="shared" si="55"/>
        <v>0</v>
      </c>
      <c r="BP97" s="87">
        <f t="shared" si="56"/>
        <v>0</v>
      </c>
      <c r="BQ97" s="87">
        <f t="shared" si="57"/>
        <v>0</v>
      </c>
      <c r="BR97" s="87">
        <f t="shared" si="58"/>
        <v>0</v>
      </c>
      <c r="BS97" s="87">
        <f t="shared" si="59"/>
        <v>0</v>
      </c>
      <c r="BT97" s="96">
        <f t="shared" si="60"/>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61"/>
        <v>0</v>
      </c>
      <c r="BF98" s="87">
        <f t="shared" si="46"/>
        <v>0</v>
      </c>
      <c r="BG98" s="87">
        <f t="shared" si="47"/>
        <v>0</v>
      </c>
      <c r="BH98" s="87">
        <f t="shared" si="48"/>
        <v>0</v>
      </c>
      <c r="BI98" s="87">
        <f t="shared" si="49"/>
        <v>0</v>
      </c>
      <c r="BJ98" s="87">
        <f t="shared" si="50"/>
        <v>0</v>
      </c>
      <c r="BK98" s="87">
        <f t="shared" si="51"/>
        <v>0</v>
      </c>
      <c r="BL98" s="87">
        <f t="shared" si="52"/>
        <v>0</v>
      </c>
      <c r="BM98" s="87">
        <f t="shared" si="53"/>
        <v>0</v>
      </c>
      <c r="BN98" s="87">
        <f t="shared" si="54"/>
        <v>0</v>
      </c>
      <c r="BO98" s="87">
        <f t="shared" si="55"/>
        <v>0</v>
      </c>
      <c r="BP98" s="87">
        <f t="shared" si="56"/>
        <v>0</v>
      </c>
      <c r="BQ98" s="87">
        <f t="shared" si="57"/>
        <v>0</v>
      </c>
      <c r="BR98" s="87">
        <f t="shared" si="58"/>
        <v>0</v>
      </c>
      <c r="BS98" s="87">
        <f t="shared" si="59"/>
        <v>0</v>
      </c>
      <c r="BT98" s="96">
        <f t="shared" si="60"/>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61"/>
        <v>0</v>
      </c>
      <c r="BF99" s="87">
        <f t="shared" si="46"/>
        <v>0</v>
      </c>
      <c r="BG99" s="87">
        <f t="shared" si="47"/>
        <v>0</v>
      </c>
      <c r="BH99" s="87">
        <f t="shared" si="48"/>
        <v>0</v>
      </c>
      <c r="BI99" s="87">
        <f t="shared" si="49"/>
        <v>0</v>
      </c>
      <c r="BJ99" s="87">
        <f t="shared" si="50"/>
        <v>0</v>
      </c>
      <c r="BK99" s="87">
        <f t="shared" si="51"/>
        <v>0</v>
      </c>
      <c r="BL99" s="87">
        <f t="shared" si="52"/>
        <v>0</v>
      </c>
      <c r="BM99" s="87">
        <f t="shared" si="53"/>
        <v>0</v>
      </c>
      <c r="BN99" s="87">
        <f t="shared" si="54"/>
        <v>0</v>
      </c>
      <c r="BO99" s="87">
        <f t="shared" si="55"/>
        <v>0</v>
      </c>
      <c r="BP99" s="87">
        <f t="shared" si="56"/>
        <v>0</v>
      </c>
      <c r="BQ99" s="87">
        <f t="shared" si="57"/>
        <v>0</v>
      </c>
      <c r="BR99" s="87">
        <f t="shared" si="58"/>
        <v>0</v>
      </c>
      <c r="BS99" s="87">
        <f t="shared" si="59"/>
        <v>0</v>
      </c>
      <c r="BT99" s="96">
        <f t="shared" si="60"/>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61"/>
        <v>0</v>
      </c>
      <c r="BF100" s="87">
        <f t="shared" si="46"/>
        <v>0</v>
      </c>
      <c r="BG100" s="87">
        <f t="shared" si="47"/>
        <v>0</v>
      </c>
      <c r="BH100" s="87">
        <f t="shared" si="48"/>
        <v>0</v>
      </c>
      <c r="BI100" s="87">
        <f t="shared" si="49"/>
        <v>0</v>
      </c>
      <c r="BJ100" s="87">
        <f t="shared" si="50"/>
        <v>0</v>
      </c>
      <c r="BK100" s="87">
        <f t="shared" si="51"/>
        <v>0</v>
      </c>
      <c r="BL100" s="87">
        <f t="shared" si="52"/>
        <v>0</v>
      </c>
      <c r="BM100" s="87">
        <f t="shared" si="53"/>
        <v>0</v>
      </c>
      <c r="BN100" s="87">
        <f t="shared" si="54"/>
        <v>0</v>
      </c>
      <c r="BO100" s="87">
        <f t="shared" si="55"/>
        <v>0</v>
      </c>
      <c r="BP100" s="87">
        <f t="shared" si="56"/>
        <v>0</v>
      </c>
      <c r="BQ100" s="87">
        <f t="shared" si="57"/>
        <v>0</v>
      </c>
      <c r="BR100" s="87">
        <f t="shared" si="58"/>
        <v>0</v>
      </c>
      <c r="BS100" s="87">
        <f t="shared" si="59"/>
        <v>0</v>
      </c>
      <c r="BT100" s="96">
        <f t="shared" si="60"/>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61"/>
        <v>0</v>
      </c>
      <c r="BF101" s="87">
        <f t="shared" si="46"/>
        <v>0</v>
      </c>
      <c r="BG101" s="87">
        <f t="shared" si="47"/>
        <v>0</v>
      </c>
      <c r="BH101" s="87">
        <f t="shared" si="48"/>
        <v>0</v>
      </c>
      <c r="BI101" s="87">
        <f t="shared" si="49"/>
        <v>0</v>
      </c>
      <c r="BJ101" s="87">
        <f t="shared" si="50"/>
        <v>0</v>
      </c>
      <c r="BK101" s="87">
        <f t="shared" si="51"/>
        <v>0</v>
      </c>
      <c r="BL101" s="87">
        <f t="shared" si="52"/>
        <v>0</v>
      </c>
      <c r="BM101" s="87">
        <f t="shared" si="53"/>
        <v>0</v>
      </c>
      <c r="BN101" s="87">
        <f t="shared" si="54"/>
        <v>0</v>
      </c>
      <c r="BO101" s="87">
        <f t="shared" si="55"/>
        <v>0</v>
      </c>
      <c r="BP101" s="87">
        <f t="shared" si="56"/>
        <v>0</v>
      </c>
      <c r="BQ101" s="87">
        <f t="shared" si="57"/>
        <v>0</v>
      </c>
      <c r="BR101" s="87">
        <f t="shared" si="58"/>
        <v>0</v>
      </c>
      <c r="BS101" s="87">
        <f t="shared" si="59"/>
        <v>0</v>
      </c>
      <c r="BT101" s="96">
        <f t="shared" si="60"/>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61"/>
        <v>0</v>
      </c>
      <c r="BF102" s="87">
        <f t="shared" si="46"/>
        <v>0</v>
      </c>
      <c r="BG102" s="87">
        <f t="shared" si="47"/>
        <v>0</v>
      </c>
      <c r="BH102" s="87">
        <f t="shared" si="48"/>
        <v>0</v>
      </c>
      <c r="BI102" s="87">
        <f t="shared" si="49"/>
        <v>0</v>
      </c>
      <c r="BJ102" s="87">
        <f t="shared" si="50"/>
        <v>0</v>
      </c>
      <c r="BK102" s="87">
        <f t="shared" si="51"/>
        <v>0</v>
      </c>
      <c r="BL102" s="87">
        <f t="shared" si="52"/>
        <v>0</v>
      </c>
      <c r="BM102" s="87">
        <f t="shared" si="53"/>
        <v>0</v>
      </c>
      <c r="BN102" s="87">
        <f t="shared" si="54"/>
        <v>0</v>
      </c>
      <c r="BO102" s="87">
        <f t="shared" si="55"/>
        <v>0</v>
      </c>
      <c r="BP102" s="87">
        <f t="shared" si="56"/>
        <v>0</v>
      </c>
      <c r="BQ102" s="87">
        <f t="shared" si="57"/>
        <v>0</v>
      </c>
      <c r="BR102" s="87">
        <f t="shared" si="58"/>
        <v>0</v>
      </c>
      <c r="BS102" s="87">
        <f t="shared" si="59"/>
        <v>0</v>
      </c>
      <c r="BT102" s="96">
        <f t="shared" si="60"/>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61"/>
        <v>0</v>
      </c>
      <c r="BF103" s="87">
        <f t="shared" si="46"/>
        <v>0</v>
      </c>
      <c r="BG103" s="87">
        <f t="shared" si="47"/>
        <v>0</v>
      </c>
      <c r="BH103" s="87">
        <f t="shared" si="48"/>
        <v>0</v>
      </c>
      <c r="BI103" s="87">
        <f t="shared" si="49"/>
        <v>0</v>
      </c>
      <c r="BJ103" s="87">
        <f t="shared" si="50"/>
        <v>0</v>
      </c>
      <c r="BK103" s="87">
        <f t="shared" si="51"/>
        <v>0</v>
      </c>
      <c r="BL103" s="87">
        <f t="shared" si="52"/>
        <v>0</v>
      </c>
      <c r="BM103" s="87">
        <f t="shared" si="53"/>
        <v>0</v>
      </c>
      <c r="BN103" s="87">
        <f t="shared" si="54"/>
        <v>0</v>
      </c>
      <c r="BO103" s="87">
        <f t="shared" si="55"/>
        <v>0</v>
      </c>
      <c r="BP103" s="87">
        <f t="shared" si="56"/>
        <v>0</v>
      </c>
      <c r="BQ103" s="87">
        <f t="shared" si="57"/>
        <v>0</v>
      </c>
      <c r="BR103" s="87">
        <f t="shared" si="58"/>
        <v>0</v>
      </c>
      <c r="BS103" s="87">
        <f t="shared" si="59"/>
        <v>0</v>
      </c>
      <c r="BT103" s="96">
        <f t="shared" si="60"/>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61"/>
        <v>0</v>
      </c>
      <c r="BF104" s="87">
        <f t="shared" si="46"/>
        <v>0</v>
      </c>
      <c r="BG104" s="87">
        <f t="shared" si="47"/>
        <v>0</v>
      </c>
      <c r="BH104" s="87">
        <f t="shared" si="48"/>
        <v>0</v>
      </c>
      <c r="BI104" s="87">
        <f t="shared" si="49"/>
        <v>0</v>
      </c>
      <c r="BJ104" s="87">
        <f t="shared" si="50"/>
        <v>0</v>
      </c>
      <c r="BK104" s="87">
        <f t="shared" si="51"/>
        <v>0</v>
      </c>
      <c r="BL104" s="87">
        <f t="shared" si="52"/>
        <v>0</v>
      </c>
      <c r="BM104" s="87">
        <f t="shared" si="53"/>
        <v>0</v>
      </c>
      <c r="BN104" s="87">
        <f t="shared" si="54"/>
        <v>0</v>
      </c>
      <c r="BO104" s="87">
        <f t="shared" si="55"/>
        <v>0</v>
      </c>
      <c r="BP104" s="87">
        <f t="shared" si="56"/>
        <v>0</v>
      </c>
      <c r="BQ104" s="87">
        <f t="shared" si="57"/>
        <v>0</v>
      </c>
      <c r="BR104" s="87">
        <f t="shared" si="58"/>
        <v>0</v>
      </c>
      <c r="BS104" s="87">
        <f t="shared" si="59"/>
        <v>0</v>
      </c>
      <c r="BT104" s="96">
        <f t="shared" si="60"/>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61"/>
        <v>0</v>
      </c>
      <c r="BF105" s="87">
        <f t="shared" si="46"/>
        <v>0</v>
      </c>
      <c r="BG105" s="87">
        <f t="shared" si="47"/>
        <v>0</v>
      </c>
      <c r="BH105" s="87">
        <f t="shared" si="48"/>
        <v>0</v>
      </c>
      <c r="BI105" s="87">
        <f t="shared" si="49"/>
        <v>0</v>
      </c>
      <c r="BJ105" s="87">
        <f t="shared" si="50"/>
        <v>0</v>
      </c>
      <c r="BK105" s="87">
        <f t="shared" si="51"/>
        <v>0</v>
      </c>
      <c r="BL105" s="87">
        <f t="shared" si="52"/>
        <v>0</v>
      </c>
      <c r="BM105" s="87">
        <f t="shared" si="53"/>
        <v>0</v>
      </c>
      <c r="BN105" s="87">
        <f t="shared" si="54"/>
        <v>0</v>
      </c>
      <c r="BO105" s="87">
        <f t="shared" si="55"/>
        <v>0</v>
      </c>
      <c r="BP105" s="87">
        <f t="shared" si="56"/>
        <v>0</v>
      </c>
      <c r="BQ105" s="87">
        <f t="shared" si="57"/>
        <v>0</v>
      </c>
      <c r="BR105" s="87">
        <f t="shared" si="58"/>
        <v>0</v>
      </c>
      <c r="BS105" s="87">
        <f t="shared" si="59"/>
        <v>0</v>
      </c>
      <c r="BT105" s="96">
        <f t="shared" si="60"/>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61"/>
        <v>0</v>
      </c>
      <c r="BF106" s="87">
        <f t="shared" si="46"/>
        <v>0</v>
      </c>
      <c r="BG106" s="87">
        <f t="shared" si="47"/>
        <v>0</v>
      </c>
      <c r="BH106" s="87">
        <f t="shared" si="48"/>
        <v>0</v>
      </c>
      <c r="BI106" s="87">
        <f t="shared" si="49"/>
        <v>0</v>
      </c>
      <c r="BJ106" s="87">
        <f t="shared" si="50"/>
        <v>0</v>
      </c>
      <c r="BK106" s="87">
        <f t="shared" si="51"/>
        <v>0</v>
      </c>
      <c r="BL106" s="87">
        <f t="shared" si="52"/>
        <v>0</v>
      </c>
      <c r="BM106" s="87">
        <f t="shared" si="53"/>
        <v>0</v>
      </c>
      <c r="BN106" s="87">
        <f t="shared" si="54"/>
        <v>0</v>
      </c>
      <c r="BO106" s="87">
        <f t="shared" si="55"/>
        <v>0</v>
      </c>
      <c r="BP106" s="87">
        <f t="shared" si="56"/>
        <v>0</v>
      </c>
      <c r="BQ106" s="87">
        <f t="shared" si="57"/>
        <v>0</v>
      </c>
      <c r="BR106" s="87">
        <f t="shared" si="58"/>
        <v>0</v>
      </c>
      <c r="BS106" s="87">
        <f t="shared" si="59"/>
        <v>0</v>
      </c>
      <c r="BT106" s="96">
        <f t="shared" si="60"/>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61"/>
        <v>0</v>
      </c>
      <c r="BF107" s="87">
        <f t="shared" si="46"/>
        <v>0</v>
      </c>
      <c r="BG107" s="87">
        <f t="shared" si="47"/>
        <v>0</v>
      </c>
      <c r="BH107" s="87">
        <f t="shared" si="48"/>
        <v>0</v>
      </c>
      <c r="BI107" s="87">
        <f t="shared" si="49"/>
        <v>0</v>
      </c>
      <c r="BJ107" s="87">
        <f t="shared" si="50"/>
        <v>0</v>
      </c>
      <c r="BK107" s="87">
        <f t="shared" si="51"/>
        <v>0</v>
      </c>
      <c r="BL107" s="87">
        <f t="shared" si="52"/>
        <v>0</v>
      </c>
      <c r="BM107" s="87">
        <f t="shared" si="53"/>
        <v>0</v>
      </c>
      <c r="BN107" s="87">
        <f t="shared" si="54"/>
        <v>0</v>
      </c>
      <c r="BO107" s="87">
        <f t="shared" si="55"/>
        <v>0</v>
      </c>
      <c r="BP107" s="87">
        <f t="shared" si="56"/>
        <v>0</v>
      </c>
      <c r="BQ107" s="87">
        <f t="shared" si="57"/>
        <v>0</v>
      </c>
      <c r="BR107" s="87">
        <f t="shared" si="58"/>
        <v>0</v>
      </c>
      <c r="BS107" s="87">
        <f t="shared" si="59"/>
        <v>0</v>
      </c>
      <c r="BT107" s="96">
        <f t="shared" si="60"/>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61"/>
        <v>0</v>
      </c>
      <c r="BF108" s="87">
        <f t="shared" si="46"/>
        <v>0</v>
      </c>
      <c r="BG108" s="87">
        <f t="shared" si="47"/>
        <v>0</v>
      </c>
      <c r="BH108" s="87">
        <f t="shared" si="48"/>
        <v>0</v>
      </c>
      <c r="BI108" s="87">
        <f t="shared" si="49"/>
        <v>0</v>
      </c>
      <c r="BJ108" s="87">
        <f t="shared" si="50"/>
        <v>0</v>
      </c>
      <c r="BK108" s="87">
        <f t="shared" si="51"/>
        <v>0</v>
      </c>
      <c r="BL108" s="87">
        <f t="shared" si="52"/>
        <v>0</v>
      </c>
      <c r="BM108" s="87">
        <f t="shared" si="53"/>
        <v>0</v>
      </c>
      <c r="BN108" s="87">
        <f t="shared" si="54"/>
        <v>0</v>
      </c>
      <c r="BO108" s="87">
        <f t="shared" si="55"/>
        <v>0</v>
      </c>
      <c r="BP108" s="87">
        <f t="shared" si="56"/>
        <v>0</v>
      </c>
      <c r="BQ108" s="87">
        <f t="shared" si="57"/>
        <v>0</v>
      </c>
      <c r="BR108" s="87">
        <f t="shared" si="58"/>
        <v>0</v>
      </c>
      <c r="BS108" s="87">
        <f t="shared" si="59"/>
        <v>0</v>
      </c>
      <c r="BT108" s="96">
        <f t="shared" si="60"/>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61"/>
        <v>0</v>
      </c>
      <c r="BF109" s="87">
        <f t="shared" si="46"/>
        <v>0</v>
      </c>
      <c r="BG109" s="87">
        <f t="shared" si="47"/>
        <v>0</v>
      </c>
      <c r="BH109" s="87">
        <f t="shared" si="48"/>
        <v>0</v>
      </c>
      <c r="BI109" s="87">
        <f t="shared" si="49"/>
        <v>0</v>
      </c>
      <c r="BJ109" s="87">
        <f t="shared" si="50"/>
        <v>0</v>
      </c>
      <c r="BK109" s="87">
        <f t="shared" si="51"/>
        <v>0</v>
      </c>
      <c r="BL109" s="87">
        <f t="shared" si="52"/>
        <v>0</v>
      </c>
      <c r="BM109" s="87">
        <f t="shared" si="53"/>
        <v>0</v>
      </c>
      <c r="BN109" s="87">
        <f t="shared" si="54"/>
        <v>0</v>
      </c>
      <c r="BO109" s="87">
        <f t="shared" si="55"/>
        <v>0</v>
      </c>
      <c r="BP109" s="87">
        <f t="shared" si="56"/>
        <v>0</v>
      </c>
      <c r="BQ109" s="87">
        <f t="shared" si="57"/>
        <v>0</v>
      </c>
      <c r="BR109" s="87">
        <f t="shared" si="58"/>
        <v>0</v>
      </c>
      <c r="BS109" s="87">
        <f t="shared" si="59"/>
        <v>0</v>
      </c>
      <c r="BT109" s="96">
        <f t="shared" si="60"/>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8" sqref="F28"/>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74" t="s">
        <v>203</v>
      </c>
      <c r="B2" s="3274"/>
      <c r="C2" s="3274"/>
      <c r="D2" s="1972" t="s">
        <v>204</v>
      </c>
      <c r="E2" s="106" t="s">
        <v>205</v>
      </c>
      <c r="F2" s="1981"/>
      <c r="G2" s="1196"/>
      <c r="H2" s="1197"/>
      <c r="I2" s="1198" t="s">
        <v>857</v>
      </c>
      <c r="J2" s="1981"/>
      <c r="K2" s="1981"/>
      <c r="L2" s="1981"/>
    </row>
    <row r="3" spans="1:16" ht="15.75" thickBot="1">
      <c r="A3" s="3275" t="s">
        <v>206</v>
      </c>
      <c r="B3" s="3275"/>
      <c r="C3" s="3275"/>
      <c r="D3" s="107">
        <f>'数据-基础表'!AY6</f>
        <v>81664.259999999995</v>
      </c>
      <c r="E3" s="107">
        <f>'数据-基础表'!AZ5</f>
        <v>165129.68</v>
      </c>
      <c r="F3" s="1981"/>
      <c r="G3" s="278" t="s">
        <v>858</v>
      </c>
      <c r="H3" s="273" t="s">
        <v>859</v>
      </c>
      <c r="I3" s="1973">
        <f>ROUND('数据-基础表'!B3/'数据-基础表'!A3,2)</f>
        <v>2.02</v>
      </c>
      <c r="J3" s="1981"/>
      <c r="K3" s="1981"/>
      <c r="L3" s="1981"/>
    </row>
    <row r="4" spans="1:16" ht="15">
      <c r="A4" s="3276"/>
      <c r="B4" s="3277"/>
      <c r="C4" s="3278"/>
      <c r="D4" s="108" t="s">
        <v>204</v>
      </c>
      <c r="E4" s="109" t="s">
        <v>205</v>
      </c>
      <c r="F4" s="1981"/>
      <c r="G4" s="1199"/>
      <c r="H4" s="273" t="s">
        <v>860</v>
      </c>
      <c r="I4" s="1973">
        <f>ROUND(SUMIF('数据-基础表'!I9:AS9,"地上",'数据-基础表'!I5:AS5)/'数据-基础表'!A3,2)</f>
        <v>1.2</v>
      </c>
      <c r="J4" s="1981"/>
      <c r="K4" s="1981"/>
      <c r="L4" s="1981"/>
    </row>
    <row r="5" spans="1:16">
      <c r="A5" s="110" t="s">
        <v>207</v>
      </c>
      <c r="B5" s="3279" t="s">
        <v>230</v>
      </c>
      <c r="C5" s="3279"/>
      <c r="D5" s="111">
        <f>ROUND($D$3*E5/$E$3,2)</f>
        <v>44779.68</v>
      </c>
      <c r="E5" s="112">
        <f>SUMIF('数据-基础表'!$11:$11,"住宅",'数据-基础表'!$5:$5)</f>
        <v>90547</v>
      </c>
      <c r="F5" s="1981"/>
      <c r="G5" s="278" t="s">
        <v>861</v>
      </c>
      <c r="H5" s="273" t="s">
        <v>859</v>
      </c>
      <c r="I5" s="1973">
        <f>ROUND(E31/D31,2)</f>
        <v>2.02</v>
      </c>
      <c r="J5" s="1981"/>
      <c r="K5" s="1981"/>
      <c r="L5" s="1981"/>
    </row>
    <row r="6" spans="1:16" ht="15" thickBot="1">
      <c r="A6" s="113"/>
      <c r="B6" s="3279" t="s">
        <v>208</v>
      </c>
      <c r="C6" s="3279"/>
      <c r="D6" s="111">
        <f>ROUND($D$3*E6/$E$3,2)</f>
        <v>36884.58</v>
      </c>
      <c r="E6" s="112">
        <f>E3-E5</f>
        <v>74582.679999999993</v>
      </c>
      <c r="F6" s="1981"/>
      <c r="G6" s="1199"/>
      <c r="H6" s="273" t="s">
        <v>860</v>
      </c>
      <c r="I6" s="1973">
        <f>ROUND(F31/D31,2)</f>
        <v>1.2</v>
      </c>
      <c r="J6" s="1981"/>
      <c r="K6" s="1981"/>
      <c r="L6" s="1981"/>
    </row>
    <row r="7" spans="1:16" ht="15">
      <c r="A7" s="3271"/>
      <c r="B7" s="3272"/>
      <c r="C7" s="3273"/>
      <c r="D7" s="108" t="s">
        <v>204</v>
      </c>
      <c r="E7" s="114" t="s">
        <v>231</v>
      </c>
      <c r="F7" s="1981"/>
      <c r="G7" s="1154" t="s">
        <v>1646</v>
      </c>
      <c r="H7" s="1155"/>
      <c r="I7" s="1843">
        <v>1.2</v>
      </c>
      <c r="J7" s="1981"/>
      <c r="K7" s="1981"/>
      <c r="L7" s="1981"/>
    </row>
    <row r="8" spans="1:16">
      <c r="A8" s="110" t="s">
        <v>209</v>
      </c>
      <c r="B8" s="115" t="s">
        <v>210</v>
      </c>
      <c r="C8" s="111" t="s">
        <v>211</v>
      </c>
      <c r="D8" s="111">
        <f t="shared" ref="D8:D15" si="0">ROUND($D$3*E8/$E$3,2)</f>
        <v>48464.05</v>
      </c>
      <c r="E8" s="116">
        <f>SUMIF('数据-基础表'!BB10:BK10,"地上",'数据-基础表'!BB5:BK5)</f>
        <v>97997</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989.09</v>
      </c>
      <c r="E10" s="116">
        <f>SUMPRODUCT(('数据-基础表'!BB10:BK10="地下")*('数据-基础表'!BB11:BK11="商业")*('数据-基础表'!BB5:BK5))</f>
        <v>2000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5138.55</v>
      </c>
      <c r="E12" s="116">
        <f>SUMPRODUCT(('数据-基础表'!BB10:BK10="地下")*('数据-基础表'!BB11:BK11="仓储")*('数据-基础表'!BB5:BK5))</f>
        <v>10390.44</v>
      </c>
      <c r="F12" s="1981"/>
      <c r="G12" s="1983"/>
      <c r="H12" s="1983"/>
      <c r="I12" s="1981"/>
      <c r="J12" s="1981"/>
      <c r="K12" s="1981"/>
      <c r="L12" s="1981"/>
    </row>
    <row r="13" spans="1:16">
      <c r="A13" s="117"/>
      <c r="B13" s="118"/>
      <c r="C13" s="2328" t="s">
        <v>2335</v>
      </c>
      <c r="D13" s="111">
        <f t="shared" si="0"/>
        <v>19663.16</v>
      </c>
      <c r="E13" s="116">
        <f>SUMPRODUCT(('数据-基础表'!BB10:BK10="地下")*('数据-基础表'!BB11:BK11="车库")*('数据-基础表'!BB5:BK5))</f>
        <v>39760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74254.850000000006</v>
      </c>
      <c r="E16" s="120">
        <f>SUM(E8:E15)</f>
        <v>150147.44</v>
      </c>
      <c r="F16" s="1981"/>
      <c r="G16" s="1983"/>
      <c r="H16" s="966" t="s">
        <v>219</v>
      </c>
      <c r="I16" s="967"/>
      <c r="J16" s="1981"/>
      <c r="K16" s="3265" t="s">
        <v>2567</v>
      </c>
      <c r="L16" s="3266"/>
      <c r="M16" s="3266"/>
      <c r="N16" s="3266"/>
      <c r="O16" s="3266"/>
      <c r="P16" s="3267"/>
    </row>
    <row r="17" spans="1:19" ht="15">
      <c r="A17" s="121" t="s">
        <v>216</v>
      </c>
      <c r="B17" s="122" t="s">
        <v>217</v>
      </c>
      <c r="C17" s="2295" t="s">
        <v>2314</v>
      </c>
      <c r="D17" s="108" t="s">
        <v>204</v>
      </c>
      <c r="E17" s="124" t="s">
        <v>205</v>
      </c>
      <c r="F17" s="125"/>
      <c r="G17" s="1364"/>
      <c r="H17" s="968" t="s">
        <v>218</v>
      </c>
      <c r="I17" s="969" t="s">
        <v>2313</v>
      </c>
      <c r="J17" s="1981"/>
      <c r="K17" s="3268" t="s">
        <v>2568</v>
      </c>
      <c r="L17" s="3269"/>
      <c r="M17" s="3270"/>
      <c r="N17" s="3268" t="s">
        <v>2569</v>
      </c>
      <c r="O17" s="3269"/>
      <c r="P17" s="3270"/>
      <c r="R17" s="2296" t="s">
        <v>2312</v>
      </c>
      <c r="S17" s="144"/>
    </row>
    <row r="18" spans="1:19" ht="15">
      <c r="A18" s="117"/>
      <c r="B18" s="128"/>
      <c r="C18" s="129"/>
      <c r="D18" s="2639"/>
      <c r="E18" s="130" t="s">
        <v>220</v>
      </c>
      <c r="F18" s="131" t="s">
        <v>221</v>
      </c>
      <c r="G18" s="1365" t="s">
        <v>222</v>
      </c>
      <c r="H18" s="970" t="s">
        <v>223</v>
      </c>
      <c r="I18" s="971" t="s">
        <v>224</v>
      </c>
      <c r="J18" s="1981"/>
      <c r="K18" s="2602" t="s">
        <v>2570</v>
      </c>
      <c r="L18" s="2603" t="s">
        <v>2571</v>
      </c>
      <c r="M18" s="2604" t="s">
        <v>2572</v>
      </c>
      <c r="N18" s="2602" t="s">
        <v>2570</v>
      </c>
      <c r="O18" s="2603" t="s">
        <v>2571</v>
      </c>
      <c r="P18" s="2604" t="s">
        <v>2572</v>
      </c>
      <c r="R18" s="2297" t="s">
        <v>2310</v>
      </c>
      <c r="S18" s="2297" t="s">
        <v>2311</v>
      </c>
    </row>
    <row r="19" spans="1:19">
      <c r="A19" s="133"/>
      <c r="B19" s="115" t="s">
        <v>225</v>
      </c>
      <c r="C19" s="3020" t="str">
        <f>'数据-基础表'!C13</f>
        <v>住宅</v>
      </c>
      <c r="D19" s="111">
        <f t="shared" ref="D19:D26" si="1">ROUND($D$3*E19/$E$3,2)</f>
        <v>44779.68</v>
      </c>
      <c r="E19" s="134">
        <f t="shared" ref="E19:E26" si="2">SUM(F19:G19)</f>
        <v>90547</v>
      </c>
      <c r="F19" s="135">
        <f>'数据-基础表'!I13</f>
        <v>90547</v>
      </c>
      <c r="G19" s="1366"/>
      <c r="H19" s="972">
        <f>ROUND($D$3*I19/$E$3,2)</f>
        <v>4468.2700000000004</v>
      </c>
      <c r="I19" s="116">
        <f>IF($I$17="自定义",P19,M19)</f>
        <v>9035.1</v>
      </c>
      <c r="J19" s="1981"/>
      <c r="K19" s="2605">
        <f t="shared" ref="K19:K26" si="3">ROUND(E$28*E19/E$27,2)</f>
        <v>9035.1</v>
      </c>
      <c r="L19" s="273">
        <f t="shared" ref="L19:L26" si="4">ROUND(IF(COUNTIF(C19,"*住宅*")&gt;0,E$29*E19/E$32,0),2)</f>
        <v>0</v>
      </c>
      <c r="M19" s="2606">
        <f>K19+L19</f>
        <v>9035.1</v>
      </c>
      <c r="N19" s="2607"/>
      <c r="O19" s="2608"/>
      <c r="P19" s="2609">
        <f>N19+O19</f>
        <v>0</v>
      </c>
      <c r="R19" s="273">
        <f t="shared" ref="R19:S26" si="5">D19+H19</f>
        <v>49247.95</v>
      </c>
      <c r="S19" s="2298">
        <f t="shared" si="5"/>
        <v>99582.1</v>
      </c>
    </row>
    <row r="20" spans="1:19">
      <c r="A20" s="138"/>
      <c r="B20" s="115" t="s">
        <v>226</v>
      </c>
      <c r="C20" s="3020" t="str">
        <f>'数据-基础表'!C14</f>
        <v>商业</v>
      </c>
      <c r="D20" s="111">
        <f t="shared" si="1"/>
        <v>3684.37</v>
      </c>
      <c r="E20" s="134">
        <f t="shared" si="2"/>
        <v>7450</v>
      </c>
      <c r="F20" s="135">
        <f>'数据-基础表'!K14</f>
        <v>7450</v>
      </c>
      <c r="G20" s="1366"/>
      <c r="H20" s="972">
        <f t="shared" ref="H20:H26" si="6">ROUND($D$3*I20/$E$3,2)</f>
        <v>367.64</v>
      </c>
      <c r="I20" s="116">
        <f t="shared" ref="I20:I26" si="7">IF($I$17="自定义",P20,M20)</f>
        <v>743.39</v>
      </c>
      <c r="J20" s="1981"/>
      <c r="K20" s="2605">
        <f t="shared" si="3"/>
        <v>743.39</v>
      </c>
      <c r="L20" s="273">
        <f t="shared" si="4"/>
        <v>0</v>
      </c>
      <c r="M20" s="2606">
        <f t="shared" ref="M20:M26" si="8">K20+L20</f>
        <v>743.39</v>
      </c>
      <c r="N20" s="2607"/>
      <c r="O20" s="2608"/>
      <c r="P20" s="2609">
        <f t="shared" ref="P20:P26" si="9">N20+O20</f>
        <v>0</v>
      </c>
      <c r="R20" s="273">
        <f t="shared" si="5"/>
        <v>4052.0099999999998</v>
      </c>
      <c r="S20" s="2298">
        <f t="shared" si="5"/>
        <v>8193.39</v>
      </c>
    </row>
    <row r="21" spans="1:19">
      <c r="A21" s="138"/>
      <c r="B21" s="115" t="s">
        <v>226</v>
      </c>
      <c r="C21" s="3020" t="str">
        <f>'数据-基础表'!C15</f>
        <v>地下商业</v>
      </c>
      <c r="D21" s="111">
        <f t="shared" si="1"/>
        <v>989.09</v>
      </c>
      <c r="E21" s="134">
        <f t="shared" si="2"/>
        <v>2000</v>
      </c>
      <c r="F21" s="135"/>
      <c r="G21" s="1366">
        <f>'数据-基础表'!M15</f>
        <v>2000</v>
      </c>
      <c r="H21" s="972">
        <f t="shared" si="6"/>
        <v>98.7</v>
      </c>
      <c r="I21" s="116">
        <f t="shared" si="7"/>
        <v>199.57</v>
      </c>
      <c r="J21" s="1981"/>
      <c r="K21" s="2605">
        <f t="shared" si="3"/>
        <v>199.57</v>
      </c>
      <c r="L21" s="273">
        <f t="shared" si="4"/>
        <v>0</v>
      </c>
      <c r="M21" s="2606">
        <f t="shared" si="8"/>
        <v>199.57</v>
      </c>
      <c r="N21" s="2607"/>
      <c r="O21" s="2608"/>
      <c r="P21" s="2609">
        <f t="shared" si="9"/>
        <v>0</v>
      </c>
      <c r="R21" s="273">
        <f t="shared" si="5"/>
        <v>1087.79</v>
      </c>
      <c r="S21" s="2298">
        <f t="shared" si="5"/>
        <v>2199.5700000000002</v>
      </c>
    </row>
    <row r="22" spans="1:19">
      <c r="A22" s="138"/>
      <c r="B22" s="115" t="s">
        <v>226</v>
      </c>
      <c r="C22" s="1363" t="str">
        <f>'数据-基础表'!C16</f>
        <v>地下车库</v>
      </c>
      <c r="D22" s="111">
        <f t="shared" si="1"/>
        <v>19663.16</v>
      </c>
      <c r="E22" s="134">
        <f t="shared" si="2"/>
        <v>39760</v>
      </c>
      <c r="F22" s="140"/>
      <c r="G22" s="1367">
        <f>'数据-基础表'!O16</f>
        <v>39760</v>
      </c>
      <c r="H22" s="972">
        <f t="shared" si="6"/>
        <v>1962.06</v>
      </c>
      <c r="I22" s="116">
        <f t="shared" si="7"/>
        <v>3967.39</v>
      </c>
      <c r="J22" s="1981"/>
      <c r="K22" s="2605">
        <f t="shared" si="3"/>
        <v>3967.39</v>
      </c>
      <c r="L22" s="273">
        <f t="shared" si="4"/>
        <v>0</v>
      </c>
      <c r="M22" s="2606">
        <f t="shared" si="8"/>
        <v>3967.39</v>
      </c>
      <c r="N22" s="2607"/>
      <c r="O22" s="2608"/>
      <c r="P22" s="2609">
        <f t="shared" si="9"/>
        <v>0</v>
      </c>
      <c r="R22" s="273">
        <f t="shared" si="5"/>
        <v>21625.22</v>
      </c>
      <c r="S22" s="2298">
        <f t="shared" si="5"/>
        <v>43727.39</v>
      </c>
    </row>
    <row r="23" spans="1:19">
      <c r="A23" s="138"/>
      <c r="B23" s="115" t="s">
        <v>226</v>
      </c>
      <c r="C23" s="139" t="str">
        <f>'数据-基础表'!C17</f>
        <v>地下仓储</v>
      </c>
      <c r="D23" s="111">
        <f>ROUND($D$3*E23/$E$3,2)</f>
        <v>5138.55</v>
      </c>
      <c r="E23" s="134">
        <f>SUM(F23:G23)</f>
        <v>10390.44</v>
      </c>
      <c r="F23" s="140"/>
      <c r="G23" s="1367">
        <f>'数据-基础表'!Q17</f>
        <v>10390.44</v>
      </c>
      <c r="H23" s="972">
        <f>ROUND($D$3*I23/$E$3,2)</f>
        <v>512.74</v>
      </c>
      <c r="I23" s="116">
        <f t="shared" si="7"/>
        <v>1036.79</v>
      </c>
      <c r="J23" s="1981"/>
      <c r="K23" s="2605">
        <f t="shared" si="3"/>
        <v>1036.79</v>
      </c>
      <c r="L23" s="273">
        <f t="shared" si="4"/>
        <v>0</v>
      </c>
      <c r="M23" s="2606">
        <f t="shared" si="8"/>
        <v>1036.79</v>
      </c>
      <c r="N23" s="2607"/>
      <c r="O23" s="2608"/>
      <c r="P23" s="2609">
        <f t="shared" si="9"/>
        <v>0</v>
      </c>
      <c r="R23" s="273">
        <f t="shared" si="5"/>
        <v>5651.29</v>
      </c>
      <c r="S23" s="2298">
        <f t="shared" si="5"/>
        <v>11427.23</v>
      </c>
    </row>
    <row r="24" spans="1:19" hidden="1">
      <c r="A24" s="138"/>
      <c r="B24" s="115" t="s">
        <v>226</v>
      </c>
      <c r="C24" s="139"/>
      <c r="D24" s="111">
        <f>ROUND($D$3*E24/$E$3,2)</f>
        <v>0</v>
      </c>
      <c r="E24" s="134">
        <f>SUM(F24:G24)</f>
        <v>0</v>
      </c>
      <c r="F24" s="140"/>
      <c r="G24" s="1367"/>
      <c r="H24" s="972">
        <f>ROUND($D$3*I24/$E$3,2)</f>
        <v>0</v>
      </c>
      <c r="I24" s="116">
        <f t="shared" si="7"/>
        <v>0</v>
      </c>
      <c r="J24" s="1981"/>
      <c r="K24" s="2605">
        <f t="shared" si="3"/>
        <v>0</v>
      </c>
      <c r="L24" s="273">
        <f t="shared" si="4"/>
        <v>0</v>
      </c>
      <c r="M24" s="2606">
        <f t="shared" si="8"/>
        <v>0</v>
      </c>
      <c r="N24" s="2607"/>
      <c r="O24" s="2608"/>
      <c r="P24" s="2609">
        <f t="shared" si="9"/>
        <v>0</v>
      </c>
      <c r="R24" s="273">
        <f t="shared" si="5"/>
        <v>0</v>
      </c>
      <c r="S24" s="2298">
        <f t="shared" si="5"/>
        <v>0</v>
      </c>
    </row>
    <row r="25" spans="1:19" hidden="1">
      <c r="A25" s="138"/>
      <c r="B25" s="115" t="s">
        <v>226</v>
      </c>
      <c r="C25" s="139"/>
      <c r="D25" s="111">
        <f t="shared" si="1"/>
        <v>0</v>
      </c>
      <c r="E25" s="134">
        <f t="shared" si="2"/>
        <v>0</v>
      </c>
      <c r="F25" s="140"/>
      <c r="G25" s="1367"/>
      <c r="H25" s="110">
        <f t="shared" si="6"/>
        <v>0</v>
      </c>
      <c r="I25" s="116">
        <f t="shared" si="7"/>
        <v>0</v>
      </c>
      <c r="J25" s="1981"/>
      <c r="K25" s="2605">
        <f t="shared" si="3"/>
        <v>0</v>
      </c>
      <c r="L25" s="273">
        <f t="shared" si="4"/>
        <v>0</v>
      </c>
      <c r="M25" s="2606">
        <f t="shared" si="8"/>
        <v>0</v>
      </c>
      <c r="N25" s="2607"/>
      <c r="O25" s="2608"/>
      <c r="P25" s="2609">
        <f t="shared" si="9"/>
        <v>0</v>
      </c>
      <c r="R25" s="273">
        <f t="shared" si="5"/>
        <v>0</v>
      </c>
      <c r="S25" s="2298">
        <f t="shared" si="5"/>
        <v>0</v>
      </c>
    </row>
    <row r="26" spans="1:19" hidden="1">
      <c r="A26" s="138"/>
      <c r="B26" s="115" t="s">
        <v>226</v>
      </c>
      <c r="C26" s="142"/>
      <c r="D26" s="111">
        <f t="shared" si="1"/>
        <v>0</v>
      </c>
      <c r="E26" s="134">
        <f t="shared" si="2"/>
        <v>0</v>
      </c>
      <c r="F26" s="140"/>
      <c r="G26" s="1367"/>
      <c r="H26" s="110">
        <f t="shared" si="6"/>
        <v>0</v>
      </c>
      <c r="I26" s="116">
        <f t="shared" si="7"/>
        <v>0</v>
      </c>
      <c r="J26" s="1981"/>
      <c r="K26" s="2610">
        <f t="shared" si="3"/>
        <v>0</v>
      </c>
      <c r="L26" s="278">
        <f t="shared" si="4"/>
        <v>0</v>
      </c>
      <c r="M26" s="146">
        <f t="shared" si="8"/>
        <v>0</v>
      </c>
      <c r="N26" s="2611"/>
      <c r="O26" s="2612"/>
      <c r="P26" s="2613">
        <f t="shared" si="9"/>
        <v>0</v>
      </c>
      <c r="R26" s="273">
        <f t="shared" si="5"/>
        <v>0</v>
      </c>
      <c r="S26" s="2298">
        <f t="shared" si="5"/>
        <v>0</v>
      </c>
    </row>
    <row r="27" spans="1:19" ht="15.75" thickBot="1">
      <c r="A27" s="138"/>
      <c r="B27" s="111"/>
      <c r="C27" s="127" t="s">
        <v>215</v>
      </c>
      <c r="D27" s="134">
        <f>SUM(D19:D26)</f>
        <v>74254.850000000006</v>
      </c>
      <c r="E27" s="143">
        <f>IF(SUM(E19:E26)='数据-基础表'!BA5,SUM(E19:E26),IF(F27="地上面积有误","面积有误","地下面积有误"))</f>
        <v>150147.44</v>
      </c>
      <c r="F27" s="134">
        <f>IF(SUM(F19:F26)=E8,SUM(F19:F26),"地上面积有误")</f>
        <v>97997</v>
      </c>
      <c r="G27" s="112">
        <f>SUM(G19:G26)</f>
        <v>52150.44</v>
      </c>
      <c r="H27" s="973">
        <f>SUM(H19:H26)</f>
        <v>7409.41</v>
      </c>
      <c r="I27" s="974">
        <f>SUM(I19:I26)</f>
        <v>14982.239999999998</v>
      </c>
      <c r="J27" s="1981"/>
      <c r="K27" s="2614">
        <f>SUM(K19:K26)</f>
        <v>14982.239999999998</v>
      </c>
      <c r="L27" s="2615">
        <f>SUM(L19:L26)</f>
        <v>0</v>
      </c>
      <c r="M27" s="2616">
        <f>SUM(M19:M26)</f>
        <v>14982.239999999998</v>
      </c>
      <c r="N27" s="2614">
        <f t="shared" ref="N27:O27" si="10">SUM(N19:N26)</f>
        <v>0</v>
      </c>
      <c r="O27" s="2615">
        <f t="shared" si="10"/>
        <v>0</v>
      </c>
      <c r="P27" s="2617">
        <f>SUM(P19:P26)</f>
        <v>0</v>
      </c>
      <c r="R27" s="2302">
        <f>IF(SUM(R19:R26)=$D$3,SUM(R19:R26),SUM(R19:R26)&amp;"误差"&amp;ROUND(SUM(R19:R26)-$D$3,2))</f>
        <v>81664.259999999995</v>
      </c>
      <c r="S27" s="273">
        <f>IF(SUM(S19:S26)=$E$3,SUM(S19:S26),SUM(S19:S26)&amp;"误差"&amp;ROUND(SUM(S19:S26)-E3,2))</f>
        <v>165129.68000000002</v>
      </c>
    </row>
    <row r="28" spans="1:19">
      <c r="A28" s="138"/>
      <c r="B28" s="115" t="s">
        <v>227</v>
      </c>
      <c r="C28" s="136" t="s">
        <v>228</v>
      </c>
      <c r="D28" s="111">
        <f>ROUND($D$3*E28/$E$3,2)</f>
        <v>7409.41</v>
      </c>
      <c r="E28" s="134">
        <f>SUM(F28:G28)</f>
        <v>14982.239999999998</v>
      </c>
      <c r="F28" s="144">
        <f>'数据-基础表'!BQ5+'数据-基础表'!BS5</f>
        <v>0</v>
      </c>
      <c r="G28" s="145">
        <f>'数据-基础表'!BR5+'数据-基础表'!BT5</f>
        <v>14982.239999999998</v>
      </c>
      <c r="H28" s="1981"/>
      <c r="I28" s="1981"/>
      <c r="J28" s="1981"/>
      <c r="K28" s="1981"/>
      <c r="L28" s="1981"/>
    </row>
    <row r="29" spans="1:19">
      <c r="A29" s="138"/>
      <c r="B29" s="115" t="s">
        <v>227</v>
      </c>
      <c r="C29" s="2310" t="s">
        <v>2321</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7409.41</v>
      </c>
      <c r="E30" s="134">
        <f>SUM(E28:E29)</f>
        <v>14982.239999999998</v>
      </c>
      <c r="F30" s="134">
        <f>SUM(F28:F29)</f>
        <v>0</v>
      </c>
      <c r="G30" s="112">
        <f>SUM(G28:G29)</f>
        <v>14982.239999999998</v>
      </c>
      <c r="H30" s="1981"/>
      <c r="I30" s="1981"/>
      <c r="J30" s="1981"/>
      <c r="K30" s="1981"/>
      <c r="L30" s="1981"/>
    </row>
    <row r="31" spans="1:19" ht="32.25" customHeight="1" thickBot="1">
      <c r="A31" s="1368"/>
      <c r="B31" s="1369" t="s">
        <v>229</v>
      </c>
      <c r="C31" s="2327" t="s">
        <v>2323</v>
      </c>
      <c r="D31" s="1370">
        <f>D27+D30</f>
        <v>81664.260000000009</v>
      </c>
      <c r="E31" s="1370">
        <f>E27+E30</f>
        <v>165129.68</v>
      </c>
      <c r="F31" s="1371">
        <f>F27+F30</f>
        <v>97997</v>
      </c>
      <c r="G31" s="1372">
        <f>G27+G30</f>
        <v>67132.679999999993</v>
      </c>
      <c r="H31" s="1981"/>
      <c r="I31" s="1981"/>
      <c r="J31" s="1981"/>
      <c r="K31" s="1981"/>
      <c r="L31" s="1981"/>
    </row>
    <row r="32" spans="1:19">
      <c r="A32" s="1981"/>
      <c r="B32" s="2360" t="s">
        <v>2322</v>
      </c>
      <c r="C32" s="2644"/>
      <c r="D32" s="1199"/>
      <c r="E32" s="1199">
        <f>SUMIF(C19:C26,"*住宅*",E19:E26)</f>
        <v>90547</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AD25" sqref="AD2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43327</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618"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88"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68613</v>
      </c>
      <c r="F6" s="174">
        <f>SUMIF(项目基本情况!D$15:I$15,C6,项目基本情况!D$19:I$19)</f>
        <v>69.27</v>
      </c>
      <c r="G6" s="175">
        <f>IF(ISERROR(ROUND(POWER(1+H6,D6-F6)*(POWER(1+H6,F6)-1)/(POWER(1+H6,D6)-1),3)),0,ROUND(POWER(1+H6,D6-F6)*(POWER(1+H6,F6)-1)/(POWER(1+H6,D6)-1),3))</f>
        <v>0.998</v>
      </c>
      <c r="H6" s="3021">
        <v>4.4999999999999998E-2</v>
      </c>
      <c r="I6" s="3021">
        <v>0.05</v>
      </c>
      <c r="J6" s="3021">
        <v>8.5000000000000006E-2</v>
      </c>
      <c r="K6" s="179">
        <f>SUMIF('数据-汇总表'!C$19:C$33,'数据-取费表'!A6,'数据-汇总表'!E$19:E$33)</f>
        <v>90547</v>
      </c>
      <c r="L6" s="3500">
        <v>2800</v>
      </c>
      <c r="M6" s="177">
        <f t="shared" ref="M6:M14" si="0">ROUND(K6*L6/10000,0)</f>
        <v>25353</v>
      </c>
      <c r="N6" s="3023">
        <v>0</v>
      </c>
      <c r="O6" s="177">
        <f>IF($N$5="成新度","——",ROUND(M6*N6,0))</f>
        <v>0</v>
      </c>
      <c r="P6" s="178">
        <f>IF($N$5="成新度","——",M6-O6)</f>
        <v>25353</v>
      </c>
      <c r="Q6" s="3024">
        <v>0.03</v>
      </c>
      <c r="R6" s="179">
        <f>SUMIF('数据-汇总表'!C$19:C$33,A6,'数据-汇总表'!R$19:R$33)</f>
        <v>49247.95</v>
      </c>
      <c r="S6" s="132">
        <f>IF('数据-汇总表'!$I$17="按面积比例",SUMIF('数据-汇总表'!C$19:C$33,A6,'数据-汇总表'!K$19:K$33),SUMIF('数据-汇总表'!C$19:C$33,A6,'数据-汇总表'!N$19:N$33))</f>
        <v>9035.1</v>
      </c>
      <c r="T6" s="2231">
        <f>IF($T$4="按面积比例",IF(ISERROR(ROUND($M$14*S6/S$16,0)),"0",ROUND($M$14*S6/S$16,0)),"需自行计算录入")</f>
        <v>1807</v>
      </c>
      <c r="U6" s="180"/>
      <c r="V6" s="181"/>
      <c r="W6" s="181"/>
      <c r="X6" s="2318"/>
      <c r="Y6" s="182">
        <v>1</v>
      </c>
      <c r="Z6" s="183"/>
      <c r="AA6" s="176"/>
      <c r="AB6" s="176"/>
      <c r="AC6" s="2321"/>
      <c r="AD6" s="184"/>
      <c r="AE6" s="970">
        <f ca="1">IF(AN6="",0,SUMIF(INDIRECT("'"&amp;AN6&amp;"'"&amp;"!E:E"),$AE$5,INDIRECT("'"&amp;AN6&amp;"'"&amp;"!F:F")))</f>
        <v>0</v>
      </c>
      <c r="AF6" s="141"/>
      <c r="AG6" s="1211">
        <f>IF(AF6="",0,AE6-AF6)</f>
        <v>0</v>
      </c>
      <c r="AH6" s="141"/>
      <c r="AI6" s="187">
        <v>365</v>
      </c>
      <c r="AJ6" s="188"/>
      <c r="AK6" s="189">
        <v>1.4999999999999999E-2</v>
      </c>
      <c r="AL6" s="190">
        <v>1.5E-3</v>
      </c>
      <c r="AM6" s="3035">
        <v>0.01</v>
      </c>
      <c r="AN6" s="2389"/>
      <c r="AO6" s="1997"/>
      <c r="AP6" s="1202">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商业</v>
      </c>
      <c r="B7" s="2334" t="str">
        <f t="shared" ref="B7:B13" si="1">IF(A7=0,"","经营性")</f>
        <v>经营性</v>
      </c>
      <c r="C7" s="173" t="s">
        <v>2988</v>
      </c>
      <c r="D7" s="2305">
        <f>SUMIF(项目基本情况!D$15:I$15,C7,项目基本情况!D$18:I$18)</f>
        <v>40</v>
      </c>
      <c r="E7" s="2306">
        <f>IF(B7="","",SUMIF(项目基本情况!D$15:I$15,C7,项目基本情况!D$17:I$17))</f>
        <v>57656</v>
      </c>
      <c r="F7" s="174">
        <f>SUMIF(项目基本情况!D$15:I$15,C7,项目基本情况!D$19:I$19)</f>
        <v>39.25</v>
      </c>
      <c r="G7" s="175">
        <f t="shared" ref="G7:G11" si="2">IF(ISERROR(ROUND(POWER(1+H7,D7-F7)*(POWER(1+H7,F7)-1)/(POWER(1+H7,D7)-1),3)),0,ROUND(POWER(1+H7,D7-F7)*(POWER(1+H7,F7)-1)/(POWER(1+H7,D7)-1),3))</f>
        <v>0.99399999999999999</v>
      </c>
      <c r="H7" s="3021">
        <v>0.05</v>
      </c>
      <c r="I7" s="3021">
        <v>5.5E-2</v>
      </c>
      <c r="J7" s="3021">
        <v>8.5000000000000006E-2</v>
      </c>
      <c r="K7" s="179">
        <f>SUMIF('数据-汇总表'!C$19:C$33,'数据-取费表'!A7,'数据-汇总表'!E$19:E$33)</f>
        <v>7450</v>
      </c>
      <c r="L7" s="3500">
        <v>2500</v>
      </c>
      <c r="M7" s="177">
        <f t="shared" si="0"/>
        <v>1863</v>
      </c>
      <c r="N7" s="3023">
        <v>0</v>
      </c>
      <c r="O7" s="177">
        <f t="shared" ref="O7:O14" si="3">IF($N$5="成新度","——",ROUND(M7*N7,0))</f>
        <v>0</v>
      </c>
      <c r="P7" s="178">
        <f t="shared" ref="P7:P14" si="4">IF($N$5="成新度","——",M7-O7)</f>
        <v>1863</v>
      </c>
      <c r="Q7" s="3499">
        <v>0.1</v>
      </c>
      <c r="R7" s="179">
        <f>SUMIF('数据-汇总表'!C$19:C$33,A7,'数据-汇总表'!R$19:R$33)</f>
        <v>4052.0099999999998</v>
      </c>
      <c r="S7" s="132">
        <f>IF('数据-汇总表'!$I$17="按面积比例",SUMIF('数据-汇总表'!C$19:C$33,A7,'数据-汇总表'!K$19:K$33),SUMIF('数据-汇总表'!C$19:C$33,A7,'数据-汇总表'!N$19:N$33))</f>
        <v>743.39</v>
      </c>
      <c r="T7" s="2231">
        <f t="shared" ref="T7:T13" si="5">IF($T$4="按面积比例",IF(ISERROR(ROUND($M$14*S7/S$16,0)),"0",ROUND($M$14*S7/S$16,0)),"需自行计算录入")</f>
        <v>149</v>
      </c>
      <c r="U7" s="3495">
        <f>V25</f>
        <v>2.8</v>
      </c>
      <c r="V7" s="3494">
        <v>0.04</v>
      </c>
      <c r="W7" s="3494">
        <v>0.05</v>
      </c>
      <c r="X7" s="2318"/>
      <c r="Y7" s="182">
        <v>1</v>
      </c>
      <c r="Z7" s="183"/>
      <c r="AA7" s="176"/>
      <c r="AB7" s="176"/>
      <c r="AC7" s="2321"/>
      <c r="AD7" s="184"/>
      <c r="AE7" s="970">
        <f t="shared" ref="AE7:AE13" ca="1" si="6">IF(AN7="",0,SUMIF(INDIRECT("'"&amp;AN7&amp;"'"&amp;"!E:E"),$AE$5,INDIRECT("'"&amp;AN7&amp;"'"&amp;"!F:F")))</f>
        <v>36.25</v>
      </c>
      <c r="AF7" s="141"/>
      <c r="AG7" s="1211">
        <f t="shared" ref="AG7:AG13" si="7">IF(AF7="",0,AE7-AF7)</f>
        <v>0</v>
      </c>
      <c r="AH7" s="141"/>
      <c r="AI7" s="187">
        <v>365</v>
      </c>
      <c r="AJ7" s="188"/>
      <c r="AK7" s="189">
        <v>1.4999999999999999E-2</v>
      </c>
      <c r="AL7" s="190">
        <v>1.5E-3</v>
      </c>
      <c r="AM7" s="3035">
        <v>0.01</v>
      </c>
      <c r="AN7" s="2389" t="s">
        <v>3009</v>
      </c>
      <c r="AO7" s="1997"/>
      <c r="AP7" s="1202">
        <f t="shared" ref="AP7:AP13" si="8">ROUND(1-1/(1+H7)^F7,3)</f>
        <v>0.85299999999999998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地下商业</v>
      </c>
      <c r="B8" s="2334" t="str">
        <f t="shared" si="1"/>
        <v>经营性</v>
      </c>
      <c r="C8" s="173" t="s">
        <v>2988</v>
      </c>
      <c r="D8" s="2305">
        <f>SUMIF(项目基本情况!D$15:I$15,C8,项目基本情况!D$18:I$18)</f>
        <v>40</v>
      </c>
      <c r="E8" s="2306">
        <f>IF(B8="","",SUMIF(项目基本情况!D$15:I$15,C8,项目基本情况!D$17:I$17))</f>
        <v>57656</v>
      </c>
      <c r="F8" s="174">
        <f>SUMIF(项目基本情况!D$15:I$15,C8,项目基本情况!D$19:I$19)</f>
        <v>39.25</v>
      </c>
      <c r="G8" s="175">
        <f t="shared" si="2"/>
        <v>0.99399999999999999</v>
      </c>
      <c r="H8" s="3021">
        <v>0.05</v>
      </c>
      <c r="I8" s="3021">
        <v>5.5E-2</v>
      </c>
      <c r="J8" s="3021">
        <v>8.5000000000000006E-2</v>
      </c>
      <c r="K8" s="179">
        <f>SUMIF('数据-汇总表'!C$19:C$33,'数据-取费表'!A8,'数据-汇总表'!E$19:E$33)</f>
        <v>2000</v>
      </c>
      <c r="L8" s="3500">
        <v>2500</v>
      </c>
      <c r="M8" s="177">
        <f>ROUND(K8*L8/10000,0)</f>
        <v>500</v>
      </c>
      <c r="N8" s="3023">
        <v>0</v>
      </c>
      <c r="O8" s="177">
        <f t="shared" si="3"/>
        <v>0</v>
      </c>
      <c r="P8" s="178">
        <f t="shared" si="4"/>
        <v>500</v>
      </c>
      <c r="Q8" s="3499">
        <v>0.05</v>
      </c>
      <c r="R8" s="179">
        <f>SUMIF('数据-汇总表'!C$19:C$33,A8,'数据-汇总表'!R$19:R$33)</f>
        <v>1087.79</v>
      </c>
      <c r="S8" s="132">
        <f>IF('数据-汇总表'!$I$17="按面积比例",SUMIF('数据-汇总表'!C$19:C$33,A8,'数据-汇总表'!K$19:K$33),SUMIF('数据-汇总表'!C$19:C$33,A8,'数据-汇总表'!N$19:N$33))</f>
        <v>199.57</v>
      </c>
      <c r="T8" s="2231">
        <f t="shared" si="5"/>
        <v>40</v>
      </c>
      <c r="U8" s="180">
        <f>V21*0.5</f>
        <v>2</v>
      </c>
      <c r="V8" s="181">
        <v>0.03</v>
      </c>
      <c r="W8" s="181">
        <v>0.1</v>
      </c>
      <c r="X8" s="2318"/>
      <c r="Y8" s="182">
        <v>1</v>
      </c>
      <c r="Z8" s="183"/>
      <c r="AA8" s="176"/>
      <c r="AB8" s="176"/>
      <c r="AC8" s="2321"/>
      <c r="AD8" s="184"/>
      <c r="AE8" s="970">
        <f t="shared" ca="1" si="6"/>
        <v>36.25</v>
      </c>
      <c r="AF8" s="141"/>
      <c r="AG8" s="1211">
        <f t="shared" si="7"/>
        <v>0</v>
      </c>
      <c r="AH8" s="141"/>
      <c r="AI8" s="187">
        <v>365</v>
      </c>
      <c r="AJ8" s="188"/>
      <c r="AK8" s="189">
        <v>1.4999999999999999E-2</v>
      </c>
      <c r="AL8" s="190">
        <v>1.5E-3</v>
      </c>
      <c r="AM8" s="3035">
        <v>0.01</v>
      </c>
      <c r="AN8" s="2389" t="s">
        <v>3013</v>
      </c>
      <c r="AO8" s="1997"/>
      <c r="AP8" s="1202">
        <f t="shared" si="8"/>
        <v>0.85299999999999998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地下车库</v>
      </c>
      <c r="B9" s="2334" t="str">
        <f t="shared" si="1"/>
        <v>经营性</v>
      </c>
      <c r="C9" s="173" t="s">
        <v>3004</v>
      </c>
      <c r="D9" s="2305">
        <f>SUMIF(项目基本情况!D$15:I$15,C9,项目基本情况!D$18:I$18)</f>
        <v>50</v>
      </c>
      <c r="E9" s="2306">
        <f>IF(B9="","",SUMIF(项目基本情况!D$15:I$15,C9,项目基本情况!D$17:I$17))</f>
        <v>61308</v>
      </c>
      <c r="F9" s="174">
        <f>SUMIF(项目基本情况!D$15:I$15,C9,项目基本情况!D$19:I$19)</f>
        <v>49.26</v>
      </c>
      <c r="G9" s="175">
        <f t="shared" si="2"/>
        <v>0.996</v>
      </c>
      <c r="H9" s="3021">
        <v>4.4999999999999998E-2</v>
      </c>
      <c r="I9" s="3021">
        <v>0.05</v>
      </c>
      <c r="J9" s="3021">
        <v>8.5000000000000006E-2</v>
      </c>
      <c r="K9" s="179">
        <f>SUMIF('数据-汇总表'!C$19:C$33,'数据-取费表'!A9,'数据-汇总表'!E$19:E$33)</f>
        <v>39760</v>
      </c>
      <c r="L9" s="3022">
        <v>2000</v>
      </c>
      <c r="M9" s="177">
        <f t="shared" si="0"/>
        <v>7952</v>
      </c>
      <c r="N9" s="193">
        <v>0</v>
      </c>
      <c r="O9" s="177">
        <f t="shared" si="3"/>
        <v>0</v>
      </c>
      <c r="P9" s="178">
        <f t="shared" si="4"/>
        <v>7952</v>
      </c>
      <c r="Q9" s="192">
        <v>0.03</v>
      </c>
      <c r="R9" s="179">
        <f>SUMIF('数据-汇总表'!C$19:C$33,A9,'数据-汇总表'!R$19:R$33)</f>
        <v>21625.22</v>
      </c>
      <c r="S9" s="132">
        <f>IF('数据-汇总表'!$I$17="按面积比例",SUMIF('数据-汇总表'!C$19:C$33,A9,'数据-汇总表'!K$19:K$33),SUMIF('数据-汇总表'!C$19:C$33,A9,'数据-汇总表'!N$19:N$33))</f>
        <v>3967.39</v>
      </c>
      <c r="T9" s="2231">
        <f t="shared" si="5"/>
        <v>793</v>
      </c>
      <c r="U9" s="180">
        <v>500</v>
      </c>
      <c r="V9" s="181">
        <v>3.5000000000000003E-2</v>
      </c>
      <c r="W9" s="181">
        <v>0.05</v>
      </c>
      <c r="X9" s="2318"/>
      <c r="Y9" s="182">
        <v>1</v>
      </c>
      <c r="Z9" s="183"/>
      <c r="AA9" s="176"/>
      <c r="AB9" s="176"/>
      <c r="AC9" s="2321"/>
      <c r="AD9" s="184"/>
      <c r="AE9" s="970">
        <f t="shared" ca="1" si="6"/>
        <v>46.26</v>
      </c>
      <c r="AF9" s="141"/>
      <c r="AG9" s="1211">
        <f t="shared" si="7"/>
        <v>0</v>
      </c>
      <c r="AH9" s="141">
        <f>1061+75</f>
        <v>1136</v>
      </c>
      <c r="AI9" s="187">
        <v>12</v>
      </c>
      <c r="AJ9" s="188"/>
      <c r="AK9" s="189">
        <v>1.4999999999999999E-2</v>
      </c>
      <c r="AL9" s="190">
        <v>1.5E-3</v>
      </c>
      <c r="AM9" s="3035">
        <v>0.01</v>
      </c>
      <c r="AN9" s="2389" t="s">
        <v>3008</v>
      </c>
      <c r="AO9" s="1997"/>
      <c r="AP9" s="1202">
        <f t="shared" si="8"/>
        <v>0.88600000000000001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地下仓储</v>
      </c>
      <c r="B10" s="2334" t="str">
        <f t="shared" si="1"/>
        <v>经营性</v>
      </c>
      <c r="C10" s="173" t="s">
        <v>3070</v>
      </c>
      <c r="D10" s="2305">
        <f>SUMIF(项目基本情况!D$15:I$15,C10,项目基本情况!D$18:I$18)</f>
        <v>50</v>
      </c>
      <c r="E10" s="2306">
        <f>IF(B10="","",SUMIF(项目基本情况!D$15:I$15,C10,项目基本情况!D$17:I$17))</f>
        <v>61308</v>
      </c>
      <c r="F10" s="174">
        <f>SUMIF(项目基本情况!D$15:I$15,C10,项目基本情况!D$19:I$19)</f>
        <v>49.26</v>
      </c>
      <c r="G10" s="175">
        <f t="shared" si="2"/>
        <v>0.996</v>
      </c>
      <c r="H10" s="3021">
        <v>4.4999999999999998E-2</v>
      </c>
      <c r="I10" s="3021">
        <v>0.05</v>
      </c>
      <c r="J10" s="3021">
        <v>8.5000000000000006E-2</v>
      </c>
      <c r="K10" s="179">
        <f>SUMIF('数据-汇总表'!C$19:C$33,'数据-取费表'!A10,'数据-汇总表'!E$19:E$33)</f>
        <v>10390.44</v>
      </c>
      <c r="L10" s="3022">
        <v>2000</v>
      </c>
      <c r="M10" s="177">
        <f t="shared" si="0"/>
        <v>2078</v>
      </c>
      <c r="N10" s="193">
        <v>0</v>
      </c>
      <c r="O10" s="177">
        <f t="shared" si="3"/>
        <v>0</v>
      </c>
      <c r="P10" s="178">
        <f t="shared" si="4"/>
        <v>2078</v>
      </c>
      <c r="Q10" s="192">
        <v>0.03</v>
      </c>
      <c r="R10" s="179">
        <f>SUMIF('数据-汇总表'!C$19:C$33,A10,'数据-汇总表'!R$19:R$33)</f>
        <v>5651.29</v>
      </c>
      <c r="S10" s="132">
        <f>IF('数据-汇总表'!$I$17="按面积比例",SUMIF('数据-汇总表'!C$19:C$33,A10,'数据-汇总表'!K$19:K$33),SUMIF('数据-汇总表'!C$19:C$33,A10,'数据-汇总表'!N$19:N$33))</f>
        <v>1036.79</v>
      </c>
      <c r="T10" s="2231">
        <f t="shared" si="5"/>
        <v>207</v>
      </c>
      <c r="U10" s="180">
        <v>1.2</v>
      </c>
      <c r="V10" s="181">
        <v>0.02</v>
      </c>
      <c r="W10" s="181">
        <v>0.1</v>
      </c>
      <c r="X10" s="2318"/>
      <c r="Y10" s="182">
        <v>1</v>
      </c>
      <c r="Z10" s="183"/>
      <c r="AA10" s="176"/>
      <c r="AB10" s="176"/>
      <c r="AC10" s="2321"/>
      <c r="AD10" s="184"/>
      <c r="AE10" s="970">
        <f t="shared" ca="1" si="6"/>
        <v>46.26</v>
      </c>
      <c r="AF10" s="141"/>
      <c r="AG10" s="1211">
        <f t="shared" si="7"/>
        <v>0</v>
      </c>
      <c r="AH10" s="141"/>
      <c r="AI10" s="187">
        <v>365</v>
      </c>
      <c r="AJ10" s="188"/>
      <c r="AK10" s="189">
        <v>1.4999999999999999E-2</v>
      </c>
      <c r="AL10" s="190">
        <v>1.5E-3</v>
      </c>
      <c r="AM10" s="3035">
        <v>0.01</v>
      </c>
      <c r="AN10" s="2389" t="s">
        <v>3072</v>
      </c>
      <c r="AO10" s="1997"/>
      <c r="AP10" s="1202">
        <f t="shared" si="8"/>
        <v>0.88600000000000001</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22"/>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0">
        <f t="shared" ca="1" si="6"/>
        <v>0</v>
      </c>
      <c r="AF11" s="141"/>
      <c r="AG11" s="1211">
        <f t="shared" si="7"/>
        <v>0</v>
      </c>
      <c r="AH11" s="141"/>
      <c r="AI11" s="187"/>
      <c r="AJ11" s="188"/>
      <c r="AK11" s="195"/>
      <c r="AL11" s="196"/>
      <c r="AM11" s="1814"/>
      <c r="AN11" s="2389"/>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22"/>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0">
        <f t="shared" ca="1" si="6"/>
        <v>0</v>
      </c>
      <c r="AF12" s="141"/>
      <c r="AG12" s="1211">
        <f t="shared" si="7"/>
        <v>0</v>
      </c>
      <c r="AH12" s="141"/>
      <c r="AI12" s="187"/>
      <c r="AJ12" s="188"/>
      <c r="AK12" s="195"/>
      <c r="AL12" s="196"/>
      <c r="AM12" s="1814"/>
      <c r="AN12" s="2389"/>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22"/>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1680</v>
      </c>
      <c r="C14" s="2304" t="s">
        <v>2315</v>
      </c>
      <c r="D14" s="2305"/>
      <c r="E14" s="2306"/>
      <c r="F14" s="174"/>
      <c r="G14" s="175"/>
      <c r="H14" s="2307"/>
      <c r="I14" s="2307"/>
      <c r="J14" s="2307"/>
      <c r="K14" s="179">
        <f>SUMIF('数据-汇总表'!C$19:C$33,'数据-取费表'!A14,'数据-汇总表'!E$19:E$33)</f>
        <v>14982.239999999998</v>
      </c>
      <c r="L14" s="3022">
        <v>2000</v>
      </c>
      <c r="M14" s="177">
        <f t="shared" si="0"/>
        <v>2996</v>
      </c>
      <c r="N14" s="193">
        <v>0</v>
      </c>
      <c r="O14" s="177">
        <f t="shared" si="3"/>
        <v>0</v>
      </c>
      <c r="P14" s="178">
        <f t="shared" si="4"/>
        <v>2996</v>
      </c>
      <c r="Q14" s="2315"/>
      <c r="R14" s="179"/>
      <c r="S14" s="132"/>
      <c r="T14" s="2314"/>
      <c r="U14" s="972"/>
      <c r="V14" s="2317"/>
      <c r="W14" s="2317"/>
      <c r="X14" s="2318"/>
      <c r="Y14" s="2319"/>
      <c r="Z14" s="136"/>
      <c r="AA14" s="2320"/>
      <c r="AB14" s="2320"/>
      <c r="AC14" s="2321"/>
      <c r="AD14" s="2318"/>
      <c r="AE14" s="970"/>
      <c r="AF14" s="2293"/>
      <c r="AG14" s="1211"/>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1680</v>
      </c>
      <c r="C15" s="2304" t="s">
        <v>2316</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7" t="s">
        <v>262</v>
      </c>
      <c r="B16" s="198"/>
      <c r="C16" s="199"/>
      <c r="D16" s="200"/>
      <c r="E16" s="198"/>
      <c r="F16" s="198"/>
      <c r="G16" s="201">
        <f>ROUND(SUMPRODUCT(G6:G13,K6:K13)/SUMPRODUCT((G6:G13&gt;0)*(K6:K13)),3)</f>
        <v>0.997</v>
      </c>
      <c r="H16" s="202">
        <f>ROUND(SUMPRODUCT(H6:H13,K6:K13)/SUMPRODUCT((H6:H13&gt;0)*(K6:K13)),3)</f>
        <v>4.4999999999999998E-2</v>
      </c>
      <c r="I16" s="203"/>
      <c r="J16" s="203"/>
      <c r="K16" s="204">
        <f>SUM(K6:K15)</f>
        <v>165129.68</v>
      </c>
      <c r="L16" s="205">
        <f>ROUND(M16*10000/SUM(K6:K14),0)</f>
        <v>2467</v>
      </c>
      <c r="M16" s="205">
        <f>SUM(M6:M14)</f>
        <v>40742</v>
      </c>
      <c r="N16" s="206">
        <f>ROUND(SUMPRODUCT(M6:M14,N6:N14)/M16,3)</f>
        <v>0</v>
      </c>
      <c r="O16" s="205">
        <f>SUM(O6:O14)</f>
        <v>0</v>
      </c>
      <c r="P16" s="205">
        <f>SUM(P6:P14)</f>
        <v>40742</v>
      </c>
      <c r="Q16" s="207">
        <f>ROUND(SUMPRODUCT(Q6:Q13,K6:K13)/SUMPRODUCT((Q6:Q13&gt;0)*(K6:K13)),2)</f>
        <v>0.03</v>
      </c>
      <c r="R16" s="2308">
        <f>SUM(R6:R13)</f>
        <v>81664.259999999995</v>
      </c>
      <c r="S16" s="208">
        <f>SUM(S6:S13)</f>
        <v>14982.239999999998</v>
      </c>
      <c r="T16" s="209">
        <f>IF(SUMIF(T6:T13,"&lt;9E307")=M14,SUMIF(T6:T13,"&lt;9E307"),"有误，请检查")</f>
        <v>2996</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2">
        <f>ROUND(SUMPRODUCT(AP6:AP13,K6:K13)/SUMPRODUCT((AP6:AP13&gt;0)*(K6:K13)),3)</f>
        <v>0.92400000000000004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3491">
        <v>3</v>
      </c>
      <c r="C20" s="2361" t="s">
        <v>2336</v>
      </c>
      <c r="D20" s="1990"/>
      <c r="E20" s="1989"/>
      <c r="F20" s="1989"/>
      <c r="G20" s="1989"/>
      <c r="H20" s="1989"/>
      <c r="I20" s="1989"/>
      <c r="J20" s="1989"/>
      <c r="K20" s="1988"/>
      <c r="L20" s="1988"/>
      <c r="M20" s="1986"/>
      <c r="N20" s="1986"/>
      <c r="O20" s="1986"/>
      <c r="P20" s="1986"/>
      <c r="Q20" s="1986"/>
      <c r="R20" s="1986"/>
      <c r="S20" s="1986"/>
      <c r="T20" s="1986"/>
      <c r="U20" s="3181" t="s">
        <v>3010</v>
      </c>
      <c r="V20" s="3181" t="s">
        <v>3011</v>
      </c>
      <c r="W20" s="3181" t="s">
        <v>3012</v>
      </c>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v>1</v>
      </c>
      <c r="V21" s="1986">
        <v>4</v>
      </c>
      <c r="W21" s="1986">
        <v>1</v>
      </c>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3</v>
      </c>
      <c r="C22" s="1989"/>
      <c r="D22" s="1990"/>
      <c r="E22" s="1989"/>
      <c r="F22" s="1989"/>
      <c r="G22" s="1989"/>
      <c r="H22" s="1989"/>
      <c r="I22" s="1989"/>
      <c r="J22" s="1989"/>
      <c r="K22" s="1988"/>
      <c r="L22" s="1988"/>
      <c r="M22" s="1986"/>
      <c r="N22" s="1986"/>
      <c r="O22" s="1986"/>
      <c r="P22" s="1986"/>
      <c r="Q22" s="1986"/>
      <c r="R22" s="1986"/>
      <c r="S22" s="1986"/>
      <c r="T22" s="1986"/>
      <c r="U22" s="1986">
        <v>2</v>
      </c>
      <c r="V22" s="1986">
        <f>V21*W22</f>
        <v>2.8</v>
      </c>
      <c r="W22" s="1986">
        <v>0.7</v>
      </c>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v>3</v>
      </c>
      <c r="V23" s="1986">
        <f>V21*W23</f>
        <v>2.4</v>
      </c>
      <c r="W23" s="1986">
        <v>0.6</v>
      </c>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3</v>
      </c>
      <c r="C24" s="1989"/>
      <c r="D24" s="1990"/>
      <c r="E24" s="1989"/>
      <c r="F24" s="1989"/>
      <c r="G24" s="1989"/>
      <c r="H24" s="1989"/>
      <c r="I24" s="1989"/>
      <c r="J24" s="1989"/>
      <c r="K24" s="1988"/>
      <c r="L24" s="1988"/>
      <c r="M24" s="1986"/>
      <c r="N24" s="1986"/>
      <c r="O24" s="1986"/>
      <c r="P24" s="1986"/>
      <c r="Q24" s="1986"/>
      <c r="R24" s="1986"/>
      <c r="S24" s="1986"/>
      <c r="T24" s="1986"/>
      <c r="U24" s="1986">
        <v>4</v>
      </c>
      <c r="V24" s="1986">
        <f>V21*W24</f>
        <v>2</v>
      </c>
      <c r="W24" s="1986">
        <v>0.5</v>
      </c>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f>SUM(V21:V24)/4</f>
        <v>2.8</v>
      </c>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5" t="s">
        <v>2339</v>
      </c>
      <c r="B27" s="226">
        <v>140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2340</v>
      </c>
      <c r="B28" s="228">
        <v>170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2338</v>
      </c>
      <c r="B29" s="231">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5" t="s">
        <v>275</v>
      </c>
      <c r="B32" s="1375">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5" t="s">
        <v>278</v>
      </c>
      <c r="B33" s="1376">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62" t="s">
        <v>2895</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2897</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3492">
        <v>0.01</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3493">
        <v>0.01</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2458</v>
      </c>
      <c r="B40" s="2478">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6">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8">
        <v>0.05</v>
      </c>
      <c r="C42" s="3096">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9">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v>0</v>
      </c>
      <c r="C47" s="3070"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71"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71"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49" t="s">
        <v>1410</v>
      </c>
      <c r="C53" s="3072" t="s">
        <v>2905</v>
      </c>
      <c r="D53" s="3073"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5" t="s">
        <v>2907</v>
      </c>
      <c r="B54" s="186">
        <v>30</v>
      </c>
      <c r="C54" s="1991">
        <v>30</v>
      </c>
      <c r="D54" s="3074"/>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5" t="s">
        <v>2908</v>
      </c>
      <c r="B55" s="186">
        <v>24</v>
      </c>
      <c r="C55" s="1991">
        <v>24</v>
      </c>
      <c r="D55" s="3074"/>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5" t="s">
        <v>2909</v>
      </c>
      <c r="B56" s="186">
        <v>18</v>
      </c>
      <c r="C56" s="1991">
        <v>18</v>
      </c>
      <c r="D56" s="3074"/>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5" t="s">
        <v>2910</v>
      </c>
      <c r="B57" s="186">
        <v>12</v>
      </c>
      <c r="C57" s="1991">
        <v>12</v>
      </c>
      <c r="D57" s="3074"/>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5" t="s">
        <v>2911</v>
      </c>
      <c r="B58" s="186">
        <v>3</v>
      </c>
      <c r="C58" s="1991">
        <v>3</v>
      </c>
      <c r="D58" s="3074"/>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5" t="s">
        <v>2912</v>
      </c>
      <c r="B59" s="186">
        <v>1.5</v>
      </c>
      <c r="C59" s="1991">
        <v>1.5</v>
      </c>
      <c r="D59" s="3074"/>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5" t="s">
        <v>2913</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5" t="s">
        <v>2914</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5"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6" t="s">
        <v>2916</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0" t="s">
        <v>1664</v>
      </c>
      <c r="B1" s="3281"/>
      <c r="C1" s="3281"/>
      <c r="D1" s="3281"/>
      <c r="E1" s="3281"/>
      <c r="F1" s="3281"/>
      <c r="G1" s="3281"/>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27">
      <c r="A3" s="1225" t="s">
        <v>1667</v>
      </c>
      <c r="B3" s="1226" t="s">
        <v>1654</v>
      </c>
      <c r="C3" s="3077"/>
      <c r="D3" s="2006"/>
      <c r="E3" s="1227" t="s">
        <v>1667</v>
      </c>
      <c r="F3" s="1228" t="s">
        <v>1655</v>
      </c>
      <c r="G3" s="3081"/>
      <c r="H3" s="2005"/>
      <c r="I3" s="2005"/>
      <c r="J3" s="2005"/>
      <c r="K3" s="2005"/>
      <c r="L3" s="2005"/>
      <c r="M3" s="2005"/>
      <c r="N3" s="2005"/>
      <c r="O3" s="2005"/>
      <c r="P3" s="2005"/>
      <c r="Q3" s="2005"/>
      <c r="R3" s="2005"/>
    </row>
    <row r="4" spans="1:18" ht="14.25">
      <c r="A4" s="1227"/>
      <c r="B4" s="1229" t="s">
        <v>1668</v>
      </c>
      <c r="C4" s="3078"/>
      <c r="D4" s="2006"/>
      <c r="E4" s="1230"/>
      <c r="F4" s="1231" t="s">
        <v>1669</v>
      </c>
      <c r="G4" s="3079"/>
      <c r="H4" s="2005"/>
      <c r="I4" s="2005"/>
      <c r="J4" s="2005"/>
      <c r="K4" s="2005"/>
      <c r="L4" s="2005"/>
      <c r="M4" s="2005"/>
      <c r="N4" s="2005"/>
      <c r="O4" s="2005"/>
      <c r="P4" s="2005"/>
      <c r="Q4" s="2005"/>
      <c r="R4" s="2005"/>
    </row>
    <row r="5" spans="1:18" ht="14.25">
      <c r="A5" s="1227"/>
      <c r="B5" s="1229" t="s">
        <v>1670</v>
      </c>
      <c r="C5" s="3078"/>
      <c r="D5" s="2006"/>
      <c r="E5" s="1230"/>
      <c r="F5" s="1229" t="s">
        <v>2547</v>
      </c>
      <c r="G5" s="3079"/>
      <c r="H5" s="2005"/>
      <c r="I5" s="2005"/>
      <c r="J5" s="2005"/>
      <c r="K5" s="2005"/>
      <c r="L5" s="2005"/>
      <c r="M5" s="2005"/>
      <c r="N5" s="2005"/>
      <c r="O5" s="2005"/>
      <c r="P5" s="2005"/>
      <c r="Q5" s="2005"/>
      <c r="R5" s="2005"/>
    </row>
    <row r="6" spans="1:18" ht="14.25">
      <c r="A6" s="1227"/>
      <c r="B6" s="1229" t="s">
        <v>1656</v>
      </c>
      <c r="C6" s="3079"/>
      <c r="D6" s="2006"/>
      <c r="E6" s="1230"/>
      <c r="F6" s="1229" t="s">
        <v>2548</v>
      </c>
      <c r="G6" s="3079"/>
      <c r="H6" s="2005"/>
      <c r="I6" s="2005"/>
      <c r="J6" s="2005"/>
      <c r="K6" s="2005"/>
      <c r="L6" s="2005"/>
      <c r="M6" s="2005"/>
      <c r="N6" s="2005"/>
      <c r="O6" s="2005"/>
      <c r="P6" s="2005"/>
      <c r="Q6" s="2005"/>
      <c r="R6" s="2005"/>
    </row>
    <row r="7" spans="1:18" ht="15" thickBot="1">
      <c r="A7" s="1227"/>
      <c r="B7" s="1229" t="s">
        <v>2547</v>
      </c>
      <c r="C7" s="3079"/>
      <c r="D7" s="2007"/>
      <c r="E7" s="1232"/>
      <c r="F7" s="1233" t="s">
        <v>1671</v>
      </c>
      <c r="G7" s="3082"/>
      <c r="H7" s="2005"/>
      <c r="I7" s="2005"/>
      <c r="J7" s="2005"/>
      <c r="K7" s="2005"/>
      <c r="L7" s="2005"/>
      <c r="M7" s="2005"/>
      <c r="N7" s="2005"/>
      <c r="O7" s="2005"/>
      <c r="P7" s="2005"/>
      <c r="Q7" s="2005"/>
      <c r="R7" s="2005"/>
    </row>
    <row r="8" spans="1:18" ht="14.25">
      <c r="A8" s="1227"/>
      <c r="B8" s="1229" t="s">
        <v>2548</v>
      </c>
      <c r="C8" s="3079"/>
      <c r="D8" s="2007"/>
      <c r="E8" s="2007"/>
      <c r="F8" s="1551"/>
      <c r="G8" s="1551"/>
      <c r="H8" s="2005"/>
      <c r="I8" s="2005"/>
      <c r="J8" s="2005"/>
      <c r="K8" s="2005"/>
      <c r="L8" s="2005"/>
      <c r="M8" s="2005"/>
      <c r="N8" s="2005"/>
      <c r="O8" s="2005"/>
      <c r="P8" s="2005"/>
      <c r="Q8" s="2005"/>
      <c r="R8" s="2005"/>
    </row>
    <row r="9" spans="1:18" ht="14.25">
      <c r="A9" s="1227"/>
      <c r="B9" s="1229" t="s">
        <v>1657</v>
      </c>
      <c r="C9" s="3078"/>
      <c r="D9" s="2006"/>
      <c r="E9" s="2007"/>
      <c r="F9" s="1551"/>
      <c r="G9" s="1551"/>
      <c r="H9" s="2005"/>
      <c r="I9" s="2005"/>
      <c r="J9" s="2005"/>
      <c r="K9" s="2005"/>
      <c r="L9" s="2005"/>
      <c r="M9" s="2005"/>
      <c r="N9" s="2005"/>
      <c r="O9" s="2005"/>
      <c r="P9" s="2005"/>
      <c r="Q9" s="2005"/>
      <c r="R9" s="2005"/>
    </row>
    <row r="10" spans="1:18" s="2013" customFormat="1" ht="15" thickBot="1">
      <c r="A10" s="1234"/>
      <c r="B10" s="1235" t="s">
        <v>1672</v>
      </c>
      <c r="C10" s="3080"/>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2"/>
      <c r="E13" s="2575"/>
      <c r="F13" s="2575"/>
      <c r="G13" s="2575"/>
    </row>
    <row r="14" spans="1:18" ht="14.25" thickBot="1">
      <c r="A14" s="1236"/>
      <c r="B14" s="1237"/>
      <c r="C14" s="1238" t="s">
        <v>1665</v>
      </c>
      <c r="D14" s="2006"/>
      <c r="E14" s="1239"/>
      <c r="F14" s="1239"/>
      <c r="G14" s="1221" t="s">
        <v>1666</v>
      </c>
    </row>
    <row r="15" spans="1:18" ht="27">
      <c r="A15" s="2585" t="s">
        <v>1658</v>
      </c>
      <c r="B15" s="1240" t="s">
        <v>1654</v>
      </c>
      <c r="C15" s="1241">
        <f>C3</f>
        <v>0</v>
      </c>
      <c r="D15" s="2006"/>
      <c r="E15" s="2582" t="s">
        <v>1659</v>
      </c>
      <c r="F15" s="1240" t="s">
        <v>1674</v>
      </c>
      <c r="G15" s="1242">
        <f>G3</f>
        <v>0</v>
      </c>
    </row>
    <row r="16" spans="1:18">
      <c r="A16" s="2586"/>
      <c r="B16" s="1243" t="s">
        <v>1668</v>
      </c>
      <c r="C16" s="1244">
        <f>C4</f>
        <v>0</v>
      </c>
      <c r="D16" s="2006"/>
      <c r="E16" s="2583"/>
      <c r="F16" s="1245" t="s">
        <v>1669</v>
      </c>
      <c r="G16" s="1003">
        <f>G4</f>
        <v>0</v>
      </c>
    </row>
    <row r="17" spans="1:7" ht="14.25">
      <c r="A17" s="2586"/>
      <c r="B17" s="1243" t="s">
        <v>1670</v>
      </c>
      <c r="C17" s="1244">
        <f>C5</f>
        <v>0</v>
      </c>
      <c r="D17" s="2007"/>
      <c r="E17" s="2583"/>
      <c r="F17" s="1245" t="s">
        <v>1675</v>
      </c>
      <c r="G17" s="2791"/>
    </row>
    <row r="18" spans="1:7">
      <c r="A18" s="2586"/>
      <c r="B18" s="1245" t="s">
        <v>1656</v>
      </c>
      <c r="C18" s="1003">
        <f>C6</f>
        <v>0</v>
      </c>
      <c r="D18" s="2007"/>
      <c r="E18" s="2583"/>
      <c r="F18" s="1245" t="s">
        <v>1671</v>
      </c>
      <c r="G18" s="1003">
        <f>G7</f>
        <v>0</v>
      </c>
    </row>
    <row r="19" spans="1:7" ht="14.25">
      <c r="A19" s="2586"/>
      <c r="B19" s="1245" t="s">
        <v>1660</v>
      </c>
      <c r="C19" s="2791"/>
      <c r="D19" s="2006"/>
      <c r="E19" s="2583"/>
      <c r="F19" s="1229" t="s">
        <v>2547</v>
      </c>
      <c r="G19" s="1003">
        <f>G5</f>
        <v>0</v>
      </c>
    </row>
    <row r="20" spans="1:7">
      <c r="A20" s="2586"/>
      <c r="B20" s="1245" t="s">
        <v>1661</v>
      </c>
      <c r="C20" s="1244">
        <f>C9</f>
        <v>0</v>
      </c>
      <c r="D20" s="2007"/>
      <c r="E20" s="2583"/>
      <c r="F20" s="1229" t="s">
        <v>2548</v>
      </c>
      <c r="G20" s="1003">
        <f>G6</f>
        <v>0</v>
      </c>
    </row>
    <row r="21" spans="1:7" ht="14.25">
      <c r="A21" s="2586"/>
      <c r="B21" s="1229" t="s">
        <v>2547</v>
      </c>
      <c r="C21" s="1003">
        <f>C7</f>
        <v>0</v>
      </c>
      <c r="D21" s="2006"/>
      <c r="E21" s="2583"/>
      <c r="F21" s="1245" t="s">
        <v>1662</v>
      </c>
      <c r="G21" s="3083"/>
    </row>
    <row r="22" spans="1:7" ht="14.25">
      <c r="A22" s="2586"/>
      <c r="B22" s="1229" t="s">
        <v>2548</v>
      </c>
      <c r="C22" s="1003">
        <f>C8</f>
        <v>0</v>
      </c>
      <c r="D22" s="2006"/>
      <c r="E22" s="2583"/>
      <c r="F22" s="1245" t="s">
        <v>1672</v>
      </c>
      <c r="G22" s="2791"/>
    </row>
    <row r="23" spans="1:7" ht="15" thickBot="1">
      <c r="A23" s="2586"/>
      <c r="B23" s="1245" t="s">
        <v>1662</v>
      </c>
      <c r="C23" s="3083"/>
      <c r="E23" s="2584"/>
      <c r="F23" s="1246" t="s">
        <v>1676</v>
      </c>
      <c r="G23" s="3084"/>
    </row>
    <row r="24" spans="1:7" ht="14.25" thickBot="1">
      <c r="A24" s="2587"/>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4" sqref="D34"/>
    </sheetView>
  </sheetViews>
  <sheetFormatPr defaultColWidth="14.625" defaultRowHeight="13.5"/>
  <cols>
    <col min="1" max="1" width="24.375" customWidth="1"/>
  </cols>
  <sheetData>
    <row r="1" spans="1:9" ht="16.5">
      <c r="A1" s="3041" t="s">
        <v>2845</v>
      </c>
      <c r="B1" s="3041">
        <f>SUM(B14:B23)</f>
        <v>165129.68</v>
      </c>
      <c r="C1" s="3042"/>
      <c r="D1" s="3042"/>
      <c r="E1" s="3042"/>
      <c r="F1" s="3042"/>
    </row>
    <row r="2" spans="1:9" ht="16.5">
      <c r="A2" s="3041" t="s">
        <v>2846</v>
      </c>
      <c r="B2" s="3041">
        <f>SUM(C14:C23)</f>
        <v>81664.259999999995</v>
      </c>
      <c r="C2" s="3042"/>
      <c r="D2" s="3042"/>
      <c r="E2" s="3042"/>
      <c r="F2" s="3042"/>
    </row>
    <row r="3" spans="1:9" ht="16.5">
      <c r="A3" s="3041" t="s">
        <v>2847</v>
      </c>
      <c r="B3" s="3043">
        <f>项目基本情况!D3</f>
        <v>43327</v>
      </c>
      <c r="C3" s="3042"/>
      <c r="D3" s="3042"/>
      <c r="E3" s="3042"/>
      <c r="F3" s="3042"/>
    </row>
    <row r="4" spans="1:9" ht="33">
      <c r="A4" s="3041" t="s">
        <v>2848</v>
      </c>
      <c r="B4" s="3041" t="s">
        <v>2849</v>
      </c>
      <c r="C4" s="3041" t="s">
        <v>2850</v>
      </c>
      <c r="D4" s="3041" t="s">
        <v>2851</v>
      </c>
      <c r="E4" s="3042"/>
      <c r="F4" s="3042"/>
    </row>
    <row r="5" spans="1:9" ht="16.5">
      <c r="A5" s="3041" t="s">
        <v>2852</v>
      </c>
      <c r="B5" s="3041">
        <f ca="1">SUM(D14:D23)</f>
        <v>132418</v>
      </c>
      <c r="C5" s="3041">
        <f ca="1">ROUND(B5*10000/$B$1,0)</f>
        <v>8019</v>
      </c>
      <c r="D5" s="3041">
        <f ca="1">ROUND(B5*10000/$B$2,0)</f>
        <v>16215</v>
      </c>
      <c r="E5" s="3042"/>
      <c r="F5" s="3042"/>
    </row>
    <row r="6" spans="1:9" ht="16.5">
      <c r="A6" s="3041" t="s">
        <v>2853</v>
      </c>
      <c r="B6" s="3041">
        <f ca="1">SUM(G14:G23)</f>
        <v>129382</v>
      </c>
      <c r="C6" s="3041">
        <f t="shared" ref="C6:C8" ca="1" si="0">ROUND(B6*10000/$B$1,0)</f>
        <v>7835</v>
      </c>
      <c r="D6" s="3041">
        <f t="shared" ref="D6:D8" ca="1" si="1">ROUND(B6*10000/$B$2,0)</f>
        <v>15843</v>
      </c>
      <c r="E6" s="3042"/>
      <c r="F6" s="3042"/>
    </row>
    <row r="7" spans="1:9" ht="16.5">
      <c r="A7" s="3041" t="s">
        <v>2854</v>
      </c>
      <c r="B7" s="3041">
        <f>SUM(H14:H23)</f>
        <v>0</v>
      </c>
      <c r="C7" s="3041">
        <f t="shared" si="0"/>
        <v>0</v>
      </c>
      <c r="D7" s="3041">
        <f t="shared" si="1"/>
        <v>0</v>
      </c>
      <c r="E7" s="3042"/>
      <c r="F7" s="3042"/>
    </row>
    <row r="8" spans="1:9" ht="16.5">
      <c r="A8" s="3041" t="s">
        <v>2855</v>
      </c>
      <c r="B8" s="3041">
        <f>SUM(I14:I23)</f>
        <v>0</v>
      </c>
      <c r="C8" s="3041">
        <f t="shared" si="0"/>
        <v>0</v>
      </c>
      <c r="D8" s="3041">
        <f t="shared" si="1"/>
        <v>0</v>
      </c>
      <c r="E8" s="3042"/>
      <c r="F8" s="3042"/>
    </row>
    <row r="9" spans="1:9" ht="16.5">
      <c r="A9" s="3041" t="s">
        <v>2856</v>
      </c>
      <c r="B9" s="3044"/>
      <c r="C9" s="3042"/>
      <c r="D9" s="3042"/>
      <c r="E9" s="3042"/>
      <c r="F9" s="3042"/>
    </row>
    <row r="10" spans="1:9" ht="16.5">
      <c r="A10" s="3041" t="s">
        <v>2857</v>
      </c>
      <c r="B10" s="3044"/>
      <c r="C10" s="3042"/>
      <c r="D10" s="3042"/>
      <c r="E10" s="3042"/>
      <c r="F10" s="3042"/>
    </row>
    <row r="11" spans="1:9" ht="16.5">
      <c r="A11" s="3041" t="s">
        <v>2874</v>
      </c>
      <c r="B11" s="3044"/>
      <c r="C11" s="3042"/>
      <c r="D11" s="3042"/>
      <c r="E11" s="3042"/>
      <c r="F11" s="3042"/>
    </row>
    <row r="12" spans="1:9" ht="16.5">
      <c r="A12" s="3042"/>
      <c r="B12" s="3042"/>
      <c r="C12" s="3042"/>
      <c r="D12" s="3042"/>
      <c r="E12" s="3042"/>
      <c r="F12" s="3042"/>
    </row>
    <row r="13" spans="1:9" ht="33">
      <c r="A13" s="3047" t="s">
        <v>2873</v>
      </c>
      <c r="B13" s="3045" t="s">
        <v>2845</v>
      </c>
      <c r="C13" s="3045" t="s">
        <v>2846</v>
      </c>
      <c r="D13" s="3045" t="s">
        <v>2858</v>
      </c>
      <c r="E13" s="3041" t="s">
        <v>2872</v>
      </c>
      <c r="F13" s="3041" t="s">
        <v>2851</v>
      </c>
      <c r="G13" s="3045" t="s">
        <v>2859</v>
      </c>
      <c r="H13" s="3045" t="s">
        <v>2860</v>
      </c>
      <c r="I13" s="3045" t="s">
        <v>2861</v>
      </c>
    </row>
    <row r="14" spans="1:9" ht="16.5">
      <c r="A14" s="3048" t="s">
        <v>2871</v>
      </c>
      <c r="B14" s="3045">
        <f>结果表!L38</f>
        <v>165129.68</v>
      </c>
      <c r="C14" s="3045">
        <f>结果表!K38</f>
        <v>81664.259999999995</v>
      </c>
      <c r="D14" s="3045">
        <f ca="1">结果表!C42</f>
        <v>132418</v>
      </c>
      <c r="E14" s="3045">
        <f ca="1">ROUND(D14*10000/B14,0)</f>
        <v>8019</v>
      </c>
      <c r="F14" s="3045">
        <f ca="1">ROUND(D14*10000/C14,0)</f>
        <v>16215</v>
      </c>
      <c r="G14" s="3045">
        <f ca="1">结果表!C44</f>
        <v>129382</v>
      </c>
      <c r="H14" s="3045" t="str">
        <f>结果表!C45</f>
        <v>——</v>
      </c>
      <c r="I14" s="3045" t="str">
        <f>结果表!C46</f>
        <v>——</v>
      </c>
    </row>
    <row r="15" spans="1:9" ht="16.5">
      <c r="A15" s="3048" t="s">
        <v>2862</v>
      </c>
      <c r="B15" s="3049"/>
      <c r="C15" s="3049"/>
      <c r="D15" s="3049"/>
      <c r="E15" s="3045" t="e">
        <f t="shared" ref="E15:E23" si="2">ROUND(D15*10000/B15,0)</f>
        <v>#DIV/0!</v>
      </c>
      <c r="F15" s="3045" t="e">
        <f t="shared" ref="F15:F23" si="3">ROUND(D15*10000/C15,0)</f>
        <v>#DIV/0!</v>
      </c>
      <c r="G15" s="3046"/>
      <c r="H15" s="3046"/>
      <c r="I15" s="3049"/>
    </row>
    <row r="16" spans="1:9" ht="16.5">
      <c r="A16" s="3048" t="s">
        <v>2863</v>
      </c>
      <c r="B16" s="3049"/>
      <c r="C16" s="3049"/>
      <c r="D16" s="3049"/>
      <c r="E16" s="3045" t="e">
        <f t="shared" si="2"/>
        <v>#DIV/0!</v>
      </c>
      <c r="F16" s="3045" t="e">
        <f t="shared" si="3"/>
        <v>#DIV/0!</v>
      </c>
      <c r="G16" s="3046"/>
      <c r="H16" s="3046"/>
      <c r="I16" s="3049"/>
    </row>
    <row r="17" spans="1:9" ht="16.5">
      <c r="A17" s="3048" t="s">
        <v>2864</v>
      </c>
      <c r="B17" s="3049"/>
      <c r="C17" s="3049"/>
      <c r="D17" s="3049"/>
      <c r="E17" s="3045" t="e">
        <f t="shared" si="2"/>
        <v>#DIV/0!</v>
      </c>
      <c r="F17" s="3045" t="e">
        <f t="shared" si="3"/>
        <v>#DIV/0!</v>
      </c>
      <c r="G17" s="3046"/>
      <c r="H17" s="3046"/>
      <c r="I17" s="3049"/>
    </row>
    <row r="18" spans="1:9" ht="16.5">
      <c r="A18" s="3048" t="s">
        <v>2865</v>
      </c>
      <c r="B18" s="3049"/>
      <c r="C18" s="3049"/>
      <c r="D18" s="3049"/>
      <c r="E18" s="3045" t="e">
        <f t="shared" si="2"/>
        <v>#DIV/0!</v>
      </c>
      <c r="F18" s="3045" t="e">
        <f t="shared" si="3"/>
        <v>#DIV/0!</v>
      </c>
      <c r="G18" s="3049"/>
      <c r="H18" s="3049"/>
      <c r="I18" s="3049"/>
    </row>
    <row r="19" spans="1:9" ht="16.5">
      <c r="A19" s="3048" t="s">
        <v>2866</v>
      </c>
      <c r="B19" s="3049"/>
      <c r="C19" s="3049"/>
      <c r="D19" s="3049"/>
      <c r="E19" s="3045" t="e">
        <f t="shared" si="2"/>
        <v>#DIV/0!</v>
      </c>
      <c r="F19" s="3045" t="e">
        <f t="shared" si="3"/>
        <v>#DIV/0!</v>
      </c>
      <c r="G19" s="3049"/>
      <c r="H19" s="3049"/>
      <c r="I19" s="3049"/>
    </row>
    <row r="20" spans="1:9" ht="16.5">
      <c r="A20" s="3048" t="s">
        <v>2867</v>
      </c>
      <c r="B20" s="3049"/>
      <c r="C20" s="3049"/>
      <c r="D20" s="3049"/>
      <c r="E20" s="3045" t="e">
        <f t="shared" si="2"/>
        <v>#DIV/0!</v>
      </c>
      <c r="F20" s="3045" t="e">
        <f t="shared" si="3"/>
        <v>#DIV/0!</v>
      </c>
      <c r="G20" s="3049"/>
      <c r="H20" s="3049"/>
      <c r="I20" s="3049"/>
    </row>
    <row r="21" spans="1:9" ht="16.5">
      <c r="A21" s="3048" t="s">
        <v>2868</v>
      </c>
      <c r="B21" s="3049"/>
      <c r="C21" s="3049"/>
      <c r="D21" s="3049"/>
      <c r="E21" s="3045" t="e">
        <f t="shared" si="2"/>
        <v>#DIV/0!</v>
      </c>
      <c r="F21" s="3045" t="e">
        <f t="shared" si="3"/>
        <v>#DIV/0!</v>
      </c>
      <c r="G21" s="3049"/>
      <c r="H21" s="3049"/>
      <c r="I21" s="3049"/>
    </row>
    <row r="22" spans="1:9" ht="16.5">
      <c r="A22" s="3048" t="s">
        <v>2869</v>
      </c>
      <c r="B22" s="3049"/>
      <c r="C22" s="3049"/>
      <c r="D22" s="3049"/>
      <c r="E22" s="3045" t="e">
        <f t="shared" si="2"/>
        <v>#DIV/0!</v>
      </c>
      <c r="F22" s="3045" t="e">
        <f t="shared" si="3"/>
        <v>#DIV/0!</v>
      </c>
      <c r="G22" s="3049"/>
      <c r="H22" s="3049"/>
      <c r="I22" s="3049"/>
    </row>
    <row r="23" spans="1:9" ht="16.5">
      <c r="A23" s="3048" t="s">
        <v>2870</v>
      </c>
      <c r="B23" s="3049"/>
      <c r="C23" s="3049"/>
      <c r="D23" s="3049"/>
      <c r="E23" s="3041" t="e">
        <f t="shared" si="2"/>
        <v>#DIV/0!</v>
      </c>
      <c r="F23" s="3041" t="e">
        <f t="shared" si="3"/>
        <v>#DIV/0!</v>
      </c>
      <c r="G23" s="3049"/>
      <c r="H23" s="3049"/>
      <c r="I23" s="304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G30" sqref="G3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2056</v>
      </c>
      <c r="B1" s="1774"/>
      <c r="C1" s="1802" t="s">
        <v>2057</v>
      </c>
      <c r="D1" s="1803" t="s">
        <v>3017</v>
      </c>
      <c r="E1" s="1802" t="s">
        <v>2058</v>
      </c>
      <c r="F1" s="1804" t="s">
        <v>3018</v>
      </c>
      <c r="G1" s="309"/>
      <c r="H1" s="309"/>
      <c r="I1" s="309"/>
      <c r="J1" s="2026"/>
      <c r="K1" s="2026"/>
      <c r="L1" s="2026"/>
      <c r="M1" s="2026"/>
      <c r="N1" s="2026"/>
      <c r="O1" s="2026"/>
      <c r="P1" s="2026"/>
      <c r="Q1" s="2026"/>
      <c r="R1" s="2026"/>
      <c r="S1" s="2026"/>
      <c r="T1" s="2026"/>
      <c r="U1" s="2026"/>
      <c r="V1" s="2026"/>
    </row>
    <row r="2" spans="1:22" ht="21.75" customHeight="1" thickBot="1">
      <c r="A2" s="3318" t="str">
        <f>项目基本情况!K2</f>
        <v>北京市通州区西集镇西集村TZ07-0103-0029地块二类居住用地出让国有建设用地使用权</v>
      </c>
      <c r="B2" s="3319"/>
      <c r="C2" s="3320"/>
      <c r="D2" s="3320"/>
      <c r="E2" s="3320"/>
      <c r="F2" s="3320"/>
      <c r="G2" s="3319"/>
      <c r="H2" s="3319"/>
      <c r="I2" s="3321"/>
      <c r="J2" s="2027"/>
      <c r="K2" s="2026"/>
      <c r="L2" s="2026"/>
      <c r="M2" s="2026"/>
      <c r="N2" s="2026"/>
      <c r="O2" s="2026"/>
      <c r="P2" s="2026"/>
      <c r="Q2" s="2026"/>
      <c r="R2" s="2026"/>
      <c r="S2" s="2026"/>
      <c r="T2" s="2026"/>
      <c r="U2" s="2026"/>
      <c r="V2" s="2026"/>
    </row>
    <row r="3" spans="1:22" ht="14.25">
      <c r="A3" s="3311" t="s">
        <v>298</v>
      </c>
      <c r="B3" s="3312"/>
      <c r="C3" s="3312"/>
      <c r="D3" s="3312"/>
      <c r="E3" s="3312"/>
      <c r="F3" s="3312"/>
      <c r="G3" s="3312"/>
      <c r="H3" s="3312"/>
      <c r="I3" s="3312"/>
      <c r="J3" s="2027"/>
      <c r="K3" s="2026"/>
      <c r="L3" s="2026"/>
      <c r="M3" s="2026"/>
      <c r="N3" s="2026"/>
      <c r="O3" s="2026"/>
      <c r="P3" s="2026"/>
      <c r="Q3" s="2026"/>
      <c r="R3" s="2026"/>
      <c r="S3" s="2026"/>
      <c r="T3" s="2026"/>
      <c r="U3" s="2026"/>
      <c r="V3" s="2026"/>
    </row>
    <row r="4" spans="1:22" ht="14.25">
      <c r="A4" s="256" t="s">
        <v>299</v>
      </c>
      <c r="B4" s="257" t="s">
        <v>300</v>
      </c>
      <c r="C4" s="258" t="s">
        <v>3019</v>
      </c>
      <c r="D4" s="258" t="s">
        <v>3016</v>
      </c>
      <c r="E4" s="3283" t="s">
        <v>301</v>
      </c>
      <c r="F4" s="3284"/>
      <c r="G4" s="3284"/>
      <c r="H4" s="3284"/>
      <c r="I4" s="3313"/>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82" t="s">
        <v>302</v>
      </c>
      <c r="B5" s="3308">
        <v>25</v>
      </c>
      <c r="C5" s="3306"/>
      <c r="D5" s="3310"/>
      <c r="E5" s="259" t="s">
        <v>303</v>
      </c>
      <c r="F5" s="260"/>
      <c r="G5" s="260"/>
      <c r="H5" s="260"/>
      <c r="I5" s="261"/>
      <c r="J5" s="2027"/>
      <c r="K5" s="2026"/>
      <c r="L5" s="2026"/>
      <c r="M5" s="2026"/>
      <c r="N5" s="2026"/>
      <c r="O5" s="2026"/>
      <c r="P5" s="2026"/>
      <c r="Q5" s="2026"/>
      <c r="R5" s="2026"/>
      <c r="S5" s="2026"/>
      <c r="T5" s="2026"/>
      <c r="U5" s="2026"/>
      <c r="V5" s="2026"/>
    </row>
    <row r="6" spans="1:22" ht="14.25">
      <c r="A6" s="3282"/>
      <c r="B6" s="3308"/>
      <c r="C6" s="3309"/>
      <c r="D6" s="3310"/>
      <c r="E6" s="259" t="s">
        <v>304</v>
      </c>
      <c r="F6" s="260"/>
      <c r="G6" s="260"/>
      <c r="H6" s="260"/>
      <c r="I6" s="261"/>
      <c r="J6" s="2027"/>
      <c r="K6" s="2026"/>
      <c r="L6" s="2026"/>
      <c r="M6" s="2026"/>
      <c r="N6" s="2026"/>
      <c r="O6" s="2026"/>
      <c r="P6" s="2026"/>
      <c r="Q6" s="2026"/>
      <c r="R6" s="2026"/>
      <c r="S6" s="2026"/>
      <c r="T6" s="2026"/>
      <c r="U6" s="2026"/>
      <c r="V6" s="2026"/>
    </row>
    <row r="7" spans="1:22" ht="14.25">
      <c r="A7" s="3282"/>
      <c r="B7" s="3308"/>
      <c r="C7" s="3307"/>
      <c r="D7" s="3310"/>
      <c r="E7" s="259" t="s">
        <v>305</v>
      </c>
      <c r="F7" s="260"/>
      <c r="G7" s="260"/>
      <c r="H7" s="260"/>
      <c r="I7" s="261"/>
      <c r="J7" s="2027"/>
      <c r="K7" s="2026"/>
      <c r="L7" s="2026"/>
      <c r="M7" s="2026"/>
      <c r="N7" s="2026"/>
      <c r="O7" s="2026"/>
      <c r="P7" s="2026"/>
      <c r="Q7" s="2026"/>
      <c r="R7" s="2026"/>
      <c r="S7" s="2026"/>
      <c r="T7" s="2026"/>
      <c r="U7" s="2026"/>
      <c r="V7" s="2026"/>
    </row>
    <row r="8" spans="1:22" ht="14.25">
      <c r="A8" s="3282" t="s">
        <v>306</v>
      </c>
      <c r="B8" s="3308">
        <v>15</v>
      </c>
      <c r="C8" s="3306"/>
      <c r="D8" s="3310"/>
      <c r="E8" s="259" t="s">
        <v>307</v>
      </c>
      <c r="F8" s="260"/>
      <c r="G8" s="260"/>
      <c r="H8" s="260"/>
      <c r="I8" s="261"/>
      <c r="J8" s="2027"/>
      <c r="K8" s="2026"/>
      <c r="L8" s="2026"/>
      <c r="M8" s="2026"/>
      <c r="N8" s="2026"/>
      <c r="O8" s="2026"/>
      <c r="P8" s="2026"/>
      <c r="Q8" s="2026"/>
      <c r="R8" s="2026"/>
      <c r="S8" s="2026"/>
      <c r="T8" s="2026"/>
      <c r="U8" s="2026"/>
      <c r="V8" s="2026"/>
    </row>
    <row r="9" spans="1:22" ht="14.25">
      <c r="A9" s="3282"/>
      <c r="B9" s="3308"/>
      <c r="C9" s="3307"/>
      <c r="D9" s="3310"/>
      <c r="E9" s="259" t="s">
        <v>308</v>
      </c>
      <c r="F9" s="260"/>
      <c r="G9" s="260"/>
      <c r="H9" s="260"/>
      <c r="I9" s="261"/>
      <c r="J9" s="2027"/>
      <c r="K9" s="2026"/>
      <c r="L9" s="2026"/>
      <c r="M9" s="2026"/>
      <c r="N9" s="2026"/>
      <c r="O9" s="2026"/>
      <c r="P9" s="2026"/>
      <c r="Q9" s="2026"/>
      <c r="R9" s="2026"/>
      <c r="S9" s="2026"/>
      <c r="T9" s="2026"/>
      <c r="U9" s="2026"/>
      <c r="V9" s="2026"/>
    </row>
    <row r="10" spans="1:22" ht="14.25">
      <c r="A10" s="3282" t="s">
        <v>309</v>
      </c>
      <c r="B10" s="3308">
        <v>15</v>
      </c>
      <c r="C10" s="3306"/>
      <c r="D10" s="3310"/>
      <c r="E10" s="259" t="s">
        <v>310</v>
      </c>
      <c r="F10" s="260"/>
      <c r="G10" s="260"/>
      <c r="H10" s="260"/>
      <c r="I10" s="261"/>
      <c r="J10" s="2027"/>
      <c r="K10" s="2026"/>
      <c r="L10" s="2026"/>
      <c r="M10" s="2026"/>
      <c r="N10" s="2026"/>
      <c r="O10" s="2026"/>
      <c r="P10" s="2026"/>
      <c r="Q10" s="2026"/>
      <c r="R10" s="2026"/>
      <c r="S10" s="2026"/>
      <c r="T10" s="2026"/>
      <c r="U10" s="2026"/>
      <c r="V10" s="2026"/>
    </row>
    <row r="11" spans="1:22" ht="14.25">
      <c r="A11" s="3282"/>
      <c r="B11" s="3308"/>
      <c r="C11" s="3307"/>
      <c r="D11" s="3310"/>
      <c r="E11" s="259" t="s">
        <v>311</v>
      </c>
      <c r="F11" s="260"/>
      <c r="G11" s="260"/>
      <c r="H11" s="260"/>
      <c r="I11" s="261"/>
      <c r="J11" s="2027"/>
      <c r="K11" s="2026"/>
      <c r="L11" s="2026"/>
      <c r="M11" s="2026"/>
      <c r="N11" s="2026"/>
      <c r="O11" s="2026"/>
      <c r="P11" s="2026"/>
      <c r="Q11" s="2026"/>
      <c r="R11" s="2026"/>
      <c r="S11" s="2026"/>
      <c r="T11" s="2026"/>
      <c r="U11" s="2026"/>
      <c r="V11" s="2026"/>
    </row>
    <row r="12" spans="1:22" ht="14.25">
      <c r="A12" s="3282" t="s">
        <v>312</v>
      </c>
      <c r="B12" s="3308">
        <v>15</v>
      </c>
      <c r="C12" s="3306"/>
      <c r="D12" s="3310"/>
      <c r="E12" s="259" t="s">
        <v>313</v>
      </c>
      <c r="F12" s="260"/>
      <c r="G12" s="260"/>
      <c r="H12" s="260"/>
      <c r="I12" s="261"/>
      <c r="J12" s="2027"/>
      <c r="K12" s="2026"/>
      <c r="L12" s="2026"/>
      <c r="M12" s="2026"/>
      <c r="N12" s="2026"/>
      <c r="O12" s="2026"/>
      <c r="P12" s="2026"/>
      <c r="Q12" s="2026"/>
      <c r="R12" s="2026"/>
      <c r="S12" s="2026"/>
      <c r="T12" s="2026"/>
      <c r="U12" s="2026"/>
      <c r="V12" s="2026"/>
    </row>
    <row r="13" spans="1:22" ht="14.25">
      <c r="A13" s="3282"/>
      <c r="B13" s="3308"/>
      <c r="C13" s="3307"/>
      <c r="D13" s="3310"/>
      <c r="E13" s="259" t="s">
        <v>314</v>
      </c>
      <c r="F13" s="260"/>
      <c r="G13" s="260"/>
      <c r="H13" s="260"/>
      <c r="I13" s="261"/>
      <c r="J13" s="2027"/>
      <c r="K13" s="2026"/>
      <c r="L13" s="2026"/>
      <c r="M13" s="2026"/>
      <c r="N13" s="2026"/>
      <c r="O13" s="2026"/>
      <c r="P13" s="2026"/>
      <c r="Q13" s="2026"/>
      <c r="R13" s="2026"/>
      <c r="S13" s="2026"/>
      <c r="T13" s="2026"/>
      <c r="U13" s="2026"/>
      <c r="V13" s="2026"/>
    </row>
    <row r="14" spans="1:22" ht="14.25">
      <c r="A14" s="3282" t="s">
        <v>315</v>
      </c>
      <c r="B14" s="3308">
        <v>30</v>
      </c>
      <c r="C14" s="3306">
        <v>5</v>
      </c>
      <c r="D14" s="3310">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282"/>
      <c r="B15" s="3308"/>
      <c r="C15" s="3309"/>
      <c r="D15" s="3310"/>
      <c r="E15" s="259" t="s">
        <v>317</v>
      </c>
      <c r="F15" s="260"/>
      <c r="G15" s="260"/>
      <c r="H15" s="260"/>
      <c r="I15" s="261"/>
      <c r="J15" s="2027"/>
      <c r="K15" s="2026"/>
      <c r="L15" s="2026"/>
      <c r="M15" s="2026"/>
      <c r="N15" s="2026"/>
      <c r="O15" s="2026"/>
      <c r="P15" s="2026"/>
      <c r="Q15" s="2026"/>
      <c r="R15" s="2026"/>
      <c r="S15" s="2026"/>
      <c r="T15" s="2026"/>
      <c r="U15" s="2026"/>
      <c r="V15" s="2026"/>
    </row>
    <row r="16" spans="1:22" ht="14.25">
      <c r="A16" s="3282"/>
      <c r="B16" s="3308"/>
      <c r="C16" s="3307"/>
      <c r="D16" s="3310"/>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144250</v>
      </c>
      <c r="D19" s="269">
        <f ca="1">SUMIF(INDIRECT("'"&amp;D4&amp;"'"&amp;"!A:A"),结果表!B19,INDIRECT("'"&amp;D4&amp;"'"&amp;"!B:B"))</f>
        <v>120585</v>
      </c>
      <c r="E19" s="266" t="s">
        <v>323</v>
      </c>
      <c r="F19" s="267" t="s">
        <v>322</v>
      </c>
      <c r="G19" s="270">
        <f ca="1">ROUND(C19*$C$18+D19*$D$18,0)</f>
        <v>132418</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8736</v>
      </c>
      <c r="D20" s="275">
        <f ca="1">SUMIF(INDIRECT("'"&amp;D4&amp;"'"&amp;"!A:A"),结果表!B20,INDIRECT("'"&amp;D4&amp;"'"&amp;"!B:B"))</f>
        <v>7302</v>
      </c>
      <c r="E20" s="272"/>
      <c r="F20" s="273" t="s">
        <v>325</v>
      </c>
      <c r="G20" s="276">
        <f ca="1">ROUND(C20*$C$18+D20*$D$18,0)</f>
        <v>8019</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17664</v>
      </c>
      <c r="D21" s="151">
        <f ca="1">SUMIF(INDIRECT("'"&amp;D4&amp;"'"&amp;"!A:A"),结果表!B21,INDIRECT("'"&amp;D4&amp;"'"&amp;"!B:B"))</f>
        <v>14766</v>
      </c>
      <c r="E21" s="272"/>
      <c r="F21" s="278" t="s">
        <v>327</v>
      </c>
      <c r="G21" s="280">
        <f ca="1">ROUND(C21*$C$18+D21*$D$18,0)</f>
        <v>16215</v>
      </c>
      <c r="H21" s="1249" t="s">
        <v>326</v>
      </c>
      <c r="I21" s="309"/>
      <c r="J21" s="2026"/>
      <c r="K21" s="2026"/>
      <c r="L21" s="2026"/>
      <c r="M21" s="2026"/>
      <c r="N21" s="2026"/>
      <c r="O21" s="2026"/>
      <c r="P21" s="2026"/>
      <c r="Q21" s="2026"/>
      <c r="R21" s="2026"/>
      <c r="S21" s="2026"/>
      <c r="T21" s="2026"/>
      <c r="U21" s="2026"/>
      <c r="V21" s="2026"/>
    </row>
    <row r="22" spans="1:26" ht="15.75" thickBot="1">
      <c r="A22" s="126" t="s">
        <v>328</v>
      </c>
      <c r="B22" s="1250"/>
      <c r="C22" s="1251"/>
      <c r="D22" s="281">
        <f ca="1">IF(C19&lt;D19,D19/C19-1,C19/D19-1)</f>
        <v>0.19625160675042497</v>
      </c>
      <c r="E22" s="282"/>
      <c r="F22" s="283"/>
      <c r="G22" s="284">
        <f ca="1">ROUND(G19/('数据-汇总表'!D3/666.67),0)</f>
        <v>1081</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288"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289"/>
      <c r="B25" s="1319" t="s">
        <v>331</v>
      </c>
      <c r="C25" s="288">
        <f>IF(B30=0,0,C30)</f>
        <v>0</v>
      </c>
      <c r="D25" s="289"/>
      <c r="E25" s="309"/>
      <c r="F25" s="309"/>
      <c r="G25" s="309"/>
      <c r="H25" s="309"/>
      <c r="I25" s="309"/>
      <c r="J25" s="2026"/>
      <c r="K25" s="1253" t="str">
        <f ca="1">项目基本情况!B16&amp;"国有建设用地使用权价格："&amp;O38&amp;"万元"</f>
        <v>出让国有建设用地使用权价格：132418万元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大写金额：人民币壹拾叁亿贰仟肆佰壹拾捌万元整</v>
      </c>
      <c r="L26" s="1250"/>
      <c r="M26" s="1250"/>
      <c r="N26" s="1250"/>
      <c r="O26" s="1249"/>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6" t="str">
        <f ca="1">"单位面积地价："&amp;M38&amp;"元/平方米"</f>
        <v>单位面积地价：16215元/平方米</v>
      </c>
      <c r="L27" s="1250"/>
      <c r="M27" s="1250"/>
      <c r="N27" s="1250"/>
      <c r="O27" s="1249"/>
      <c r="P27" s="2026"/>
      <c r="Q27" s="2026"/>
      <c r="R27" s="2026"/>
      <c r="S27" s="2026"/>
      <c r="T27" s="2026"/>
      <c r="U27" s="2026"/>
      <c r="V27" s="2026"/>
    </row>
    <row r="28" spans="1:26" ht="18.75" customHeight="1">
      <c r="A28" s="291"/>
      <c r="B28" s="292"/>
      <c r="C28" s="292"/>
      <c r="D28" s="293"/>
      <c r="E28" s="309"/>
      <c r="F28" s="309"/>
      <c r="G28" s="309"/>
      <c r="H28" s="309"/>
      <c r="I28" s="309"/>
      <c r="J28" s="2026"/>
      <c r="K28" s="1256" t="str">
        <f ca="1">"楼面地价："&amp;N38&amp;"元/平方米"</f>
        <v>楼面地价：8019元/平方米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抵押价格：129382万元</v>
      </c>
      <c r="L29" s="1250"/>
      <c r="M29" s="1250"/>
      <c r="N29" s="1250"/>
      <c r="O29" s="1249"/>
      <c r="P29" s="2026"/>
      <c r="V29" s="2026"/>
    </row>
    <row r="30" spans="1:26" ht="18.75" thickBot="1">
      <c r="A30" s="3126" t="s">
        <v>336</v>
      </c>
      <c r="B30" s="307"/>
      <c r="C30" s="307"/>
      <c r="D30" s="308"/>
      <c r="E30" s="3127" t="s">
        <v>2963</v>
      </c>
      <c r="F30" s="309"/>
      <c r="G30" s="309"/>
      <c r="H30" s="309"/>
      <c r="I30" s="309"/>
      <c r="J30" s="2026"/>
      <c r="K30" s="1256" t="str">
        <f ca="1">IF(K29="——","——","大写金额：人民币"&amp;NUMBERSTRING(INT(O39*10000),2)&amp;"元整")</f>
        <v>大写金额：人民币壹拾贰亿玖仟叁佰捌拾贰万元整</v>
      </c>
      <c r="L30" s="1250"/>
      <c r="M30" s="1250"/>
      <c r="N30" s="1250"/>
      <c r="O30" s="1249"/>
      <c r="P30" s="2026"/>
      <c r="V30" s="2026"/>
    </row>
    <row r="31" spans="1:26" ht="24"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75" thickBot="1">
      <c r="A32" s="266" t="s">
        <v>337</v>
      </c>
      <c r="B32" s="1379" t="s">
        <v>1689</v>
      </c>
      <c r="C32" s="1380">
        <f ca="1">G19-C24</f>
        <v>132418</v>
      </c>
      <c r="D32" s="1381" t="s">
        <v>1690</v>
      </c>
      <c r="E32" s="309"/>
      <c r="F32" s="309"/>
      <c r="G32" s="309"/>
      <c r="H32" s="309"/>
      <c r="I32" s="309"/>
      <c r="J32" s="2026"/>
      <c r="K32" s="2461" t="str">
        <f>IF(K31="——","——","大写金额：人民币"&amp;NUMBERSTRING(INT(O40*10000),2)&amp;"元整")</f>
        <v>——</v>
      </c>
      <c r="L32" s="2464"/>
      <c r="M32" s="2464"/>
      <c r="N32" s="2464"/>
      <c r="O32" s="2465"/>
      <c r="P32" s="2026"/>
      <c r="V32" s="2026"/>
    </row>
    <row r="33" spans="1:26" ht="18.75" thickBot="1">
      <c r="A33" s="296" t="s">
        <v>340</v>
      </c>
      <c r="B33" s="1382" t="s">
        <v>1691</v>
      </c>
      <c r="C33" s="262">
        <f ca="1">ROUND(C32*10000/'数据-汇总表'!E3,0)</f>
        <v>8019</v>
      </c>
      <c r="D33" s="1383" t="s">
        <v>1692</v>
      </c>
      <c r="E33" s="3288" t="s">
        <v>338</v>
      </c>
      <c r="F33" s="294" t="s">
        <v>339</v>
      </c>
      <c r="G33" s="295"/>
      <c r="H33" s="978"/>
      <c r="I33" s="1257"/>
      <c r="J33" s="2026"/>
      <c r="K33" s="1256" t="str">
        <f>IF(项目基本情况!E9="——","——","抵押净值："&amp;C46&amp;"万元")</f>
        <v>——</v>
      </c>
      <c r="L33" s="1250"/>
      <c r="M33" s="1250"/>
      <c r="N33" s="1250"/>
      <c r="O33" s="1249"/>
      <c r="P33" s="2026"/>
      <c r="V33" s="2026"/>
    </row>
    <row r="34" spans="1:26" s="1252" customFormat="1" ht="18.75" thickBot="1">
      <c r="A34" s="298"/>
      <c r="B34" s="1384" t="s">
        <v>1693</v>
      </c>
      <c r="C34" s="262">
        <f ca="1">ROUND(C32*10000/'数据-汇总表'!D3,0)</f>
        <v>16215</v>
      </c>
      <c r="D34" s="1385" t="s">
        <v>1692</v>
      </c>
      <c r="E34" s="3329"/>
      <c r="F34" s="127" t="s">
        <v>341</v>
      </c>
      <c r="G34" s="297"/>
      <c r="H34" s="105"/>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6"/>
      <c r="C35" s="1387">
        <f ca="1">ROUND(C32/('数据-汇总表'!D3/666.67),0)</f>
        <v>1081</v>
      </c>
      <c r="D35" s="1388" t="s">
        <v>1694</v>
      </c>
      <c r="E35" s="3330"/>
      <c r="F35" s="299" t="s">
        <v>342</v>
      </c>
      <c r="G35" s="980">
        <f>ROUND(E37+E38+E39,0)</f>
        <v>3036</v>
      </c>
      <c r="H35" s="979" t="s">
        <v>343</v>
      </c>
      <c r="I35" s="309"/>
      <c r="J35" s="2026"/>
      <c r="K35" s="3303" t="s">
        <v>350</v>
      </c>
      <c r="L35" s="3303" t="s">
        <v>351</v>
      </c>
      <c r="M35" s="1262" t="s">
        <v>352</v>
      </c>
      <c r="N35" s="3303" t="s">
        <v>353</v>
      </c>
      <c r="O35" s="3303" t="s">
        <v>354</v>
      </c>
      <c r="P35" s="2026"/>
      <c r="V35" s="2026"/>
    </row>
    <row r="36" spans="1:26" ht="16.5" customHeight="1">
      <c r="A36" s="301" t="s">
        <v>344</v>
      </c>
      <c r="B36" s="302" t="s">
        <v>333</v>
      </c>
      <c r="C36" s="303" t="s">
        <v>345</v>
      </c>
      <c r="D36" s="303" t="s">
        <v>346</v>
      </c>
      <c r="E36" s="304" t="s">
        <v>347</v>
      </c>
      <c r="F36" s="309"/>
      <c r="G36" s="309"/>
      <c r="H36" s="309"/>
      <c r="I36" s="309"/>
      <c r="J36" s="2028"/>
      <c r="K36" s="3304"/>
      <c r="L36" s="3304"/>
      <c r="M36" s="1264" t="s">
        <v>355</v>
      </c>
      <c r="N36" s="3304"/>
      <c r="O36" s="3304"/>
      <c r="P36" s="2026"/>
      <c r="V36" s="2026"/>
    </row>
    <row r="37" spans="1:26" ht="16.5" customHeight="1" thickBot="1">
      <c r="A37" s="1258" t="s">
        <v>348</v>
      </c>
      <c r="B37" s="305">
        <f>'数据-汇总表'!G21</f>
        <v>2000</v>
      </c>
      <c r="C37" s="292">
        <f>ROUND(12756*0.6*0.25,0)</f>
        <v>1913</v>
      </c>
      <c r="D37" s="3182">
        <v>3.0499999999999999E-2</v>
      </c>
      <c r="E37" s="293">
        <f>ROUND(B37*C37*(1+D37)/10000,2)</f>
        <v>394.27</v>
      </c>
      <c r="F37" s="309"/>
      <c r="G37" s="309"/>
      <c r="H37" s="309"/>
      <c r="I37" s="309"/>
      <c r="J37" s="2028"/>
      <c r="K37" s="3305"/>
      <c r="L37" s="3305"/>
      <c r="M37" s="1265"/>
      <c r="N37" s="3305"/>
      <c r="O37" s="3305"/>
      <c r="P37" s="2026"/>
      <c r="V37" s="2026"/>
    </row>
    <row r="38" spans="1:26" ht="16.5" customHeight="1" thickBot="1">
      <c r="A38" s="1258" t="s">
        <v>349</v>
      </c>
      <c r="B38" s="305">
        <f>'数据-汇总表'!G22</f>
        <v>39760</v>
      </c>
      <c r="C38" s="292">
        <f>ROUND(12756*0.15*0.25,0)</f>
        <v>478</v>
      </c>
      <c r="D38" s="3182">
        <v>3.0499999999999999E-2</v>
      </c>
      <c r="E38" s="293">
        <f>ROUND(B38*C38*(1+D38)/10000,2)</f>
        <v>1958.49</v>
      </c>
      <c r="F38" s="309"/>
      <c r="G38" s="309"/>
      <c r="H38" s="309"/>
      <c r="I38" s="309"/>
      <c r="J38" s="2028"/>
      <c r="K38" s="1266">
        <f>'数据-汇总表'!D3</f>
        <v>81664.259999999995</v>
      </c>
      <c r="L38" s="1267">
        <f>'数据-汇总表'!E3</f>
        <v>165129.68</v>
      </c>
      <c r="M38" s="1267">
        <f ca="1">C34</f>
        <v>16215</v>
      </c>
      <c r="N38" s="1267">
        <f ca="1">C33</f>
        <v>8019</v>
      </c>
      <c r="O38" s="1268">
        <f ca="1">C32</f>
        <v>132418</v>
      </c>
      <c r="P38" s="2026"/>
      <c r="V38" s="2026"/>
    </row>
    <row r="39" spans="1:26" ht="16.5" customHeight="1" thickBot="1">
      <c r="A39" s="1263"/>
      <c r="B39" s="306">
        <f>'数据-汇总表'!G23</f>
        <v>10390.44</v>
      </c>
      <c r="C39" s="292">
        <f>ROUND(12756*0.2*0.25,0)</f>
        <v>638</v>
      </c>
      <c r="D39" s="3182">
        <v>3.0499999999999999E-2</v>
      </c>
      <c r="E39" s="293">
        <f>ROUND(B39*C39*(1+D39)/10000,2)</f>
        <v>683.13</v>
      </c>
      <c r="F39" s="309"/>
      <c r="G39" s="309"/>
      <c r="H39" s="309"/>
      <c r="I39" s="309"/>
      <c r="J39" s="2028"/>
      <c r="K39" s="3348" t="str">
        <f>MID(A44,3,LEN(A44)-2)</f>
        <v>抵押价格</v>
      </c>
      <c r="L39" s="3349"/>
      <c r="M39" s="3349"/>
      <c r="N39" s="3350"/>
      <c r="O39" s="1390">
        <f ca="1">C44</f>
        <v>129382</v>
      </c>
      <c r="P39" s="2026"/>
      <c r="V39" s="2026"/>
    </row>
    <row r="40" spans="1:26" ht="19.5" thickBot="1">
      <c r="A40" s="104" t="s">
        <v>873</v>
      </c>
      <c r="B40" s="309"/>
      <c r="C40" s="309"/>
      <c r="D40" s="309"/>
      <c r="E40" s="309"/>
      <c r="F40" s="309"/>
      <c r="G40" s="309"/>
      <c r="H40" s="309"/>
      <c r="I40" s="309"/>
      <c r="J40" s="2028"/>
      <c r="K40" s="3348" t="str">
        <f t="shared" ref="K40:K41" si="0">MID(A45,3,LEN(A45)-2)</f>
        <v/>
      </c>
      <c r="L40" s="3349"/>
      <c r="M40" s="3349"/>
      <c r="N40" s="3350"/>
      <c r="O40" s="1390" t="str">
        <f>C45</f>
        <v>——</v>
      </c>
      <c r="P40" s="2026"/>
      <c r="V40" s="2026"/>
    </row>
    <row r="41" spans="1:26" ht="16.5" thickBot="1">
      <c r="A41" s="310" t="s">
        <v>356</v>
      </c>
      <c r="B41" s="311"/>
      <c r="C41" s="312" t="s">
        <v>357</v>
      </c>
      <c r="D41" s="313" t="s">
        <v>358</v>
      </c>
      <c r="E41" s="313" t="s">
        <v>359</v>
      </c>
      <c r="F41" s="314" t="s">
        <v>360</v>
      </c>
      <c r="G41" s="309"/>
      <c r="H41" s="309"/>
      <c r="I41" s="309"/>
      <c r="J41" s="2028"/>
      <c r="K41" s="3348" t="str">
        <f t="shared" si="0"/>
        <v/>
      </c>
      <c r="L41" s="3349"/>
      <c r="M41" s="3349"/>
      <c r="N41" s="3350"/>
      <c r="O41" s="1390" t="str">
        <f>C46</f>
        <v>——</v>
      </c>
      <c r="P41" s="2026"/>
      <c r="V41" s="2026"/>
    </row>
    <row r="42" spans="1:26" ht="29.25">
      <c r="A42" s="3290" t="s">
        <v>2068</v>
      </c>
      <c r="B42" s="3291"/>
      <c r="C42" s="262">
        <f ca="1">C32</f>
        <v>132418</v>
      </c>
      <c r="D42" s="315">
        <f ca="1">C33</f>
        <v>8019</v>
      </c>
      <c r="E42" s="315">
        <f ca="1">C34</f>
        <v>16215</v>
      </c>
      <c r="F42" s="316">
        <f ca="1">C35</f>
        <v>1081</v>
      </c>
      <c r="G42" s="309"/>
      <c r="H42" s="309"/>
      <c r="I42" s="317"/>
      <c r="J42" s="2028"/>
      <c r="K42" s="1269" t="s">
        <v>361</v>
      </c>
      <c r="L42" s="2045" t="s">
        <v>362</v>
      </c>
      <c r="M42" s="1270" t="s">
        <v>363</v>
      </c>
      <c r="N42" s="2046" t="s">
        <v>364</v>
      </c>
      <c r="O42" s="2047" t="s">
        <v>365</v>
      </c>
      <c r="P42" s="2026"/>
      <c r="V42" s="2026"/>
    </row>
    <row r="43" spans="1:26" ht="30">
      <c r="A43" s="3301" t="s">
        <v>2731</v>
      </c>
      <c r="B43" s="3302"/>
      <c r="C43" s="262">
        <f>IF(H33="正常操作",G33+G34+G35,G34+G35)</f>
        <v>3036</v>
      </c>
      <c r="D43" s="315" t="s">
        <v>43</v>
      </c>
      <c r="E43" s="315" t="s">
        <v>44</v>
      </c>
      <c r="F43" s="316" t="s">
        <v>44</v>
      </c>
      <c r="G43" s="2864" t="s">
        <v>952</v>
      </c>
      <c r="H43" s="309"/>
      <c r="I43" s="317"/>
      <c r="J43" s="2028"/>
      <c r="K43" s="1271" t="str">
        <f>C4</f>
        <v>比较法-住宅、综合</v>
      </c>
      <c r="L43" s="1272">
        <f ca="1">IF(L42="估价结果/万元",C19,C20)</f>
        <v>144250</v>
      </c>
      <c r="M43" s="1273">
        <f>C18</f>
        <v>0.5</v>
      </c>
      <c r="N43" s="1274">
        <f ca="1">IF(N42="测算结果/万元",G19,G20)</f>
        <v>132418</v>
      </c>
      <c r="O43" s="1275">
        <f ca="1">IF(O42="最终结果/万元",C32,C33)</f>
        <v>132418</v>
      </c>
      <c r="P43" s="2026"/>
      <c r="V43" s="2026"/>
    </row>
    <row r="44" spans="1:26" ht="30.75" thickBot="1">
      <c r="A44" s="3290" t="str">
        <f>IF(OR(项目基本情况!E8="抵押价格",项目基本情况!E8="已注销及未注销"),"3.抵押价格","——")</f>
        <v>3.抵押价格</v>
      </c>
      <c r="B44" s="3291"/>
      <c r="C44" s="262">
        <f ca="1">IF(A44="——","——",C42-C43)</f>
        <v>129382</v>
      </c>
      <c r="D44" s="315">
        <f ca="1">ROUND(C44*10000/'数据-汇总表'!E3,0)</f>
        <v>7835</v>
      </c>
      <c r="E44" s="315">
        <f ca="1">ROUND(C44*10000/'数据-汇总表'!D3,0)</f>
        <v>15843</v>
      </c>
      <c r="F44" s="316">
        <f ca="1">ROUND(C44/('数据-汇总表'!D3/666.67),0)</f>
        <v>1056</v>
      </c>
      <c r="G44" s="309"/>
      <c r="H44" s="309"/>
      <c r="I44" s="317"/>
      <c r="J44" s="2028"/>
      <c r="K44" s="1276" t="str">
        <f>D4</f>
        <v>剩余法-待开发</v>
      </c>
      <c r="L44" s="1277">
        <f ca="1">IF(L42="估价结果/万元",D19,D20)</f>
        <v>120585</v>
      </c>
      <c r="M44" s="1278">
        <f>D18</f>
        <v>0.5</v>
      </c>
      <c r="N44" s="1279"/>
      <c r="O44" s="1280"/>
      <c r="P44" s="2026"/>
      <c r="V44" s="2026"/>
    </row>
    <row r="45" spans="1:26" ht="15">
      <c r="A45" s="3296" t="str">
        <f>IF(项目基本情况!E8="已注销及未注销","4.抵押担保权已注销时的抵押价格",IF(项目基本情况!E8="已注销","3.抵押担保权已注销时的抵押价格","——"))</f>
        <v>——</v>
      </c>
      <c r="B45" s="3297"/>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292" t="str">
        <f>IF(项目基本情况!E9="抵押净值",IF(A45="——","4.抵押净值","5.抵押净值"),"——")</f>
        <v>——</v>
      </c>
      <c r="B46" s="3293"/>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本次评估估价师知悉的法定优先受偿款为人民币3036万元整。</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5"/>
      <c r="E61" s="215"/>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37" t="s">
        <v>374</v>
      </c>
      <c r="B63" s="3338"/>
      <c r="C63" s="3339"/>
      <c r="D63" s="339">
        <f ca="1">ROUND(C42*F63,0)</f>
        <v>79451</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298" t="s">
        <v>378</v>
      </c>
      <c r="B64" s="3299"/>
      <c r="C64" s="3299"/>
      <c r="D64" s="3299"/>
      <c r="E64" s="3299"/>
      <c r="F64" s="3299"/>
      <c r="G64" s="3300"/>
      <c r="H64" s="1286"/>
      <c r="I64" s="946"/>
      <c r="J64" s="1988"/>
      <c r="K64" s="1559"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294" t="s">
        <v>386</v>
      </c>
      <c r="B66" s="3295"/>
      <c r="C66" s="3295"/>
      <c r="D66" s="259">
        <f ca="1">IF(H66="情况1",0,IF(H66="情况2",D70,IF(H66="情况3",D71,IF(H66="情况4",D72))))</f>
        <v>4162</v>
      </c>
      <c r="E66" s="991" t="str">
        <f>IF(H66="情况4","(销售额-原购置价)×税（费）率","销售额×税（费）率")</f>
        <v>销售额×税（费）率</v>
      </c>
      <c r="F66" s="348">
        <f>IF(H66="情况1","免征",'数据-取费表'!B41)</f>
        <v>5.5000000000000007E-2</v>
      </c>
      <c r="G66" s="349" t="s">
        <v>387</v>
      </c>
      <c r="H66" s="191" t="s">
        <v>388</v>
      </c>
      <c r="I66" s="1286"/>
      <c r="J66" s="2032"/>
      <c r="K66" s="1289">
        <v>1</v>
      </c>
      <c r="L66" s="3352" t="s">
        <v>385</v>
      </c>
      <c r="M66" s="3353"/>
      <c r="N66" s="2456"/>
      <c r="O66" s="2457"/>
      <c r="P66" s="2458"/>
      <c r="Q66" s="2026"/>
      <c r="R66" s="2026"/>
      <c r="S66" s="2026"/>
      <c r="T66" s="2026"/>
      <c r="U66" s="2026"/>
      <c r="V66" s="2026"/>
    </row>
    <row r="67" spans="1:22" ht="25.5" customHeight="1">
      <c r="A67" s="350" t="s">
        <v>390</v>
      </c>
      <c r="B67" s="3285" t="s">
        <v>391</v>
      </c>
      <c r="C67" s="3285"/>
      <c r="D67" s="351">
        <v>0</v>
      </c>
      <c r="E67" s="41" t="s">
        <v>392</v>
      </c>
      <c r="F67" s="62" t="s">
        <v>21</v>
      </c>
      <c r="G67" s="3340"/>
      <c r="H67" s="309"/>
      <c r="I67" s="1290"/>
      <c r="J67" s="2033"/>
      <c r="K67" s="1974">
        <v>2</v>
      </c>
      <c r="L67" s="3351" t="s">
        <v>389</v>
      </c>
      <c r="M67" s="3351"/>
      <c r="N67" s="1323">
        <f>'数据-取费表'!B2</f>
        <v>43327</v>
      </c>
      <c r="O67" s="1323"/>
      <c r="P67" s="1323"/>
      <c r="Q67" s="2026"/>
      <c r="R67" s="2026"/>
      <c r="S67" s="2026"/>
      <c r="T67" s="2026"/>
      <c r="U67" s="2026"/>
      <c r="V67" s="2026"/>
    </row>
    <row r="68" spans="1:22" ht="25.5" customHeight="1">
      <c r="A68" s="352"/>
      <c r="B68" s="3285" t="s">
        <v>394</v>
      </c>
      <c r="C68" s="3285"/>
      <c r="D68" s="353"/>
      <c r="E68" s="77"/>
      <c r="F68" s="354"/>
      <c r="G68" s="3341"/>
      <c r="H68" s="309"/>
      <c r="I68" s="1290"/>
      <c r="J68" s="2033"/>
      <c r="K68" s="1974">
        <v>3</v>
      </c>
      <c r="L68" s="3351" t="s">
        <v>393</v>
      </c>
      <c r="M68" s="3351"/>
      <c r="N68" s="1291">
        <f ca="1">C42</f>
        <v>132418</v>
      </c>
      <c r="O68" s="1291"/>
      <c r="P68" s="1291"/>
      <c r="Q68" s="2026"/>
      <c r="R68" s="2026"/>
      <c r="S68" s="2026"/>
      <c r="T68" s="2026"/>
      <c r="U68" s="2026"/>
      <c r="V68" s="2026"/>
    </row>
    <row r="69" spans="1:22" ht="12" customHeight="1">
      <c r="A69" s="355"/>
      <c r="B69" s="3285" t="s">
        <v>395</v>
      </c>
      <c r="C69" s="3285"/>
      <c r="D69" s="356"/>
      <c r="E69" s="73"/>
      <c r="F69" s="354"/>
      <c r="G69" s="3342"/>
      <c r="H69" s="309"/>
      <c r="I69" s="1290"/>
      <c r="J69" s="2033"/>
      <c r="K69" s="1292">
        <v>4</v>
      </c>
      <c r="L69" s="3356" t="s">
        <v>2884</v>
      </c>
      <c r="M69" s="3357"/>
      <c r="N69" s="1293">
        <f ca="1">C44</f>
        <v>129382</v>
      </c>
      <c r="O69" s="1293"/>
      <c r="P69" s="1293"/>
      <c r="Q69" s="2026"/>
      <c r="R69" s="2026"/>
      <c r="S69" s="2026"/>
      <c r="T69" s="2026"/>
      <c r="U69" s="2026"/>
      <c r="V69" s="2026"/>
    </row>
    <row r="70" spans="1:22" ht="24" customHeight="1">
      <c r="A70" s="357" t="s">
        <v>396</v>
      </c>
      <c r="B70" s="3285" t="s">
        <v>397</v>
      </c>
      <c r="C70" s="3285"/>
      <c r="D70" s="356">
        <f ca="1">ROUND(D63*'数据-取费表'!B41/(1+'数据-取费表'!C42),0)</f>
        <v>4162</v>
      </c>
      <c r="E70" s="17" t="s">
        <v>398</v>
      </c>
      <c r="F70" s="358">
        <f>'数据-取费表'!B41</f>
        <v>5.5000000000000007E-2</v>
      </c>
      <c r="G70" s="359"/>
      <c r="H70" s="309"/>
      <c r="I70" s="1290"/>
      <c r="J70" s="2033"/>
      <c r="K70" s="3058"/>
      <c r="L70" s="3059"/>
      <c r="M70" s="3059"/>
      <c r="N70" s="3060" t="s">
        <v>2889</v>
      </c>
      <c r="O70" s="3059"/>
      <c r="P70" s="3061"/>
      <c r="Q70" s="2026"/>
      <c r="R70" s="2026"/>
      <c r="S70" s="2026"/>
      <c r="T70" s="2026"/>
      <c r="U70" s="2026"/>
      <c r="V70" s="2026"/>
    </row>
    <row r="71" spans="1:22" ht="12" customHeight="1">
      <c r="A71" s="357" t="s">
        <v>404</v>
      </c>
      <c r="B71" s="3286" t="s">
        <v>405</v>
      </c>
      <c r="C71" s="3287"/>
      <c r="D71" s="356">
        <f ca="1">ROUND(D63*'数据-取费表'!B41/(1+'数据-取费表'!C42),0)</f>
        <v>4162</v>
      </c>
      <c r="E71" s="17" t="s">
        <v>398</v>
      </c>
      <c r="F71" s="358">
        <f>'数据-取费表'!B41</f>
        <v>5.5000000000000007E-2</v>
      </c>
      <c r="G71" s="359"/>
      <c r="H71" s="309"/>
      <c r="I71" s="1290"/>
      <c r="J71" s="2033"/>
      <c r="K71" s="3057" t="s">
        <v>399</v>
      </c>
      <c r="L71" s="3358" t="s">
        <v>400</v>
      </c>
      <c r="M71" s="3358"/>
      <c r="N71" s="3057" t="s">
        <v>401</v>
      </c>
      <c r="O71" s="3057" t="s">
        <v>402</v>
      </c>
      <c r="P71" s="3057" t="s">
        <v>403</v>
      </c>
      <c r="Q71" s="2026"/>
      <c r="R71" s="2026"/>
      <c r="S71" s="2026"/>
      <c r="T71" s="2026"/>
      <c r="U71" s="2026"/>
      <c r="V71" s="2026"/>
    </row>
    <row r="72" spans="1:22" ht="12" customHeight="1">
      <c r="A72" s="357" t="s">
        <v>407</v>
      </c>
      <c r="B72" s="3286" t="s">
        <v>408</v>
      </c>
      <c r="C72" s="3287"/>
      <c r="D72" s="356">
        <f ca="1">C86</f>
        <v>4052</v>
      </c>
      <c r="E72" s="73" t="s">
        <v>409</v>
      </c>
      <c r="F72" s="358">
        <f>'数据-取费表'!B41</f>
        <v>5.5000000000000007E-2</v>
      </c>
      <c r="G72" s="359"/>
      <c r="H72" s="1296"/>
      <c r="I72" s="1290"/>
      <c r="J72" s="2033"/>
      <c r="K72" s="1974">
        <v>1</v>
      </c>
      <c r="L72" s="3333" t="s">
        <v>406</v>
      </c>
      <c r="M72" s="3333"/>
      <c r="N72" s="1294">
        <f ca="1">D66</f>
        <v>4162</v>
      </c>
      <c r="O72" s="1857" t="str">
        <f>E66</f>
        <v>销售额×税（费）率</v>
      </c>
      <c r="P72" s="1295">
        <f>F66</f>
        <v>5.5000000000000007E-2</v>
      </c>
      <c r="Q72" s="2026"/>
      <c r="R72" s="2026"/>
      <c r="S72" s="2026"/>
      <c r="T72" s="2026"/>
      <c r="U72" s="2026"/>
      <c r="V72" s="2026"/>
    </row>
    <row r="73" spans="1:22" ht="24" customHeight="1">
      <c r="A73" s="3327" t="s">
        <v>411</v>
      </c>
      <c r="B73" s="3295"/>
      <c r="C73" s="3295"/>
      <c r="D73" s="360">
        <f>IF(H73="个人住宅",0,ROUND(D63*I73,0))</f>
        <v>0</v>
      </c>
      <c r="E73" s="17" t="s">
        <v>412</v>
      </c>
      <c r="F73" s="358" t="str">
        <f>IF(H73="正常",I73,"免征")</f>
        <v>免征</v>
      </c>
      <c r="G73" s="359"/>
      <c r="H73" s="191" t="s">
        <v>2456</v>
      </c>
      <c r="I73" s="358">
        <f>'数据-取费表'!B49</f>
        <v>5.0000000000000001E-4</v>
      </c>
      <c r="J73" s="2033"/>
      <c r="K73" s="1974">
        <v>2</v>
      </c>
      <c r="L73" s="3333" t="s">
        <v>410</v>
      </c>
      <c r="M73" s="3333"/>
      <c r="N73" s="1294">
        <f t="shared" ref="N73:P74" si="1">D73</f>
        <v>0</v>
      </c>
      <c r="O73" s="1857" t="str">
        <f t="shared" si="1"/>
        <v>销售额×税（费）率</v>
      </c>
      <c r="P73" s="1295" t="str">
        <f t="shared" si="1"/>
        <v>免征</v>
      </c>
      <c r="Q73" s="2026"/>
      <c r="R73" s="2026"/>
      <c r="S73" s="2026"/>
      <c r="T73" s="2026"/>
      <c r="U73" s="2026"/>
      <c r="V73" s="2026"/>
    </row>
    <row r="74" spans="1:22" ht="24.75">
      <c r="A74" s="3327" t="s">
        <v>415</v>
      </c>
      <c r="B74" s="3295"/>
      <c r="C74" s="3295"/>
      <c r="D74" s="360">
        <f ca="1">IF(H74="个人住宅",D75,D76)</f>
        <v>44386</v>
      </c>
      <c r="E74" s="17" t="s">
        <v>416</v>
      </c>
      <c r="F74" s="358" t="str">
        <f>IF(H74="正常",F76,"免征")</f>
        <v>——</v>
      </c>
      <c r="G74" s="981" t="s">
        <v>417</v>
      </c>
      <c r="H74" s="361" t="s">
        <v>413</v>
      </c>
      <c r="I74" s="42"/>
      <c r="J74" s="2033"/>
      <c r="K74" s="1974">
        <v>3</v>
      </c>
      <c r="L74" s="3333" t="s">
        <v>414</v>
      </c>
      <c r="M74" s="3333"/>
      <c r="N74" s="1294">
        <f t="shared" ca="1" si="1"/>
        <v>44386</v>
      </c>
      <c r="O74" s="1857" t="str">
        <f t="shared" si="1"/>
        <v>增值额×税（费）率</v>
      </c>
      <c r="P74" s="1297" t="str">
        <f t="shared" si="1"/>
        <v>——</v>
      </c>
      <c r="Q74" s="2026"/>
      <c r="R74" s="2026"/>
      <c r="S74" s="2026"/>
      <c r="T74" s="2026"/>
      <c r="U74" s="2026"/>
      <c r="V74" s="2026"/>
    </row>
    <row r="75" spans="1:22" ht="24">
      <c r="A75" s="357" t="s">
        <v>418</v>
      </c>
      <c r="B75" s="3283" t="s">
        <v>419</v>
      </c>
      <c r="C75" s="3313"/>
      <c r="D75" s="362">
        <v>0</v>
      </c>
      <c r="E75" s="41" t="s">
        <v>420</v>
      </c>
      <c r="F75" s="363"/>
      <c r="G75" s="359"/>
      <c r="H75" s="42"/>
      <c r="I75" s="42"/>
      <c r="J75" s="2033"/>
      <c r="K75" s="3050">
        <f>IF(H77="非个人房产","",4)</f>
        <v>4</v>
      </c>
      <c r="L75" s="3333" t="str">
        <f>IF(H77="非个人房产","——","个人所得税")</f>
        <v>个人所得税</v>
      </c>
      <c r="M75" s="3333"/>
      <c r="N75" s="1298">
        <f ca="1">D77</f>
        <v>795</v>
      </c>
      <c r="O75" s="1870" t="str">
        <f>E77</f>
        <v>销售额×税（费）率</v>
      </c>
      <c r="P75" s="1299">
        <f>F77</f>
        <v>0.01</v>
      </c>
      <c r="Q75" s="2026"/>
      <c r="R75" s="2026"/>
      <c r="S75" s="2026"/>
      <c r="T75" s="2026"/>
      <c r="U75" s="2026"/>
      <c r="V75" s="2026"/>
    </row>
    <row r="76" spans="1:22" ht="24.75">
      <c r="A76" s="357" t="s">
        <v>396</v>
      </c>
      <c r="B76" s="3283" t="s">
        <v>422</v>
      </c>
      <c r="C76" s="3284"/>
      <c r="D76" s="360">
        <f ca="1">IF(H76="转让取得",C99,C115)</f>
        <v>44386</v>
      </c>
      <c r="E76" s="17" t="s">
        <v>423</v>
      </c>
      <c r="F76" s="53" t="s">
        <v>21</v>
      </c>
      <c r="G76" s="359"/>
      <c r="H76" s="361" t="s">
        <v>424</v>
      </c>
      <c r="I76" s="42"/>
      <c r="J76" s="2033"/>
      <c r="K76" s="3050" t="str">
        <f>IF(项目基本情况!K6="上海银行",IF(K75="",4,K75+1),"")</f>
        <v/>
      </c>
      <c r="L76" s="3344" t="str">
        <f>IF(项目基本情况!K6="上海银行","其他处置费用","")</f>
        <v/>
      </c>
      <c r="M76" s="3345"/>
      <c r="N76" s="1294" t="str">
        <f>IF(项目基本情况!K6="上海银行",N89,"")</f>
        <v/>
      </c>
      <c r="O76" s="3346" t="str">
        <f>IF(项目基本情况!K6="上海银行","包含处置中涉及的律师、诉讼、拍卖、评估等费用","")</f>
        <v/>
      </c>
      <c r="P76" s="3347"/>
      <c r="Q76" s="2026"/>
      <c r="R76" s="2026"/>
      <c r="S76" s="2026"/>
      <c r="T76" s="2026"/>
      <c r="U76" s="2026"/>
      <c r="V76" s="2026"/>
    </row>
    <row r="77" spans="1:22" ht="26.25" thickBot="1">
      <c r="A77" s="3335" t="s">
        <v>426</v>
      </c>
      <c r="B77" s="3336"/>
      <c r="C77" s="3336"/>
      <c r="D77" s="364">
        <f ca="1">IF(H77="非个人房产","——",IF(H77="个人住宅",0,ROUND(D63*I77,0)))</f>
        <v>795</v>
      </c>
      <c r="E77" s="365" t="str">
        <f>IF(H77="非个人房产","——","销售额×税（费）率")</f>
        <v>销售额×税（费）率</v>
      </c>
      <c r="F77" s="366">
        <f>IF(H77="非个人房产","——",IF(H77="个人住宅","免征",I77))</f>
        <v>0.01</v>
      </c>
      <c r="G77" s="982" t="s">
        <v>417</v>
      </c>
      <c r="H77" s="361" t="s">
        <v>2885</v>
      </c>
      <c r="I77" s="367">
        <v>0.01</v>
      </c>
      <c r="J77" s="2033"/>
      <c r="K77" s="3334">
        <f>IF(AND(K75="",K76=""),4,IF(项目基本情况!K6="上海银行",K76+1,K75+1))</f>
        <v>5</v>
      </c>
      <c r="L77" s="3333" t="s">
        <v>2886</v>
      </c>
      <c r="M77" s="3056" t="s">
        <v>421</v>
      </c>
      <c r="N77" s="1300"/>
      <c r="O77" s="1301">
        <f ca="1">SUMIF(N72:N76,"&lt;9e307")</f>
        <v>49343</v>
      </c>
      <c r="P77" s="1302"/>
      <c r="Q77" s="3054">
        <f ca="1">O77/N69</f>
        <v>0.38137453432471285</v>
      </c>
      <c r="R77" s="2026"/>
      <c r="S77" s="2026"/>
      <c r="T77" s="2026"/>
      <c r="U77" s="2026"/>
      <c r="V77" s="2026"/>
    </row>
    <row r="78" spans="1:22" ht="12" customHeight="1">
      <c r="A78" s="1303"/>
      <c r="B78" s="309"/>
      <c r="C78" s="309"/>
      <c r="D78" s="309"/>
      <c r="E78" s="42"/>
      <c r="F78" s="42"/>
      <c r="G78" s="42"/>
      <c r="H78" s="1001"/>
      <c r="I78" s="309"/>
      <c r="J78" s="2033"/>
      <c r="K78" s="3334"/>
      <c r="L78" s="3333"/>
      <c r="M78" s="3056" t="s">
        <v>425</v>
      </c>
      <c r="N78" s="1300"/>
      <c r="O78" s="1301" t="str">
        <f ca="1">NUMBERSTRING(INT(O77*10000),2)&amp;"元整"</f>
        <v>肆亿玖仟叁佰肆拾叁万元整</v>
      </c>
      <c r="P78" s="1302"/>
      <c r="Q78" s="2026"/>
      <c r="R78" s="2026"/>
      <c r="S78" s="2026"/>
      <c r="T78" s="2026"/>
      <c r="U78" s="2026"/>
      <c r="V78" s="2026"/>
    </row>
    <row r="79" spans="1:22" ht="13.5" thickBot="1">
      <c r="A79" s="3328" t="s">
        <v>427</v>
      </c>
      <c r="B79" s="3328"/>
      <c r="C79" s="3328"/>
      <c r="D79" s="3328"/>
      <c r="E79" s="3328"/>
      <c r="F79" s="42"/>
      <c r="G79" s="42"/>
      <c r="H79" s="1001"/>
      <c r="I79" s="309"/>
      <c r="J79" s="2033"/>
      <c r="K79" s="3354">
        <f>K77+1</f>
        <v>6</v>
      </c>
      <c r="L79" s="3333" t="s">
        <v>2887</v>
      </c>
      <c r="M79" s="3056" t="s">
        <v>421</v>
      </c>
      <c r="N79" s="1300"/>
      <c r="O79" s="1301">
        <f ca="1">N69-O77</f>
        <v>80039</v>
      </c>
      <c r="P79" s="1302"/>
      <c r="Q79" s="2026"/>
      <c r="R79" s="2026"/>
      <c r="S79" s="2026"/>
      <c r="T79" s="2026"/>
      <c r="U79" s="2026"/>
      <c r="V79" s="2026"/>
    </row>
    <row r="80" spans="1:22" ht="25.5">
      <c r="A80" s="3323" t="s">
        <v>428</v>
      </c>
      <c r="B80" s="3324"/>
      <c r="C80" s="992"/>
      <c r="D80" s="992" t="s">
        <v>429</v>
      </c>
      <c r="E80" s="368" t="s">
        <v>430</v>
      </c>
      <c r="F80" s="42"/>
      <c r="G80" s="42"/>
      <c r="H80" s="1001"/>
      <c r="I80" s="309"/>
      <c r="J80" s="2026"/>
      <c r="K80" s="3355"/>
      <c r="L80" s="3333"/>
      <c r="M80" s="3056" t="s">
        <v>425</v>
      </c>
      <c r="N80" s="1300"/>
      <c r="O80" s="1301" t="str">
        <f ca="1">NUMBERSTRING(INT(O79*10000),2)&amp;"元整"</f>
        <v>捌亿零叁拾玖万元整</v>
      </c>
      <c r="P80" s="1302"/>
      <c r="Q80" s="2026"/>
      <c r="R80" s="2026"/>
      <c r="S80" s="2026"/>
      <c r="T80" s="2026"/>
      <c r="U80" s="2026"/>
      <c r="V80" s="2026"/>
    </row>
    <row r="81" spans="1:26" ht="13.5" thickBot="1">
      <c r="A81" s="379" t="s">
        <v>1824</v>
      </c>
      <c r="B81" s="369" t="s">
        <v>431</v>
      </c>
      <c r="C81" s="370">
        <f ca="1">ROUND((C82+C83)/(1+'数据-取费表'!C42),0)</f>
        <v>75668</v>
      </c>
      <c r="D81" s="371"/>
      <c r="E81" s="372"/>
      <c r="F81" s="42"/>
      <c r="G81" s="42"/>
      <c r="H81" s="1001"/>
      <c r="I81" s="309"/>
      <c r="J81" s="2026"/>
      <c r="K81" s="3050">
        <f>K79+1</f>
        <v>7</v>
      </c>
      <c r="L81" s="3331" t="s">
        <v>2888</v>
      </c>
      <c r="M81" s="3332"/>
      <c r="N81" s="1304"/>
      <c r="O81" s="1305">
        <f ca="1">ROUND(O79*10000/'数据-汇总表'!E3,0)</f>
        <v>4847</v>
      </c>
      <c r="P81" s="1306"/>
      <c r="Q81" s="2026"/>
      <c r="R81" s="2026"/>
      <c r="S81" s="2026"/>
      <c r="T81" s="2026"/>
      <c r="U81" s="2026"/>
      <c r="V81" s="2026"/>
    </row>
    <row r="82" spans="1:26" ht="13.5" thickTop="1">
      <c r="A82" s="373" t="s">
        <v>1825</v>
      </c>
      <c r="B82" s="374" t="s">
        <v>432</v>
      </c>
      <c r="C82" s="375">
        <f ca="1">D63</f>
        <v>79451</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2"/>
      <c r="G83" s="42"/>
      <c r="H83" s="1001"/>
      <c r="I83" s="309"/>
      <c r="J83" s="2026"/>
      <c r="K83" s="3343" t="s">
        <v>2875</v>
      </c>
      <c r="L83" s="3062" t="s">
        <v>2876</v>
      </c>
      <c r="M83" s="3052">
        <f ca="1">IF(N69&gt;10000,N69*0.5%,IF(AND(N69&gt;1000,N69&lt;=10000),N69*1%,IF(AND(N69&gt;100,N69&lt;=1000),N69*3%,IF(AND(N69&gt;10,N69&lt;=100),N69*5%,N69*8%))))</f>
        <v>646.91</v>
      </c>
      <c r="N83" s="53">
        <f ca="1">ROUND(M83,1)</f>
        <v>646.9</v>
      </c>
      <c r="O83" s="3055"/>
      <c r="P83" s="2026"/>
      <c r="Q83" s="2026"/>
      <c r="R83" s="2026"/>
      <c r="S83" s="2026"/>
      <c r="T83" s="2026"/>
      <c r="U83" s="2026"/>
      <c r="V83" s="2026"/>
    </row>
    <row r="84" spans="1:26" ht="12.75">
      <c r="A84" s="379" t="s">
        <v>1827</v>
      </c>
      <c r="B84" s="380" t="s">
        <v>434</v>
      </c>
      <c r="C84" s="381">
        <v>2000</v>
      </c>
      <c r="D84" s="382" t="s">
        <v>19</v>
      </c>
      <c r="E84" s="3097" t="s">
        <v>2935</v>
      </c>
      <c r="F84" s="42"/>
      <c r="G84" s="42"/>
      <c r="H84" s="1001"/>
      <c r="I84" s="309"/>
      <c r="J84" s="2026"/>
      <c r="K84" s="3343"/>
      <c r="L84" s="3062" t="s">
        <v>2877</v>
      </c>
      <c r="M84" s="3052">
        <f ca="1">IF(N69&gt;2000,N69*0.5%,IF(AND(N69&gt;1000,N69&lt;=2000),N69*0.6%,IF(AND(N69&gt;500,N69&lt;=1000),N69*0.7%,IF(AND(N69&gt;200,N69&lt;=500),N69*0.8%,IF(AND(N69&gt;100,N69&lt;=200),N69*0.9%,IF(AND(N69&gt;50,N69&lt;=100),N69*1%,IF(AND(N69&gt;20,N69&lt;=50),N69*1.5%,IF(AND(N69&gt;10,N69&lt;=20),N69*2%,IF(AND(N69&gt;1,N69&lt;=10),N69*2.5%)))))))))</f>
        <v>646.91</v>
      </c>
      <c r="N84" s="53">
        <f t="shared" ref="N84:N85" ca="1" si="2">ROUND(M84,1)</f>
        <v>646.9</v>
      </c>
      <c r="O84" s="2026" t="s">
        <v>2878</v>
      </c>
      <c r="P84" s="2026"/>
      <c r="Q84" s="2026"/>
      <c r="R84" s="2026"/>
      <c r="S84" s="2026"/>
      <c r="T84" s="2026"/>
      <c r="U84" s="2026"/>
      <c r="V84" s="2026"/>
    </row>
    <row r="85" spans="1:26" ht="12.75">
      <c r="A85" s="379" t="s">
        <v>1828</v>
      </c>
      <c r="B85" s="380" t="s">
        <v>435</v>
      </c>
      <c r="C85" s="383">
        <f ca="1">C81-C84</f>
        <v>73668</v>
      </c>
      <c r="D85" s="376" t="s">
        <v>19</v>
      </c>
      <c r="E85" s="377"/>
      <c r="F85" s="42"/>
      <c r="G85" s="42"/>
      <c r="H85" s="1001"/>
      <c r="I85" s="309"/>
      <c r="J85" s="2026"/>
      <c r="K85" s="3343"/>
      <c r="L85" s="3062" t="s">
        <v>2879</v>
      </c>
      <c r="M85" s="3052">
        <f ca="1">IF(N69&gt;1000,N69*0.1%,IF(AND(N69&gt;500,N69&lt;=1000),N69*0.5%,IF(AND(N69&gt;50,N69&lt;=500),N69*1%,IF(AND(N69&gt;1,N69&lt;=50),N69*1.5%))))</f>
        <v>129.38200000000001</v>
      </c>
      <c r="N85" s="53">
        <f t="shared" ca="1" si="2"/>
        <v>129.4</v>
      </c>
      <c r="O85" s="2026" t="s">
        <v>2878</v>
      </c>
      <c r="P85" s="2026"/>
      <c r="Q85" s="2026"/>
      <c r="R85" s="2026"/>
      <c r="S85" s="2026"/>
      <c r="T85" s="2026"/>
      <c r="U85" s="2026"/>
      <c r="V85" s="2026"/>
    </row>
    <row r="86" spans="1:26" ht="13.5" thickBot="1">
      <c r="A86" s="384" t="s">
        <v>1829</v>
      </c>
      <c r="B86" s="385" t="s">
        <v>436</v>
      </c>
      <c r="C86" s="386">
        <f ca="1">IF(C85&lt;=0,0,ROUND(C85*D86,0))</f>
        <v>4052</v>
      </c>
      <c r="D86" s="387">
        <f>'数据-取费表'!B41</f>
        <v>5.5000000000000007E-2</v>
      </c>
      <c r="E86" s="388"/>
      <c r="F86" s="42"/>
      <c r="G86" s="42"/>
      <c r="H86" s="1001"/>
      <c r="I86" s="309"/>
      <c r="J86" s="2026"/>
      <c r="K86" s="3343"/>
      <c r="L86" s="3062" t="s">
        <v>2880</v>
      </c>
      <c r="M86" s="3052">
        <f ca="1">N69*0.5%</f>
        <v>646.91</v>
      </c>
      <c r="N86" s="53">
        <f ca="1">IF(M86&gt;0.5,0.5,ROUND(M86,0))</f>
        <v>0.5</v>
      </c>
      <c r="O86" s="2026" t="s">
        <v>2881</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3343"/>
      <c r="L87" s="3062" t="s">
        <v>2882</v>
      </c>
      <c r="M87" s="3052">
        <f ca="1">IF(N69&gt;=10000,(8.25+(N69-10000)*0.01%),IF(AND(N69&gt;=8000,N69&lt;10000),(7.85+(N69-8000)*0.02%),IF(AND(N69&gt;=5000,N69&lt;8000),(6.65+(N69-5000)*0.04%),IF(AND(N69&gt;=2000,N69&lt;5000),(4.25+(PN69-2000)*0.08%),IF(AND(N69&gt;=1000,N69&lt;2000),(2.75+(N69-1000)*0.15%),IF(AND(N69&gt;=100,N69&lt;1000),(0.5+(N69-100)*0.25%),IF(AND(N69&gt;0,N69&lt;100),N69*0.5%)))))))</f>
        <v>20.188200000000002</v>
      </c>
      <c r="N87" s="53">
        <f ca="1">ROUND(M87*0.9,1)</f>
        <v>18.2</v>
      </c>
      <c r="O87" s="3055"/>
      <c r="P87" s="309"/>
      <c r="Q87" s="2026"/>
      <c r="R87" s="2026"/>
      <c r="S87" s="2026"/>
      <c r="T87" s="2026"/>
      <c r="U87" s="2026"/>
      <c r="V87" s="2026"/>
      <c r="W87" s="290"/>
      <c r="X87" s="290"/>
      <c r="Y87" s="290"/>
      <c r="Z87" s="290"/>
    </row>
    <row r="88" spans="1:26" s="1312" customFormat="1" ht="15" thickBot="1">
      <c r="A88" s="3325" t="s">
        <v>437</v>
      </c>
      <c r="B88" s="3326"/>
      <c r="C88" s="3326"/>
      <c r="D88" s="3326"/>
      <c r="E88" s="3326"/>
      <c r="F88" s="3326"/>
      <c r="G88" s="3326"/>
      <c r="H88" s="3326"/>
      <c r="I88" s="1313"/>
      <c r="J88" s="2034"/>
      <c r="K88" s="3343"/>
      <c r="L88" s="3062" t="s">
        <v>2883</v>
      </c>
      <c r="M88" s="3052">
        <f ca="1">IF(N69&gt;10000,N69*0.5%,IF(AND(N69&gt;5000,N69&lt;=10000),N69*1%,IF(AND(N69&gt;1000,N69&lt;=5000),N69*2%,IF(AND(N69&gt;200,N69&lt;=1000),N69*3%,N69*5%))))</f>
        <v>646.91</v>
      </c>
      <c r="N88" s="53">
        <f ca="1">ROUND(M88,1)</f>
        <v>646.9</v>
      </c>
      <c r="O88" s="3055"/>
      <c r="P88" s="11"/>
      <c r="Q88" s="2031"/>
      <c r="R88" s="2031"/>
      <c r="S88" s="2031"/>
      <c r="T88" s="2031"/>
      <c r="U88" s="2031"/>
      <c r="V88" s="2031"/>
      <c r="W88" s="2035"/>
      <c r="X88" s="2035"/>
      <c r="Y88" s="2035"/>
      <c r="Z88" s="2035"/>
    </row>
    <row r="89" spans="1:26" s="1312" customFormat="1" ht="14.25">
      <c r="A89" s="3323" t="s">
        <v>428</v>
      </c>
      <c r="B89" s="3324"/>
      <c r="C89" s="992"/>
      <c r="D89" s="992" t="s">
        <v>429</v>
      </c>
      <c r="E89" s="389" t="s">
        <v>438</v>
      </c>
      <c r="F89" s="390"/>
      <c r="G89" s="390"/>
      <c r="H89" s="391"/>
      <c r="I89" s="1314"/>
      <c r="J89" s="2036"/>
      <c r="K89" s="3343"/>
      <c r="L89" s="3062" t="s">
        <v>27</v>
      </c>
      <c r="M89" s="3053"/>
      <c r="N89" s="53">
        <f ca="1">ROUND(SUM(N83:N88),0)</f>
        <v>2089</v>
      </c>
      <c r="O89" s="3063">
        <f ca="1">N89/N69</f>
        <v>1.6145986304122676E-2</v>
      </c>
      <c r="P89" s="2031"/>
      <c r="Q89" s="2031"/>
      <c r="R89" s="2031"/>
      <c r="S89" s="2031"/>
      <c r="T89" s="2031"/>
      <c r="U89" s="2031"/>
      <c r="V89" s="2031"/>
      <c r="W89" s="2035"/>
      <c r="X89" s="2035"/>
      <c r="Y89" s="2035"/>
      <c r="Z89" s="2035"/>
    </row>
    <row r="90" spans="1:26" s="1312" customFormat="1" ht="14.25">
      <c r="A90" s="379" t="s">
        <v>1824</v>
      </c>
      <c r="B90" s="380" t="s">
        <v>439</v>
      </c>
      <c r="C90" s="383">
        <f ca="1">ROUND(D63/(1+'数据-取费表'!C42),0)</f>
        <v>75668</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1830</v>
      </c>
      <c r="B91" s="346" t="s">
        <v>440</v>
      </c>
      <c r="C91" s="383">
        <f ca="1">C92+C96</f>
        <v>2939</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1833</v>
      </c>
      <c r="B94" s="398" t="s">
        <v>446</v>
      </c>
      <c r="C94" s="376">
        <f>IF(F93="购房发票",ROUND(C93*H93*5%,0),0)</f>
        <v>500</v>
      </c>
      <c r="D94" s="399">
        <v>0.05</v>
      </c>
      <c r="E94" s="3286" t="s">
        <v>447</v>
      </c>
      <c r="F94" s="3285"/>
      <c r="G94" s="3285"/>
      <c r="H94" s="3322"/>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2430</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1835</v>
      </c>
      <c r="B96" s="374" t="s">
        <v>450</v>
      </c>
      <c r="C96" s="403">
        <f ca="1">ROUND(D63*D96/(1+'数据-取费表'!C42),0)</f>
        <v>378</v>
      </c>
      <c r="D96" s="404">
        <f>'数据-取费表'!B43</f>
        <v>5.000000000000001E-3</v>
      </c>
      <c r="E96" s="3314" t="s">
        <v>2429</v>
      </c>
      <c r="F96" s="3315"/>
      <c r="G96" s="3315"/>
      <c r="H96" s="3316"/>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1836</v>
      </c>
      <c r="B97" s="380" t="s">
        <v>451</v>
      </c>
      <c r="C97" s="383">
        <f ca="1">C90-C91</f>
        <v>72729</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1837</v>
      </c>
      <c r="B98" s="380" t="s">
        <v>452</v>
      </c>
      <c r="C98" s="405">
        <f ca="1">IF(C97&lt;=0,0,C97/C91)</f>
        <v>24.746172167403881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1838</v>
      </c>
      <c r="B99" s="385" t="s">
        <v>453</v>
      </c>
      <c r="C99" s="406">
        <f ca="1">ROUND(IF(C97&lt;=0,0,IF(C98&gt;=200%,C97*60%-C91*35%,IF(C98&gt;=100%,C97*50%-C91*15%,IF(C98&gt;=50%,C97*40%-C91*5%,IF(C98&lt;50%,C97*30%,0))))),0)</f>
        <v>42609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25" t="s">
        <v>454</v>
      </c>
      <c r="B101" s="3326"/>
      <c r="C101" s="3326"/>
      <c r="D101" s="3326"/>
      <c r="E101" s="3326"/>
      <c r="F101" s="3326"/>
      <c r="G101" s="3326"/>
      <c r="H101" s="3326"/>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23" t="s">
        <v>428</v>
      </c>
      <c r="B102" s="3324"/>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1824</v>
      </c>
      <c r="B103" s="380" t="s">
        <v>439</v>
      </c>
      <c r="C103" s="383">
        <f ca="1">ROUND(D63/(1+'数据-取费表'!C42),0)</f>
        <v>75668</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1830</v>
      </c>
      <c r="B104" s="346" t="s">
        <v>440</v>
      </c>
      <c r="C104" s="383">
        <f ca="1">IF(H106="仅含出让金",C105+C108+C109+C110+C111+C112,C105+C109+C110+C111+C112)</f>
        <v>1068</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1831</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1832</v>
      </c>
      <c r="B106" s="374" t="s">
        <v>456</v>
      </c>
      <c r="C106" s="414">
        <v>555</v>
      </c>
      <c r="D106" s="404"/>
      <c r="E106" s="415" t="s">
        <v>457</v>
      </c>
      <c r="F106" s="984"/>
      <c r="G106" s="416" t="s">
        <v>458</v>
      </c>
      <c r="H106" s="417"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1839</v>
      </c>
      <c r="B109" s="374" t="s">
        <v>461</v>
      </c>
      <c r="C109" s="403">
        <f>IF(H109="——",IF(F1="现房",'剩余法-现房'!C18,'剩余法-待开发'!C18),I109)</f>
        <v>55</v>
      </c>
      <c r="D109" s="404"/>
      <c r="E109" s="3317" t="s">
        <v>462</v>
      </c>
      <c r="F109" s="3315"/>
      <c r="G109" s="3315"/>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1840</v>
      </c>
      <c r="B110" s="374" t="s">
        <v>463</v>
      </c>
      <c r="C110" s="403">
        <f>ROUND((C105+C108+C109)*D110,0)</f>
        <v>63</v>
      </c>
      <c r="D110" s="404">
        <v>0.1</v>
      </c>
      <c r="E110" s="3317" t="s">
        <v>464</v>
      </c>
      <c r="F110" s="3315"/>
      <c r="G110" s="3315"/>
      <c r="H110" s="3316"/>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1841</v>
      </c>
      <c r="B111" s="374" t="s">
        <v>450</v>
      </c>
      <c r="C111" s="403">
        <f ca="1">ROUND(D63*D111/(1+'数据-取费表'!C42),0)</f>
        <v>378</v>
      </c>
      <c r="D111" s="404">
        <f>'数据-取费表'!B43</f>
        <v>5.000000000000001E-3</v>
      </c>
      <c r="E111" s="3314" t="s">
        <v>2429</v>
      </c>
      <c r="F111" s="3315"/>
      <c r="G111" s="3315"/>
      <c r="H111" s="3316"/>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1842</v>
      </c>
      <c r="B112" s="374" t="s">
        <v>465</v>
      </c>
      <c r="C112" s="403">
        <f>ROUND(C108*D112,0)</f>
        <v>0</v>
      </c>
      <c r="D112" s="404">
        <v>0.2</v>
      </c>
      <c r="E112" s="3317" t="s">
        <v>2454</v>
      </c>
      <c r="F112" s="3315"/>
      <c r="G112" s="3315"/>
      <c r="H112" s="3316"/>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1836</v>
      </c>
      <c r="B113" s="380" t="s">
        <v>451</v>
      </c>
      <c r="C113" s="383">
        <f ca="1">ROUND(C103-C104,0)</f>
        <v>74600</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1837</v>
      </c>
      <c r="B114" s="380" t="s">
        <v>452</v>
      </c>
      <c r="C114" s="405">
        <f ca="1">IF(C113&lt;=0,0,C113/C104)</f>
        <v>69.850187265917597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1838</v>
      </c>
      <c r="B115" s="385" t="s">
        <v>453</v>
      </c>
      <c r="C115" s="406">
        <f ca="1">ROUND(IF(C113&lt;=0,0,IF(C114&gt;=200%,C113*60%-C104*35%,IF(C114&gt;=100%,C113*50%-C104*15%,IF(C114&gt;=50%,C113*40%-C104*5%,IF(C114&lt;50%,C113*30%,0))))),0)</f>
        <v>44386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K18" sqref="K1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467</v>
      </c>
      <c r="B2" s="506">
        <f>F68</f>
        <v>144250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1685</v>
      </c>
      <c r="B3" s="508">
        <f>ROUND(B2*10000/'数据-汇总表'!E3,0)</f>
        <v>8736</v>
      </c>
      <c r="C3" s="2059"/>
      <c r="D3" s="2568"/>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30" s="1334" customFormat="1" ht="28.5" customHeight="1">
      <c r="A4" s="509" t="s">
        <v>520</v>
      </c>
      <c r="B4" s="425">
        <f>IF(B48="单位面积地价",C50,ROUND(B2*10000/'数据-汇总表'!D3,0))</f>
        <v>17664</v>
      </c>
      <c r="C4" s="2059"/>
      <c r="D4" s="2568"/>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1178</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6"/>
    </row>
    <row r="6" spans="1:30" ht="20.25">
      <c r="A6" s="510" t="s">
        <v>521</v>
      </c>
      <c r="B6" s="511"/>
      <c r="C6" s="3368" t="s">
        <v>522</v>
      </c>
      <c r="D6" s="3369"/>
      <c r="E6" s="3368" t="s">
        <v>523</v>
      </c>
      <c r="F6" s="3369"/>
      <c r="G6" s="3368" t="s">
        <v>524</v>
      </c>
      <c r="H6" s="3369"/>
      <c r="I6" s="3368" t="s">
        <v>525</v>
      </c>
      <c r="J6" s="3369"/>
      <c r="K6" s="512" t="s">
        <v>526</v>
      </c>
      <c r="L6" s="2131"/>
      <c r="M6" s="2130"/>
      <c r="N6" s="2130"/>
      <c r="O6" s="2132"/>
      <c r="P6" s="3370" t="s">
        <v>527</v>
      </c>
      <c r="Q6" s="3371"/>
      <c r="R6" s="3376" t="s">
        <v>523</v>
      </c>
      <c r="S6" s="3377"/>
      <c r="T6" s="3376" t="s">
        <v>524</v>
      </c>
      <c r="U6" s="3377"/>
      <c r="V6" s="3363" t="s">
        <v>525</v>
      </c>
      <c r="W6" s="3363"/>
      <c r="X6" s="1565"/>
      <c r="Y6" s="3376" t="s">
        <v>527</v>
      </c>
      <c r="Z6" s="3377"/>
      <c r="AA6" s="3365" t="s">
        <v>523</v>
      </c>
      <c r="AB6" s="3366" t="s">
        <v>524</v>
      </c>
      <c r="AC6" s="3365" t="s">
        <v>525</v>
      </c>
    </row>
    <row r="7" spans="1:30" ht="48" customHeight="1">
      <c r="A7" s="513"/>
      <c r="B7" s="514"/>
      <c r="C7" s="3386" t="s">
        <v>2922</v>
      </c>
      <c r="D7" s="3385"/>
      <c r="E7" s="3384" t="s">
        <v>3021</v>
      </c>
      <c r="F7" s="3385"/>
      <c r="G7" s="3384" t="s">
        <v>3027</v>
      </c>
      <c r="H7" s="3385"/>
      <c r="I7" s="3384" t="s">
        <v>3029</v>
      </c>
      <c r="J7" s="3385"/>
      <c r="K7" s="512"/>
      <c r="L7" s="2131"/>
      <c r="M7" s="2130"/>
      <c r="N7" s="2130"/>
      <c r="O7" s="2132"/>
      <c r="P7" s="3372"/>
      <c r="Q7" s="3373"/>
      <c r="R7" s="3378"/>
      <c r="S7" s="3379"/>
      <c r="T7" s="3378"/>
      <c r="U7" s="3379"/>
      <c r="V7" s="3363"/>
      <c r="W7" s="3363"/>
      <c r="X7" s="1565"/>
      <c r="Y7" s="3378"/>
      <c r="Z7" s="3379"/>
      <c r="AA7" s="3366"/>
      <c r="AB7" s="3366"/>
      <c r="AC7" s="3366"/>
    </row>
    <row r="8" spans="1:30" ht="33" customHeight="1" thickBot="1">
      <c r="A8" s="513"/>
      <c r="B8" s="514"/>
      <c r="C8" s="3387" t="s">
        <v>2926</v>
      </c>
      <c r="D8" s="3388"/>
      <c r="E8" s="3389" t="s">
        <v>3020</v>
      </c>
      <c r="F8" s="3388"/>
      <c r="G8" s="3382" t="s">
        <v>3028</v>
      </c>
      <c r="H8" s="3383"/>
      <c r="I8" s="3382" t="s">
        <v>3030</v>
      </c>
      <c r="J8" s="3383"/>
      <c r="K8" s="512" t="s">
        <v>528</v>
      </c>
      <c r="L8" s="2131"/>
      <c r="M8" s="2130"/>
      <c r="N8" s="2130"/>
      <c r="O8" s="2132"/>
      <c r="P8" s="3374"/>
      <c r="Q8" s="3375"/>
      <c r="R8" s="3378"/>
      <c r="S8" s="3379"/>
      <c r="T8" s="3380"/>
      <c r="U8" s="3381"/>
      <c r="V8" s="3363"/>
      <c r="W8" s="3363"/>
      <c r="X8" s="1565"/>
      <c r="Y8" s="3380"/>
      <c r="Z8" s="3381"/>
      <c r="AA8" s="3367"/>
      <c r="AB8" s="3367"/>
      <c r="AC8" s="3367"/>
    </row>
    <row r="9" spans="1:30" s="1218" customFormat="1" ht="21" thickBot="1">
      <c r="A9" s="2909"/>
      <c r="B9" s="2916" t="s">
        <v>529</v>
      </c>
      <c r="C9" s="2908">
        <f>'数据-取费表'!B2</f>
        <v>43327</v>
      </c>
      <c r="D9" s="518">
        <v>100</v>
      </c>
      <c r="E9" s="519">
        <v>42999</v>
      </c>
      <c r="F9" s="520">
        <f>SUMIF(72:72,YEAR(E9)&amp;"-"&amp;INT((MONTH(E9)+2)/3),73:73)</f>
        <v>98</v>
      </c>
      <c r="G9" s="521">
        <v>42822</v>
      </c>
      <c r="H9" s="518">
        <f>SUMIF(72:72,YEAR(G9)&amp;"-"&amp;INT((MONTH(G9)+2)/3),73:73)</f>
        <v>97</v>
      </c>
      <c r="I9" s="521">
        <v>43137</v>
      </c>
      <c r="J9" s="518">
        <f>SUMIF(72:72,YEAR(I9)&amp;"-"&amp;INT((MONTH(I9)+2)/3),73:73)</f>
        <v>99</v>
      </c>
      <c r="K9" s="522"/>
      <c r="L9" s="2133"/>
      <c r="M9" s="2130"/>
      <c r="N9" s="2130"/>
      <c r="O9" s="2134"/>
      <c r="P9" s="3395" t="s">
        <v>530</v>
      </c>
      <c r="Q9" s="3397"/>
      <c r="R9" s="1566" t="s">
        <v>8</v>
      </c>
      <c r="S9" s="1567">
        <f t="shared" ref="S9:S17" si="0">F9</f>
        <v>98</v>
      </c>
      <c r="T9" s="1566" t="s">
        <v>8</v>
      </c>
      <c r="U9" s="1567">
        <f t="shared" ref="U9:U17" si="1">H9</f>
        <v>97</v>
      </c>
      <c r="V9" s="1566" t="s">
        <v>8</v>
      </c>
      <c r="W9" s="1567">
        <f t="shared" ref="W9:W17" si="2">J9</f>
        <v>99</v>
      </c>
      <c r="X9" s="1568"/>
      <c r="Y9" s="3395" t="s">
        <v>530</v>
      </c>
      <c r="Z9" s="3396"/>
      <c r="AA9" s="1569">
        <f>D9/F9</f>
        <v>1.0204081632653061</v>
      </c>
      <c r="AB9" s="1569">
        <f>D9/H9</f>
        <v>1.0309278350515463</v>
      </c>
      <c r="AC9" s="1569">
        <f>D9/J9</f>
        <v>1.0101010101010102</v>
      </c>
    </row>
    <row r="10" spans="1:30" s="1218" customFormat="1" ht="21" thickBot="1">
      <c r="A10" s="2910"/>
      <c r="B10" s="2917" t="s">
        <v>531</v>
      </c>
      <c r="C10" s="854" t="s">
        <v>532</v>
      </c>
      <c r="D10" s="518">
        <v>100</v>
      </c>
      <c r="E10" s="523" t="s">
        <v>3022</v>
      </c>
      <c r="F10" s="520">
        <f>SUMIF(75:75,E10,76:76)-SUMIF(75:75,C10,76:76)+100</f>
        <v>100</v>
      </c>
      <c r="G10" s="523" t="s">
        <v>3022</v>
      </c>
      <c r="H10" s="518">
        <f>SUMIF(75:75,G10,76:76)-SUMIF(75:75,C10,76:76)+100</f>
        <v>100</v>
      </c>
      <c r="I10" s="523" t="s">
        <v>3022</v>
      </c>
      <c r="J10" s="518">
        <f>SUMIF(75:75,I10,76:76)-SUMIF(75:75,C10,76:76)+100</f>
        <v>100</v>
      </c>
      <c r="K10" s="522"/>
      <c r="L10" s="2133"/>
      <c r="M10" s="2130"/>
      <c r="N10" s="2130"/>
      <c r="O10" s="2134"/>
      <c r="P10" s="3395" t="s">
        <v>533</v>
      </c>
      <c r="Q10" s="3396"/>
      <c r="R10" s="1566" t="s">
        <v>8</v>
      </c>
      <c r="S10" s="1567">
        <f t="shared" si="0"/>
        <v>100</v>
      </c>
      <c r="T10" s="1566" t="s">
        <v>8</v>
      </c>
      <c r="U10" s="1567">
        <f t="shared" si="1"/>
        <v>100</v>
      </c>
      <c r="V10" s="1566" t="s">
        <v>8</v>
      </c>
      <c r="W10" s="1567">
        <f t="shared" si="2"/>
        <v>100</v>
      </c>
      <c r="X10" s="1568"/>
      <c r="Y10" s="3395" t="s">
        <v>533</v>
      </c>
      <c r="Z10" s="3396"/>
      <c r="AA10" s="1569">
        <f t="shared" ref="AA10:AA47" si="3">D10/F10</f>
        <v>1</v>
      </c>
      <c r="AB10" s="1569">
        <f t="shared" ref="AB10:AB47" si="4">D10/H10</f>
        <v>1</v>
      </c>
      <c r="AC10" s="1569">
        <f t="shared" ref="AC10:AC47" si="5">D10/J10</f>
        <v>1</v>
      </c>
    </row>
    <row r="11" spans="1:30" s="1218" customFormat="1" ht="20.25">
      <c r="A11" s="2911"/>
      <c r="B11" s="2918" t="s">
        <v>2757</v>
      </c>
      <c r="C11" s="3183" t="s">
        <v>3023</v>
      </c>
      <c r="D11" s="252">
        <v>100</v>
      </c>
      <c r="E11" s="3183" t="s">
        <v>3023</v>
      </c>
      <c r="F11" s="252">
        <f>SUMIF(77:77,E11,78:78)-SUMIF(77:77,C11,78:78)+100</f>
        <v>100</v>
      </c>
      <c r="G11" s="3183" t="s">
        <v>3023</v>
      </c>
      <c r="H11" s="252">
        <f>SUMIF(77:77,G11,78:78)-SUMIF(77:77,C11,78:78)+100</f>
        <v>100</v>
      </c>
      <c r="I11" s="3183" t="s">
        <v>3023</v>
      </c>
      <c r="J11" s="252">
        <f>SUMIF(77:77,I11,78:78)-SUMIF(77:77,C11,78:78)+100</f>
        <v>100</v>
      </c>
      <c r="K11" s="522"/>
      <c r="L11" s="2133"/>
      <c r="M11" s="2130"/>
      <c r="N11" s="2130"/>
      <c r="O11" s="2135"/>
      <c r="P11" s="3362" t="s">
        <v>535</v>
      </c>
      <c r="Q11" s="1149" t="str">
        <f t="shared" ref="Q11:Q17" si="6">B11</f>
        <v>用途</v>
      </c>
      <c r="R11" s="1566" t="s">
        <v>8</v>
      </c>
      <c r="S11" s="1567">
        <f t="shared" si="0"/>
        <v>100</v>
      </c>
      <c r="T11" s="1566" t="s">
        <v>8</v>
      </c>
      <c r="U11" s="1567">
        <f t="shared" si="1"/>
        <v>100</v>
      </c>
      <c r="V11" s="1566" t="s">
        <v>8</v>
      </c>
      <c r="W11" s="1567">
        <f t="shared" si="2"/>
        <v>100</v>
      </c>
      <c r="X11" s="1568"/>
      <c r="Y11" s="3308" t="s">
        <v>536</v>
      </c>
      <c r="Z11" s="1148" t="str">
        <f t="shared" ref="Z11:Z17" si="7">Q11</f>
        <v>用途</v>
      </c>
      <c r="AA11" s="1569">
        <f t="shared" si="3"/>
        <v>1</v>
      </c>
      <c r="AB11" s="1569">
        <f t="shared" si="4"/>
        <v>1</v>
      </c>
      <c r="AC11" s="1569">
        <f t="shared" si="5"/>
        <v>1</v>
      </c>
    </row>
    <row r="12" spans="1:30" s="1336" customFormat="1" ht="27">
      <c r="A12" s="2912"/>
      <c r="B12" s="2917" t="s">
        <v>2758</v>
      </c>
      <c r="C12" s="908"/>
      <c r="D12" s="253">
        <v>100</v>
      </c>
      <c r="E12" s="527" t="s">
        <v>3025</v>
      </c>
      <c r="F12" s="253">
        <f>ROUND(100/'数据-取费表'!G16,0)</f>
        <v>100</v>
      </c>
      <c r="G12" s="527" t="s">
        <v>3025</v>
      </c>
      <c r="H12" s="253">
        <f>ROUND(100/'数据-取费表'!G16,0)</f>
        <v>100</v>
      </c>
      <c r="I12" s="527" t="s">
        <v>3025</v>
      </c>
      <c r="J12" s="253">
        <f>ROUND(100/'数据-取费表'!G16,0)</f>
        <v>100</v>
      </c>
      <c r="K12" s="529"/>
      <c r="L12" s="2136"/>
      <c r="M12" s="2130"/>
      <c r="N12" s="2130"/>
      <c r="O12" s="2137"/>
      <c r="P12" s="3362"/>
      <c r="Q12" s="1149" t="str">
        <f t="shared" si="6"/>
        <v>土地使用年限（年）</v>
      </c>
      <c r="R12" s="1566" t="s">
        <v>8</v>
      </c>
      <c r="S12" s="1567">
        <f t="shared" si="0"/>
        <v>100</v>
      </c>
      <c r="T12" s="1566" t="s">
        <v>8</v>
      </c>
      <c r="U12" s="1567">
        <f t="shared" si="1"/>
        <v>100</v>
      </c>
      <c r="V12" s="1566" t="s">
        <v>8</v>
      </c>
      <c r="W12" s="1567">
        <f t="shared" si="2"/>
        <v>100</v>
      </c>
      <c r="X12" s="1568"/>
      <c r="Y12" s="3308"/>
      <c r="Z12" s="1148" t="str">
        <f t="shared" si="7"/>
        <v>土地使用年限（年）</v>
      </c>
      <c r="AA12" s="1569">
        <f t="shared" si="3"/>
        <v>1</v>
      </c>
      <c r="AB12" s="1569">
        <f t="shared" si="4"/>
        <v>1</v>
      </c>
      <c r="AC12" s="1569">
        <f t="shared" si="5"/>
        <v>1</v>
      </c>
    </row>
    <row r="13" spans="1:30" ht="20.25">
      <c r="A13" s="2913"/>
      <c r="B13" s="2917" t="s">
        <v>2759</v>
      </c>
      <c r="C13" s="532">
        <f>'数据-汇总表'!I4</f>
        <v>1.2</v>
      </c>
      <c r="D13" s="253">
        <v>100</v>
      </c>
      <c r="E13" s="531">
        <v>2.5</v>
      </c>
      <c r="F13" s="253">
        <f>LOOKUP(E13,82:82,83:83)-LOOKUP(C13,82:82,83:83)+100</f>
        <v>94</v>
      </c>
      <c r="G13" s="532">
        <v>2.8</v>
      </c>
      <c r="H13" s="253">
        <f>LOOKUP(G13,82:82,83:83)-LOOKUP(C13,82:82,83:83)+100</f>
        <v>94</v>
      </c>
      <c r="I13" s="531">
        <v>2.5</v>
      </c>
      <c r="J13" s="253">
        <f>LOOKUP(I13,82:82,83:83)-LOOKUP(C13,82:82,83:83)+100</f>
        <v>94</v>
      </c>
      <c r="K13" s="533">
        <v>2</v>
      </c>
      <c r="L13" s="2138"/>
      <c r="M13" s="2130"/>
      <c r="N13" s="2130"/>
      <c r="O13" s="2139"/>
      <c r="P13" s="3362"/>
      <c r="Q13" s="1149" t="str">
        <f t="shared" si="6"/>
        <v>容积率</v>
      </c>
      <c r="R13" s="1566" t="s">
        <v>8</v>
      </c>
      <c r="S13" s="1567">
        <f t="shared" si="0"/>
        <v>94</v>
      </c>
      <c r="T13" s="1566" t="s">
        <v>8</v>
      </c>
      <c r="U13" s="1567">
        <f t="shared" si="1"/>
        <v>94</v>
      </c>
      <c r="V13" s="1566" t="s">
        <v>8</v>
      </c>
      <c r="W13" s="1567">
        <f t="shared" si="2"/>
        <v>94</v>
      </c>
      <c r="X13" s="1568"/>
      <c r="Y13" s="3308"/>
      <c r="Z13" s="1148" t="str">
        <f t="shared" si="7"/>
        <v>容积率</v>
      </c>
      <c r="AA13" s="1569">
        <f t="shared" si="3"/>
        <v>1.0638297872340425</v>
      </c>
      <c r="AB13" s="1569">
        <f t="shared" si="4"/>
        <v>1.0638297872340425</v>
      </c>
      <c r="AC13" s="1569">
        <f t="shared" si="5"/>
        <v>1.0638297872340425</v>
      </c>
    </row>
    <row r="14" spans="1:30" s="1218" customFormat="1" ht="21" thickBot="1">
      <c r="A14" s="2910"/>
      <c r="B14" s="2919" t="s">
        <v>2760</v>
      </c>
      <c r="C14" s="2906" t="s">
        <v>3064</v>
      </c>
      <c r="D14" s="536">
        <v>100</v>
      </c>
      <c r="E14" s="2906" t="s">
        <v>3064</v>
      </c>
      <c r="F14" s="253">
        <f>SUMIF(84:84,E14,85:85)-SUMIF(84:84,C14,85:85)+100</f>
        <v>100</v>
      </c>
      <c r="G14" s="2906" t="s">
        <v>3064</v>
      </c>
      <c r="H14" s="253">
        <f>SUMIF(84:84,G14,85:85)-SUMIF(84:84,C14,85:85)+100</f>
        <v>100</v>
      </c>
      <c r="I14" s="2906" t="s">
        <v>3064</v>
      </c>
      <c r="J14" s="253">
        <f>SUMIF(84:84,I14,85:85)-SUMIF(84:84,C14,85:85)+100</f>
        <v>100</v>
      </c>
      <c r="K14" s="529"/>
      <c r="L14" s="2133"/>
      <c r="M14" s="2130"/>
      <c r="N14" s="2130"/>
      <c r="O14" s="2135"/>
      <c r="P14" s="3362"/>
      <c r="Q14" s="1149" t="str">
        <f t="shared" si="6"/>
        <v>配建</v>
      </c>
      <c r="R14" s="1566" t="s">
        <v>8</v>
      </c>
      <c r="S14" s="1567">
        <f t="shared" si="0"/>
        <v>100</v>
      </c>
      <c r="T14" s="1566" t="s">
        <v>8</v>
      </c>
      <c r="U14" s="1567">
        <f t="shared" si="1"/>
        <v>100</v>
      </c>
      <c r="V14" s="1566" t="s">
        <v>8</v>
      </c>
      <c r="W14" s="1567">
        <f t="shared" si="2"/>
        <v>100</v>
      </c>
      <c r="X14" s="1568"/>
      <c r="Y14" s="3308"/>
      <c r="Z14" s="1148" t="str">
        <f t="shared" si="7"/>
        <v>配建</v>
      </c>
      <c r="AA14" s="1569">
        <f>D14/F14</f>
        <v>1</v>
      </c>
      <c r="AB14" s="1569">
        <f>D14/H14</f>
        <v>1</v>
      </c>
      <c r="AC14" s="1569">
        <f>D14/J14</f>
        <v>1</v>
      </c>
    </row>
    <row r="15" spans="1:30" ht="20.25"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62"/>
      <c r="Q15" s="1149">
        <f t="shared" si="6"/>
        <v>111</v>
      </c>
      <c r="R15" s="1566" t="s">
        <v>8</v>
      </c>
      <c r="S15" s="1567">
        <f t="shared" si="0"/>
        <v>100</v>
      </c>
      <c r="T15" s="1566" t="s">
        <v>8</v>
      </c>
      <c r="U15" s="1567">
        <f t="shared" si="1"/>
        <v>100</v>
      </c>
      <c r="V15" s="1566" t="s">
        <v>8</v>
      </c>
      <c r="W15" s="1567">
        <f t="shared" si="2"/>
        <v>100</v>
      </c>
      <c r="X15" s="1568"/>
      <c r="Y15" s="3308"/>
      <c r="Z15" s="1148">
        <f t="shared" si="7"/>
        <v>111</v>
      </c>
      <c r="AA15" s="1569">
        <f>D15/F15</f>
        <v>1</v>
      </c>
      <c r="AB15" s="1569">
        <f>D15/H15</f>
        <v>1</v>
      </c>
      <c r="AC15" s="1569">
        <f>D15/J15</f>
        <v>1</v>
      </c>
    </row>
    <row r="16" spans="1:30" ht="21"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62"/>
      <c r="Q16" s="1149">
        <f t="shared" si="6"/>
        <v>111</v>
      </c>
      <c r="R16" s="1566" t="s">
        <v>8</v>
      </c>
      <c r="S16" s="1567">
        <f t="shared" si="0"/>
        <v>100</v>
      </c>
      <c r="T16" s="1566" t="s">
        <v>8</v>
      </c>
      <c r="U16" s="1567">
        <f t="shared" si="1"/>
        <v>100</v>
      </c>
      <c r="V16" s="1566" t="s">
        <v>8</v>
      </c>
      <c r="W16" s="1567">
        <f t="shared" si="2"/>
        <v>100</v>
      </c>
      <c r="X16" s="1568"/>
      <c r="Y16" s="3308"/>
      <c r="Z16" s="1148">
        <f t="shared" si="7"/>
        <v>111</v>
      </c>
      <c r="AA16" s="1569">
        <f>D16/F16</f>
        <v>1</v>
      </c>
      <c r="AB16" s="1569">
        <f>D16/H16</f>
        <v>1</v>
      </c>
      <c r="AC16" s="1569">
        <f>D16/J16</f>
        <v>1</v>
      </c>
    </row>
    <row r="17" spans="1:29" ht="20.25">
      <c r="A17" s="2907" t="s">
        <v>2755</v>
      </c>
      <c r="B17" s="576" t="s">
        <v>295</v>
      </c>
      <c r="C17" s="546">
        <f>估价对象房地状况!C15</f>
        <v>0</v>
      </c>
      <c r="D17" s="549">
        <v>100</v>
      </c>
      <c r="E17" s="550"/>
      <c r="F17" s="547">
        <f>SUMIF(90:90,E18,91:91)-SUMIF(90:90,C18,91:91)+100</f>
        <v>105</v>
      </c>
      <c r="G17" s="548"/>
      <c r="H17" s="547">
        <f>SUMIF(90:90,G18,91:91)-SUMIF(90:90,C18,91:91)+100</f>
        <v>105</v>
      </c>
      <c r="I17" s="550"/>
      <c r="J17" s="547">
        <f>SUMIF(90:90,I18,91:91)-SUMIF(90:90,C18,91:91)+100</f>
        <v>105</v>
      </c>
      <c r="K17" s="3498">
        <v>5</v>
      </c>
      <c r="L17" s="2140"/>
      <c r="M17" s="2130"/>
      <c r="N17" s="2130"/>
      <c r="O17" s="2139"/>
      <c r="P17" s="3398" t="s">
        <v>540</v>
      </c>
      <c r="Q17" s="1570" t="str">
        <f t="shared" si="6"/>
        <v>居住社区成熟度</v>
      </c>
      <c r="R17" s="1571" t="s">
        <v>8</v>
      </c>
      <c r="S17" s="1572">
        <f t="shared" si="0"/>
        <v>105</v>
      </c>
      <c r="T17" s="1571" t="s">
        <v>8</v>
      </c>
      <c r="U17" s="1572">
        <f t="shared" si="1"/>
        <v>105</v>
      </c>
      <c r="V17" s="1571" t="s">
        <v>8</v>
      </c>
      <c r="W17" s="1572">
        <f t="shared" si="2"/>
        <v>105</v>
      </c>
      <c r="X17" s="1565"/>
      <c r="Y17" s="3398" t="s">
        <v>540</v>
      </c>
      <c r="Z17" s="1573" t="str">
        <f t="shared" si="7"/>
        <v>居住社区成熟度</v>
      </c>
      <c r="AA17" s="1574">
        <f t="shared" si="3"/>
        <v>0.95238095238095233</v>
      </c>
      <c r="AB17" s="1574">
        <f t="shared" si="4"/>
        <v>0.95238095238095233</v>
      </c>
      <c r="AC17" s="1574">
        <f t="shared" si="5"/>
        <v>0.95238095238095233</v>
      </c>
    </row>
    <row r="18" spans="1:29" ht="20.25">
      <c r="A18" s="530"/>
      <c r="B18" s="551"/>
      <c r="C18" s="552" t="s">
        <v>3042</v>
      </c>
      <c r="D18" s="555"/>
      <c r="E18" s="556" t="s">
        <v>3043</v>
      </c>
      <c r="F18" s="553"/>
      <c r="G18" s="556" t="s">
        <v>3043</v>
      </c>
      <c r="H18" s="557"/>
      <c r="I18" s="556" t="s">
        <v>3043</v>
      </c>
      <c r="J18" s="553"/>
      <c r="K18" s="529"/>
      <c r="L18" s="2140"/>
      <c r="M18" s="2130"/>
      <c r="N18" s="2130"/>
      <c r="O18" s="2139"/>
      <c r="P18" s="3399"/>
      <c r="Q18" s="1570"/>
      <c r="R18" s="1571"/>
      <c r="S18" s="1572"/>
      <c r="T18" s="1571"/>
      <c r="U18" s="1572"/>
      <c r="V18" s="1571"/>
      <c r="W18" s="1572"/>
      <c r="X18" s="1565"/>
      <c r="Y18" s="3399"/>
      <c r="Z18" s="1573"/>
      <c r="AA18" s="1574">
        <v>1</v>
      </c>
      <c r="AB18" s="1574">
        <v>1</v>
      </c>
      <c r="AC18" s="1574">
        <v>1</v>
      </c>
    </row>
    <row r="19" spans="1:29" ht="20.25">
      <c r="A19" s="530"/>
      <c r="B19" s="558" t="s">
        <v>541</v>
      </c>
      <c r="C19" s="559">
        <f>估价对象房地状况!C16</f>
        <v>0</v>
      </c>
      <c r="D19" s="561">
        <v>100</v>
      </c>
      <c r="E19" s="562"/>
      <c r="F19" s="557">
        <f>SUMIF(92:92,E20,93:93)-SUMIF(92:92,C20,93:93)+100</f>
        <v>105</v>
      </c>
      <c r="G19" s="560"/>
      <c r="H19" s="563">
        <f>SUMIF(92:92,G20,93:93)-SUMIF(92:92,C20,93:93)+100</f>
        <v>105</v>
      </c>
      <c r="I19" s="562"/>
      <c r="J19" s="563">
        <f>SUMIF(92:92,I20,93:93)-SUMIF(92:92,C20,93:93)+100</f>
        <v>105</v>
      </c>
      <c r="K19" s="3498">
        <v>5</v>
      </c>
      <c r="L19" s="2140"/>
      <c r="M19" s="2130"/>
      <c r="N19" s="2130"/>
      <c r="O19" s="2139"/>
      <c r="P19" s="3399"/>
      <c r="Q19" s="1570" t="str">
        <f>B19</f>
        <v>商业繁华度</v>
      </c>
      <c r="R19" s="1571" t="s">
        <v>8</v>
      </c>
      <c r="S19" s="1572">
        <f>F19</f>
        <v>105</v>
      </c>
      <c r="T19" s="1571" t="s">
        <v>8</v>
      </c>
      <c r="U19" s="1572">
        <f>H19</f>
        <v>105</v>
      </c>
      <c r="V19" s="1571" t="s">
        <v>8</v>
      </c>
      <c r="W19" s="1572">
        <f>J19</f>
        <v>105</v>
      </c>
      <c r="X19" s="1565"/>
      <c r="Y19" s="3399"/>
      <c r="Z19" s="1573" t="str">
        <f>Q19</f>
        <v>商业繁华度</v>
      </c>
      <c r="AA19" s="1574">
        <f t="shared" si="3"/>
        <v>0.95238095238095233</v>
      </c>
      <c r="AB19" s="1574">
        <f t="shared" si="4"/>
        <v>0.95238095238095233</v>
      </c>
      <c r="AC19" s="1574">
        <f t="shared" si="5"/>
        <v>0.95238095238095233</v>
      </c>
    </row>
    <row r="20" spans="1:29" ht="20.25">
      <c r="A20" s="530"/>
      <c r="B20" s="564"/>
      <c r="C20" s="3503" t="s">
        <v>3058</v>
      </c>
      <c r="D20" s="561"/>
      <c r="E20" s="3502" t="s">
        <v>3042</v>
      </c>
      <c r="F20" s="557"/>
      <c r="G20" s="3502" t="s">
        <v>3042</v>
      </c>
      <c r="H20" s="553"/>
      <c r="I20" s="3502" t="s">
        <v>3042</v>
      </c>
      <c r="J20" s="553"/>
      <c r="K20" s="529"/>
      <c r="L20" s="2140"/>
      <c r="M20" s="2130"/>
      <c r="N20" s="2130"/>
      <c r="O20" s="2139"/>
      <c r="P20" s="3399"/>
      <c r="Q20" s="1570"/>
      <c r="R20" s="1571"/>
      <c r="S20" s="1572"/>
      <c r="T20" s="1571"/>
      <c r="U20" s="1572"/>
      <c r="V20" s="1571"/>
      <c r="W20" s="1572"/>
      <c r="X20" s="1565"/>
      <c r="Y20" s="3399"/>
      <c r="Z20" s="1573"/>
      <c r="AA20" s="1574">
        <v>1</v>
      </c>
      <c r="AB20" s="1574">
        <v>1</v>
      </c>
      <c r="AC20" s="1574">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399"/>
      <c r="Q21" s="1570" t="str">
        <f>B21</f>
        <v>办公集聚程度</v>
      </c>
      <c r="R21" s="1571" t="s">
        <v>8</v>
      </c>
      <c r="S21" s="1572">
        <f>F21</f>
        <v>100</v>
      </c>
      <c r="T21" s="1571" t="s">
        <v>8</v>
      </c>
      <c r="U21" s="1572">
        <f>H21</f>
        <v>100</v>
      </c>
      <c r="V21" s="1571" t="s">
        <v>8</v>
      </c>
      <c r="W21" s="1572">
        <f>J21</f>
        <v>100</v>
      </c>
      <c r="X21" s="1565"/>
      <c r="Y21" s="3399"/>
      <c r="Z21" s="1573" t="str">
        <f>Q21</f>
        <v>办公集聚程度</v>
      </c>
      <c r="AA21" s="1574">
        <f t="shared" si="3"/>
        <v>1</v>
      </c>
      <c r="AB21" s="1574">
        <f t="shared" si="4"/>
        <v>1</v>
      </c>
      <c r="AC21" s="1574">
        <f t="shared" si="5"/>
        <v>1</v>
      </c>
    </row>
    <row r="22" spans="1:29" ht="20.25" hidden="1">
      <c r="A22" s="530"/>
      <c r="B22" s="564"/>
      <c r="C22" s="552"/>
      <c r="D22" s="555"/>
      <c r="E22" s="556"/>
      <c r="F22" s="553"/>
      <c r="G22" s="554"/>
      <c r="H22" s="553"/>
      <c r="I22" s="556"/>
      <c r="J22" s="553"/>
      <c r="K22" s="529"/>
      <c r="L22" s="2140"/>
      <c r="M22" s="2130"/>
      <c r="N22" s="2130"/>
      <c r="O22" s="2139"/>
      <c r="P22" s="3399"/>
      <c r="Q22" s="1570"/>
      <c r="R22" s="1571"/>
      <c r="S22" s="1572"/>
      <c r="T22" s="1571"/>
      <c r="U22" s="1572"/>
      <c r="V22" s="1571"/>
      <c r="W22" s="1572"/>
      <c r="X22" s="1565"/>
      <c r="Y22" s="3399"/>
      <c r="Z22" s="1573"/>
      <c r="AA22" s="1574">
        <v>1</v>
      </c>
      <c r="AB22" s="1574">
        <v>1</v>
      </c>
      <c r="AC22" s="1574">
        <v>1</v>
      </c>
    </row>
    <row r="23" spans="1:29" ht="20.25">
      <c r="A23" s="530"/>
      <c r="B23" s="558" t="s">
        <v>543</v>
      </c>
      <c r="C23" s="571">
        <f>估价对象房地状况!C18</f>
        <v>0</v>
      </c>
      <c r="D23" s="561">
        <v>100</v>
      </c>
      <c r="E23" s="562"/>
      <c r="F23" s="563">
        <f>SUMIF(96:96,E24,97:97)-SUMIF(96:96,C24,97:97)+100</f>
        <v>105</v>
      </c>
      <c r="G23" s="560"/>
      <c r="H23" s="557">
        <f>SUMIF(96:96,G24,97:97)-SUMIF(96:96,C24,97:97)+100</f>
        <v>105</v>
      </c>
      <c r="I23" s="562"/>
      <c r="J23" s="557">
        <f>SUMIF(96:96,I24,97:97)-SUMIF(96:96,C24,97:97)+100</f>
        <v>105</v>
      </c>
      <c r="K23" s="3498">
        <v>5</v>
      </c>
      <c r="L23" s="2140"/>
      <c r="M23" s="2130"/>
      <c r="N23" s="2130"/>
      <c r="O23" s="2139"/>
      <c r="P23" s="3399"/>
      <c r="Q23" s="1570" t="str">
        <f>B23</f>
        <v>交通便捷度</v>
      </c>
      <c r="R23" s="1571" t="s">
        <v>8</v>
      </c>
      <c r="S23" s="1572">
        <f>F23</f>
        <v>105</v>
      </c>
      <c r="T23" s="1571" t="s">
        <v>8</v>
      </c>
      <c r="U23" s="1572">
        <f>H23</f>
        <v>105</v>
      </c>
      <c r="V23" s="1571" t="s">
        <v>8</v>
      </c>
      <c r="W23" s="1572">
        <f>J23</f>
        <v>105</v>
      </c>
      <c r="X23" s="1565"/>
      <c r="Y23" s="3399"/>
      <c r="Z23" s="1573" t="str">
        <f>Q23</f>
        <v>交通便捷度</v>
      </c>
      <c r="AA23" s="1574">
        <f t="shared" si="3"/>
        <v>0.95238095238095233</v>
      </c>
      <c r="AB23" s="1574">
        <f t="shared" si="4"/>
        <v>0.95238095238095233</v>
      </c>
      <c r="AC23" s="1574">
        <f t="shared" si="5"/>
        <v>0.95238095238095233</v>
      </c>
    </row>
    <row r="24" spans="1:29" ht="20.25">
      <c r="A24" s="530"/>
      <c r="B24" s="576"/>
      <c r="C24" s="552" t="s">
        <v>3042</v>
      </c>
      <c r="D24" s="555"/>
      <c r="E24" s="556" t="s">
        <v>3043</v>
      </c>
      <c r="F24" s="553"/>
      <c r="G24" s="556" t="s">
        <v>3043</v>
      </c>
      <c r="H24" s="553"/>
      <c r="I24" s="556" t="s">
        <v>3043</v>
      </c>
      <c r="J24" s="553"/>
      <c r="K24" s="529"/>
      <c r="L24" s="2140"/>
      <c r="M24" s="2130"/>
      <c r="N24" s="2130"/>
      <c r="O24" s="2139"/>
      <c r="P24" s="3399"/>
      <c r="Q24" s="1570"/>
      <c r="R24" s="1571"/>
      <c r="S24" s="1572"/>
      <c r="T24" s="1571"/>
      <c r="U24" s="1572"/>
      <c r="V24" s="1571"/>
      <c r="W24" s="1572"/>
      <c r="X24" s="1565"/>
      <c r="Y24" s="3399"/>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40"/>
      <c r="M25" s="2130"/>
      <c r="N25" s="2130"/>
      <c r="O25" s="2139"/>
      <c r="P25" s="3399"/>
      <c r="Q25" s="1570" t="str">
        <f t="shared" ref="Q25:Q39" si="8">B25</f>
        <v>区域土地利用方向</v>
      </c>
      <c r="R25" s="1571" t="s">
        <v>8</v>
      </c>
      <c r="S25" s="1572">
        <f>F25</f>
        <v>100</v>
      </c>
      <c r="T25" s="1571" t="s">
        <v>8</v>
      </c>
      <c r="U25" s="1572">
        <f>H25</f>
        <v>100</v>
      </c>
      <c r="V25" s="1571" t="s">
        <v>8</v>
      </c>
      <c r="W25" s="1572">
        <f>J25</f>
        <v>100</v>
      </c>
      <c r="X25" s="1565"/>
      <c r="Y25" s="3399"/>
      <c r="Z25" s="1573" t="str">
        <f>Q25</f>
        <v>区域土地利用方向</v>
      </c>
      <c r="AA25" s="1574">
        <f t="shared" si="3"/>
        <v>1</v>
      </c>
      <c r="AB25" s="1574">
        <f t="shared" si="4"/>
        <v>1</v>
      </c>
      <c r="AC25" s="1574">
        <f t="shared" si="5"/>
        <v>1</v>
      </c>
    </row>
    <row r="26" spans="1:29" ht="20.25">
      <c r="A26" s="513"/>
      <c r="B26" s="1005"/>
      <c r="C26" s="552" t="s">
        <v>3043</v>
      </c>
      <c r="D26" s="555"/>
      <c r="E26" s="556" t="s">
        <v>3043</v>
      </c>
      <c r="F26" s="553"/>
      <c r="G26" s="556" t="s">
        <v>3043</v>
      </c>
      <c r="H26" s="553"/>
      <c r="I26" s="556" t="s">
        <v>3043</v>
      </c>
      <c r="J26" s="553"/>
      <c r="K26" s="529"/>
      <c r="L26" s="2140"/>
      <c r="M26" s="2130"/>
      <c r="N26" s="2130"/>
      <c r="O26" s="2139"/>
      <c r="P26" s="3399"/>
      <c r="Q26" s="1570"/>
      <c r="R26" s="1571"/>
      <c r="S26" s="1572"/>
      <c r="T26" s="1571"/>
      <c r="U26" s="1572"/>
      <c r="V26" s="1571"/>
      <c r="W26" s="1572"/>
      <c r="X26" s="1565"/>
      <c r="Y26" s="3399"/>
      <c r="Z26" s="1573"/>
      <c r="AA26" s="1574"/>
      <c r="AB26" s="1574"/>
      <c r="AC26" s="1574"/>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40"/>
      <c r="M27" s="2130"/>
      <c r="N27" s="2130"/>
      <c r="O27" s="2139"/>
      <c r="P27" s="3399"/>
      <c r="Q27" s="1570" t="str">
        <f t="shared" si="8"/>
        <v>自然及人文环境状况</v>
      </c>
      <c r="R27" s="1571" t="s">
        <v>8</v>
      </c>
      <c r="S27" s="1572">
        <f>F27</f>
        <v>100</v>
      </c>
      <c r="T27" s="1571" t="s">
        <v>8</v>
      </c>
      <c r="U27" s="1572">
        <f>H27</f>
        <v>100</v>
      </c>
      <c r="V27" s="1571" t="s">
        <v>8</v>
      </c>
      <c r="W27" s="1572">
        <f>J27</f>
        <v>100</v>
      </c>
      <c r="X27" s="1565"/>
      <c r="Y27" s="3399"/>
      <c r="Z27" s="1573" t="str">
        <f>Q27</f>
        <v>自然及人文环境状况</v>
      </c>
      <c r="AA27" s="1574">
        <f t="shared" si="3"/>
        <v>1</v>
      </c>
      <c r="AB27" s="1574">
        <f t="shared" si="4"/>
        <v>1</v>
      </c>
      <c r="AC27" s="1574">
        <f t="shared" si="5"/>
        <v>1</v>
      </c>
    </row>
    <row r="28" spans="1:29" ht="20.25">
      <c r="A28" s="513"/>
      <c r="B28" s="564"/>
      <c r="C28" s="552" t="s">
        <v>3042</v>
      </c>
      <c r="D28" s="555"/>
      <c r="E28" s="3502" t="s">
        <v>3042</v>
      </c>
      <c r="F28" s="553"/>
      <c r="G28" s="3502" t="s">
        <v>3042</v>
      </c>
      <c r="H28" s="553"/>
      <c r="I28" s="3502" t="s">
        <v>3042</v>
      </c>
      <c r="J28" s="553"/>
      <c r="K28" s="529"/>
      <c r="L28" s="2140"/>
      <c r="M28" s="2130"/>
      <c r="N28" s="2130"/>
      <c r="O28" s="2139"/>
      <c r="P28" s="3399"/>
      <c r="Q28" s="1570"/>
      <c r="R28" s="1571"/>
      <c r="S28" s="1572"/>
      <c r="T28" s="1571"/>
      <c r="U28" s="1572"/>
      <c r="V28" s="1571"/>
      <c r="W28" s="1572"/>
      <c r="X28" s="1565"/>
      <c r="Y28" s="3399"/>
      <c r="Z28" s="1573"/>
      <c r="AA28" s="1574">
        <v>1</v>
      </c>
      <c r="AB28" s="1574">
        <v>1</v>
      </c>
      <c r="AC28" s="1574">
        <v>1</v>
      </c>
    </row>
    <row r="29" spans="1:29" s="1218" customFormat="1" ht="20.25">
      <c r="A29" s="575"/>
      <c r="B29" s="2589" t="s">
        <v>2549</v>
      </c>
      <c r="C29" s="571">
        <f>估价对象房地状况!C21</f>
        <v>0</v>
      </c>
      <c r="D29" s="561">
        <v>100</v>
      </c>
      <c r="E29" s="562"/>
      <c r="F29" s="557">
        <f>SUMIF(102:102,E30,103:103)-SUMIF(102:102,C30,103:103)+100</f>
        <v>105</v>
      </c>
      <c r="G29" s="560"/>
      <c r="H29" s="557">
        <f>SUMIF(102:102,G30,103:103)-SUMIF(102:102,C30,103:103)+100</f>
        <v>105</v>
      </c>
      <c r="I29" s="562"/>
      <c r="J29" s="557">
        <f>SUMIF(102:102,I30,103:103)-SUMIF(102:102,C30,103:103)+100</f>
        <v>105</v>
      </c>
      <c r="K29" s="3498">
        <v>5</v>
      </c>
      <c r="L29" s="2133"/>
      <c r="M29" s="2130"/>
      <c r="N29" s="2130"/>
      <c r="O29" s="2135"/>
      <c r="P29" s="3399"/>
      <c r="Q29" s="1149" t="str">
        <f t="shared" si="8"/>
        <v>公共配套设施</v>
      </c>
      <c r="R29" s="1566" t="s">
        <v>8</v>
      </c>
      <c r="S29" s="1567">
        <f>F29</f>
        <v>105</v>
      </c>
      <c r="T29" s="1566" t="s">
        <v>8</v>
      </c>
      <c r="U29" s="1567">
        <f>H29</f>
        <v>105</v>
      </c>
      <c r="V29" s="1566" t="s">
        <v>8</v>
      </c>
      <c r="W29" s="1567">
        <f>J29</f>
        <v>105</v>
      </c>
      <c r="X29" s="1568"/>
      <c r="Y29" s="3399"/>
      <c r="Z29" s="1148" t="str">
        <f>Q29</f>
        <v>公共配套设施</v>
      </c>
      <c r="AA29" s="1574">
        <f>D29/F29</f>
        <v>0.95238095238095233</v>
      </c>
      <c r="AB29" s="1574">
        <f>D29/H29</f>
        <v>0.95238095238095233</v>
      </c>
      <c r="AC29" s="1574">
        <f>D29/J29</f>
        <v>0.95238095238095233</v>
      </c>
    </row>
    <row r="30" spans="1:29" s="1218" customFormat="1" ht="20.25">
      <c r="A30" s="575"/>
      <c r="B30" s="564"/>
      <c r="C30" s="577" t="s">
        <v>3058</v>
      </c>
      <c r="D30" s="555"/>
      <c r="E30" s="556" t="s">
        <v>3042</v>
      </c>
      <c r="F30" s="553"/>
      <c r="G30" s="556" t="s">
        <v>3042</v>
      </c>
      <c r="H30" s="553"/>
      <c r="I30" s="556" t="s">
        <v>3042</v>
      </c>
      <c r="J30" s="553"/>
      <c r="K30" s="529"/>
      <c r="L30" s="2133"/>
      <c r="M30" s="2130"/>
      <c r="N30" s="2130"/>
      <c r="O30" s="2135"/>
      <c r="P30" s="3399"/>
      <c r="Q30" s="1149"/>
      <c r="R30" s="1566"/>
      <c r="S30" s="1567"/>
      <c r="T30" s="1566"/>
      <c r="U30" s="1567"/>
      <c r="V30" s="1566"/>
      <c r="W30" s="1567"/>
      <c r="X30" s="1568"/>
      <c r="Y30" s="3399"/>
      <c r="Z30" s="1148"/>
      <c r="AA30" s="1574">
        <v>1</v>
      </c>
      <c r="AB30" s="1574">
        <v>1</v>
      </c>
      <c r="AC30" s="1574">
        <v>1</v>
      </c>
    </row>
    <row r="31" spans="1:29" s="1218" customFormat="1" ht="20.25">
      <c r="A31" s="575"/>
      <c r="B31" s="2589" t="s">
        <v>2550</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3"/>
      <c r="M31" s="2130"/>
      <c r="N31" s="2130"/>
      <c r="O31" s="2135"/>
      <c r="P31" s="3399"/>
      <c r="Q31" s="2576" t="str">
        <f t="shared" ref="Q31" si="9">B31</f>
        <v>基础设施水平</v>
      </c>
      <c r="R31" s="1566" t="s">
        <v>8</v>
      </c>
      <c r="S31" s="1567">
        <f>F31</f>
        <v>100</v>
      </c>
      <c r="T31" s="1566" t="s">
        <v>8</v>
      </c>
      <c r="U31" s="1567">
        <f>H31</f>
        <v>100</v>
      </c>
      <c r="V31" s="1566" t="s">
        <v>8</v>
      </c>
      <c r="W31" s="1567">
        <f>J31</f>
        <v>100</v>
      </c>
      <c r="X31" s="1568"/>
      <c r="Y31" s="3399"/>
      <c r="Z31" s="2573" t="str">
        <f>Q31</f>
        <v>基础设施水平</v>
      </c>
      <c r="AA31" s="1574">
        <f>D31/F31</f>
        <v>1</v>
      </c>
      <c r="AB31" s="1574">
        <f>D31/H31</f>
        <v>1</v>
      </c>
      <c r="AC31" s="1574">
        <f>D31/J31</f>
        <v>1</v>
      </c>
    </row>
    <row r="32" spans="1:29" s="1218" customFormat="1" ht="20.25">
      <c r="A32" s="575"/>
      <c r="B32" s="564"/>
      <c r="C32" s="577" t="s">
        <v>3033</v>
      </c>
      <c r="D32" s="555"/>
      <c r="E32" s="577" t="s">
        <v>3033</v>
      </c>
      <c r="F32" s="553"/>
      <c r="G32" s="577" t="s">
        <v>3033</v>
      </c>
      <c r="H32" s="553"/>
      <c r="I32" s="577" t="s">
        <v>3033</v>
      </c>
      <c r="J32" s="553"/>
      <c r="K32" s="529"/>
      <c r="L32" s="2133"/>
      <c r="M32" s="2130"/>
      <c r="N32" s="2130"/>
      <c r="O32" s="2135"/>
      <c r="P32" s="3399"/>
      <c r="Q32" s="2576"/>
      <c r="R32" s="1566"/>
      <c r="S32" s="1567"/>
      <c r="T32" s="1566"/>
      <c r="U32" s="1567"/>
      <c r="V32" s="1566"/>
      <c r="W32" s="1567"/>
      <c r="X32" s="1568"/>
      <c r="Y32" s="3399"/>
      <c r="Z32" s="2573"/>
      <c r="AA32" s="1574">
        <v>1</v>
      </c>
      <c r="AB32" s="1574">
        <v>1</v>
      </c>
      <c r="AC32" s="1574">
        <v>1</v>
      </c>
    </row>
    <row r="33" spans="1:29" ht="20.25">
      <c r="A33" s="530"/>
      <c r="B33" s="564" t="s">
        <v>547</v>
      </c>
      <c r="C33" s="578" t="s">
        <v>3044</v>
      </c>
      <c r="D33" s="573">
        <v>100</v>
      </c>
      <c r="E33" s="578" t="s">
        <v>3044</v>
      </c>
      <c r="F33" s="538">
        <f>SUMIF(106:106,E33,107:107)-SUMIF(106:106,C33,107:107)+100</f>
        <v>100</v>
      </c>
      <c r="G33" s="578" t="s">
        <v>3044</v>
      </c>
      <c r="H33" s="538">
        <f>SUMIF(106:106,G33,107:107)-SUMIF(106:106,C33,107:107)+100</f>
        <v>100</v>
      </c>
      <c r="I33" s="578" t="s">
        <v>3044</v>
      </c>
      <c r="J33" s="538">
        <f>SUMIF(106:106,I33,107:107)-SUMIF(106:106,C33,107:107)+100</f>
        <v>100</v>
      </c>
      <c r="K33" s="533">
        <v>1</v>
      </c>
      <c r="L33" s="2140"/>
      <c r="M33" s="2130"/>
      <c r="N33" s="2130"/>
      <c r="O33" s="2139"/>
      <c r="P33" s="339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9"/>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102</v>
      </c>
      <c r="I34" s="562"/>
      <c r="J34" s="557">
        <f>SUMIF(108:108,I35,109:109)-SUMIF(108:108,C35,109:109)+100</f>
        <v>100</v>
      </c>
      <c r="K34" s="533">
        <v>1</v>
      </c>
      <c r="L34" s="2140"/>
      <c r="M34" s="2130"/>
      <c r="N34" s="2130"/>
      <c r="O34" s="2139"/>
      <c r="P34" s="3399"/>
      <c r="Q34" s="1570" t="str">
        <f t="shared" si="8"/>
        <v>毗邻道路的类型与等级</v>
      </c>
      <c r="R34" s="1571" t="s">
        <v>8</v>
      </c>
      <c r="S34" s="1572">
        <f t="shared" si="10"/>
        <v>100</v>
      </c>
      <c r="T34" s="1571" t="s">
        <v>8</v>
      </c>
      <c r="U34" s="1572">
        <f t="shared" si="11"/>
        <v>102</v>
      </c>
      <c r="V34" s="1571" t="s">
        <v>8</v>
      </c>
      <c r="W34" s="1572">
        <f t="shared" si="12"/>
        <v>100</v>
      </c>
      <c r="X34" s="1565"/>
      <c r="Y34" s="3399"/>
      <c r="Z34" s="1573" t="str">
        <f t="shared" si="13"/>
        <v>毗邻道路的类型与等级</v>
      </c>
      <c r="AA34" s="1574">
        <f t="shared" si="3"/>
        <v>1</v>
      </c>
      <c r="AB34" s="1574">
        <f t="shared" si="4"/>
        <v>0.98039215686274506</v>
      </c>
      <c r="AC34" s="1574">
        <f t="shared" si="5"/>
        <v>1</v>
      </c>
    </row>
    <row r="35" spans="1:29" ht="20.25">
      <c r="A35" s="530"/>
      <c r="B35" s="564"/>
      <c r="C35" s="552" t="s">
        <v>3049</v>
      </c>
      <c r="D35" s="555"/>
      <c r="E35" s="574" t="s">
        <v>3049</v>
      </c>
      <c r="F35" s="553"/>
      <c r="G35" s="552" t="s">
        <v>3046</v>
      </c>
      <c r="H35" s="553"/>
      <c r="I35" s="574" t="s">
        <v>3049</v>
      </c>
      <c r="J35" s="553"/>
      <c r="K35" s="579"/>
      <c r="L35" s="2140"/>
      <c r="M35" s="2130"/>
      <c r="N35" s="2130"/>
      <c r="O35" s="2139"/>
      <c r="P35" s="3399"/>
      <c r="Q35" s="1570"/>
      <c r="R35" s="1571"/>
      <c r="S35" s="1572"/>
      <c r="T35" s="1571"/>
      <c r="U35" s="1572"/>
      <c r="V35" s="1571"/>
      <c r="W35" s="1572"/>
      <c r="X35" s="1565"/>
      <c r="Y35" s="3399"/>
      <c r="Z35" s="1573"/>
      <c r="AA35" s="1574">
        <v>1</v>
      </c>
      <c r="AB35" s="1574">
        <v>1</v>
      </c>
      <c r="AC35" s="1574">
        <v>1</v>
      </c>
    </row>
    <row r="36" spans="1:29" ht="21" thickBot="1">
      <c r="A36" s="530"/>
      <c r="B36" s="580" t="s">
        <v>549</v>
      </c>
      <c r="C36" s="578" t="s">
        <v>3060</v>
      </c>
      <c r="D36" s="573">
        <v>100</v>
      </c>
      <c r="E36" s="581" t="s">
        <v>3061</v>
      </c>
      <c r="F36" s="538">
        <f>SUMIF(110:110,E36,111:111)-SUMIF(110:110,C36,111:111)+100</f>
        <v>101</v>
      </c>
      <c r="G36" s="578" t="s">
        <v>3060</v>
      </c>
      <c r="H36" s="538">
        <f>SUMIF(110:110,G36,111:111)-SUMIF(110:110,C36,111:111)+100</f>
        <v>100</v>
      </c>
      <c r="I36" s="581" t="s">
        <v>3060</v>
      </c>
      <c r="J36" s="538">
        <f>SUMIF(110:110,I36,111:111)-SUMIF(110:110,C36,111:111)+100</f>
        <v>100</v>
      </c>
      <c r="K36" s="582">
        <v>1</v>
      </c>
      <c r="L36" s="2140"/>
      <c r="M36" s="2130"/>
      <c r="N36" s="2130"/>
      <c r="O36" s="2139"/>
      <c r="P36" s="3399"/>
      <c r="Q36" s="1570" t="str">
        <f t="shared" si="8"/>
        <v>土地级别</v>
      </c>
      <c r="R36" s="1571" t="s">
        <v>8</v>
      </c>
      <c r="S36" s="1572">
        <f t="shared" si="10"/>
        <v>101</v>
      </c>
      <c r="T36" s="1571" t="s">
        <v>8</v>
      </c>
      <c r="U36" s="1572">
        <f t="shared" si="11"/>
        <v>100</v>
      </c>
      <c r="V36" s="1571" t="s">
        <v>8</v>
      </c>
      <c r="W36" s="1572">
        <f t="shared" si="12"/>
        <v>100</v>
      </c>
      <c r="X36" s="1565"/>
      <c r="Y36" s="3399"/>
      <c r="Z36" s="1573" t="str">
        <f t="shared" si="13"/>
        <v>土地级别</v>
      </c>
      <c r="AA36" s="1574">
        <f t="shared" si="3"/>
        <v>0.99009900990099009</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99"/>
      <c r="Q37" s="1570">
        <f t="shared" si="8"/>
        <v>111</v>
      </c>
      <c r="R37" s="1571" t="s">
        <v>8</v>
      </c>
      <c r="S37" s="1572">
        <f t="shared" si="10"/>
        <v>100</v>
      </c>
      <c r="T37" s="1571" t="s">
        <v>8</v>
      </c>
      <c r="U37" s="1572">
        <f t="shared" si="11"/>
        <v>100</v>
      </c>
      <c r="V37" s="1571" t="s">
        <v>8</v>
      </c>
      <c r="W37" s="1572">
        <f t="shared" si="12"/>
        <v>100</v>
      </c>
      <c r="X37" s="1565"/>
      <c r="Y37" s="3399"/>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00" t="s">
        <v>550</v>
      </c>
      <c r="Q38" s="1570">
        <f t="shared" si="8"/>
        <v>111</v>
      </c>
      <c r="R38" s="1571" t="s">
        <v>8</v>
      </c>
      <c r="S38" s="1572">
        <f t="shared" si="10"/>
        <v>100</v>
      </c>
      <c r="T38" s="1571" t="s">
        <v>8</v>
      </c>
      <c r="U38" s="1572">
        <f t="shared" si="11"/>
        <v>100</v>
      </c>
      <c r="V38" s="1571" t="s">
        <v>8</v>
      </c>
      <c r="W38" s="1572">
        <f t="shared" si="12"/>
        <v>100</v>
      </c>
      <c r="X38" s="1565"/>
      <c r="Y38" s="3401" t="s">
        <v>550</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01"/>
      <c r="Q39" s="1570">
        <f t="shared" si="8"/>
        <v>111</v>
      </c>
      <c r="R39" s="1575" t="s">
        <v>8</v>
      </c>
      <c r="S39" s="1576">
        <f t="shared" si="10"/>
        <v>100</v>
      </c>
      <c r="T39" s="1575" t="s">
        <v>8</v>
      </c>
      <c r="U39" s="1576">
        <f t="shared" si="11"/>
        <v>100</v>
      </c>
      <c r="V39" s="1575" t="s">
        <v>8</v>
      </c>
      <c r="W39" s="1576">
        <f t="shared" si="12"/>
        <v>100</v>
      </c>
      <c r="X39" s="1577"/>
      <c r="Y39" s="3401"/>
      <c r="Z39" s="1578">
        <f t="shared" si="13"/>
        <v>111</v>
      </c>
      <c r="AA39" s="1574">
        <f t="shared" si="3"/>
        <v>1</v>
      </c>
      <c r="AB39" s="1574">
        <f t="shared" si="4"/>
        <v>1</v>
      </c>
      <c r="AC39" s="1574">
        <f t="shared" si="5"/>
        <v>1</v>
      </c>
    </row>
    <row r="40" spans="1:29" ht="20.25">
      <c r="A40" s="2905" t="s">
        <v>2756</v>
      </c>
      <c r="B40" s="593" t="s">
        <v>552</v>
      </c>
      <c r="C40" s="594">
        <f>'数据-汇总表'!D3</f>
        <v>81664.259999999995</v>
      </c>
      <c r="D40" s="595">
        <v>100</v>
      </c>
      <c r="E40" s="594">
        <v>65516.160000000003</v>
      </c>
      <c r="F40" s="595">
        <f>LOOKUP(E40,119:119,120:120)-LOOKUP(C40,119:119,120:120)+100</f>
        <v>100</v>
      </c>
      <c r="G40" s="594">
        <v>32878.9</v>
      </c>
      <c r="H40" s="595">
        <f>LOOKUP(G40,119:119,120:120)-LOOKUP(C40,119:119,120:120)+100</f>
        <v>99</v>
      </c>
      <c r="I40" s="596">
        <v>39199.449999999997</v>
      </c>
      <c r="J40" s="595">
        <f>LOOKUP(I40,119:119,120:120)-LOOKUP(C40,119:119,120:120)+100</f>
        <v>99</v>
      </c>
      <c r="K40" s="579"/>
      <c r="L40" s="2140"/>
      <c r="M40" s="2130"/>
      <c r="N40" s="2130"/>
      <c r="O40" s="2139"/>
      <c r="P40" s="3401"/>
      <c r="Q40" s="1570" t="str">
        <f>B40</f>
        <v>宗地面积</v>
      </c>
      <c r="R40" s="1571" t="s">
        <v>8</v>
      </c>
      <c r="S40" s="1572">
        <f t="shared" si="10"/>
        <v>100</v>
      </c>
      <c r="T40" s="1571" t="s">
        <v>8</v>
      </c>
      <c r="U40" s="1572">
        <f t="shared" si="11"/>
        <v>99</v>
      </c>
      <c r="V40" s="1571" t="s">
        <v>8</v>
      </c>
      <c r="W40" s="1572">
        <f t="shared" si="12"/>
        <v>99</v>
      </c>
      <c r="X40" s="1565"/>
      <c r="Y40" s="3401"/>
      <c r="Z40" s="1573" t="str">
        <f t="shared" si="13"/>
        <v>宗地面积</v>
      </c>
      <c r="AA40" s="1574">
        <f t="shared" si="3"/>
        <v>1</v>
      </c>
      <c r="AB40" s="1574">
        <f t="shared" si="4"/>
        <v>1.0101010101010102</v>
      </c>
      <c r="AC40" s="1574">
        <f t="shared" si="5"/>
        <v>1.0101010101010102</v>
      </c>
    </row>
    <row r="41" spans="1:29" ht="20.25">
      <c r="A41" s="592"/>
      <c r="B41" s="525" t="s">
        <v>553</v>
      </c>
      <c r="C41" s="597" t="s">
        <v>3051</v>
      </c>
      <c r="D41" s="538">
        <v>100</v>
      </c>
      <c r="E41" s="597" t="s">
        <v>3051</v>
      </c>
      <c r="F41" s="538">
        <f>SUMIF(121:121,E41,122:122)-SUMIF(121:121,C41,122:122)+100</f>
        <v>100</v>
      </c>
      <c r="G41" s="597" t="s">
        <v>3051</v>
      </c>
      <c r="H41" s="538">
        <f>SUMIF(121:121,G41,122:122)-SUMIF(121:121,C41,122:122)+100</f>
        <v>100</v>
      </c>
      <c r="I41" s="597" t="s">
        <v>3051</v>
      </c>
      <c r="J41" s="538">
        <f>SUMIF(121:121,I41,122:122)-SUMIF(121:121,C41,122:122)+100</f>
        <v>100</v>
      </c>
      <c r="K41" s="582"/>
      <c r="L41" s="2140"/>
      <c r="M41" s="2130"/>
      <c r="N41" s="2130"/>
      <c r="O41" s="2139"/>
      <c r="P41" s="3401"/>
      <c r="Q41" s="1570" t="str">
        <f t="shared" ref="Q41:Q47" si="14">B41</f>
        <v>宗地形状</v>
      </c>
      <c r="R41" s="1571" t="s">
        <v>8</v>
      </c>
      <c r="S41" s="1572">
        <f t="shared" si="10"/>
        <v>100</v>
      </c>
      <c r="T41" s="1571" t="s">
        <v>8</v>
      </c>
      <c r="U41" s="1572">
        <f t="shared" si="11"/>
        <v>100</v>
      </c>
      <c r="V41" s="1571" t="s">
        <v>8</v>
      </c>
      <c r="W41" s="1572">
        <f t="shared" si="12"/>
        <v>100</v>
      </c>
      <c r="X41" s="1565"/>
      <c r="Y41" s="3401"/>
      <c r="Z41" s="1573" t="str">
        <f t="shared" si="13"/>
        <v>宗地形状</v>
      </c>
      <c r="AA41" s="1574">
        <f t="shared" si="3"/>
        <v>1</v>
      </c>
      <c r="AB41" s="1574">
        <f t="shared" si="4"/>
        <v>1</v>
      </c>
      <c r="AC41" s="1574">
        <f t="shared" si="5"/>
        <v>1</v>
      </c>
    </row>
    <row r="42" spans="1:29" ht="20.25">
      <c r="A42" s="592"/>
      <c r="B42" s="525" t="s">
        <v>554</v>
      </c>
      <c r="C42" s="597" t="s">
        <v>3054</v>
      </c>
      <c r="D42" s="538">
        <v>100</v>
      </c>
      <c r="E42" s="597" t="s">
        <v>3054</v>
      </c>
      <c r="F42" s="538">
        <f>SUMIF(123:123,E42,124:124)-SUMIF(123:123,C42,124:124)+100</f>
        <v>100</v>
      </c>
      <c r="G42" s="597" t="s">
        <v>3054</v>
      </c>
      <c r="H42" s="538">
        <f>SUMIF(123:123,G42,124:124)-SUMIF(123:123,C42,124:124)+100</f>
        <v>100</v>
      </c>
      <c r="I42" s="597" t="s">
        <v>3054</v>
      </c>
      <c r="J42" s="538">
        <f>SUMIF(123:123,I42,124:124)-SUMIF(123:123,C42,124:124)+100</f>
        <v>100</v>
      </c>
      <c r="K42" s="582"/>
      <c r="L42" s="2140"/>
      <c r="M42" s="2130"/>
      <c r="N42" s="2130"/>
      <c r="O42" s="2139"/>
      <c r="P42" s="3401"/>
      <c r="Q42" s="1570" t="str">
        <f t="shared" si="14"/>
        <v>临街宽度及深度</v>
      </c>
      <c r="R42" s="1571" t="s">
        <v>8</v>
      </c>
      <c r="S42" s="1572">
        <f t="shared" si="10"/>
        <v>100</v>
      </c>
      <c r="T42" s="1571" t="s">
        <v>8</v>
      </c>
      <c r="U42" s="1572">
        <f t="shared" si="11"/>
        <v>100</v>
      </c>
      <c r="V42" s="1571" t="s">
        <v>8</v>
      </c>
      <c r="W42" s="1572">
        <f t="shared" si="12"/>
        <v>100</v>
      </c>
      <c r="X42" s="1565"/>
      <c r="Y42" s="3401"/>
      <c r="Z42" s="1573" t="str">
        <f t="shared" si="13"/>
        <v>临街宽度及深度</v>
      </c>
      <c r="AA42" s="1574">
        <f t="shared" si="3"/>
        <v>1</v>
      </c>
      <c r="AB42" s="1574">
        <f t="shared" si="4"/>
        <v>1</v>
      </c>
      <c r="AC42" s="1574">
        <f t="shared" si="5"/>
        <v>1</v>
      </c>
    </row>
    <row r="43" spans="1:29" s="1218" customFormat="1" ht="20.25">
      <c r="A43" s="598"/>
      <c r="B43" s="1893" t="s">
        <v>2425</v>
      </c>
      <c r="C43" s="3185" t="s">
        <v>3035</v>
      </c>
      <c r="D43" s="253">
        <v>100</v>
      </c>
      <c r="E43" s="3185" t="s">
        <v>3040</v>
      </c>
      <c r="F43" s="538">
        <f>SUMIF(125:125,E43,126:126)-SUMIF(125:125,C43,126:126)+100</f>
        <v>97</v>
      </c>
      <c r="G43" s="3185" t="s">
        <v>3035</v>
      </c>
      <c r="H43" s="538">
        <f>SUMIF(125:125,G43,126:126)-SUMIF(125:125,C43,126:126)+100</f>
        <v>100</v>
      </c>
      <c r="I43" s="3185" t="s">
        <v>3037</v>
      </c>
      <c r="J43" s="538">
        <f>SUMIF(125:125,I43,126:126)-SUMIF(125:125,C43,126:126)+100</f>
        <v>99</v>
      </c>
      <c r="K43" s="3501">
        <v>1</v>
      </c>
      <c r="L43" s="2133"/>
      <c r="M43" s="2130"/>
      <c r="N43" s="2130"/>
      <c r="O43" s="2135"/>
      <c r="P43" s="3401"/>
      <c r="Q43" s="1570" t="str">
        <f t="shared" si="14"/>
        <v>宗地开发程度</v>
      </c>
      <c r="R43" s="1566" t="s">
        <v>8</v>
      </c>
      <c r="S43" s="1567">
        <f t="shared" si="10"/>
        <v>97</v>
      </c>
      <c r="T43" s="1566" t="s">
        <v>8</v>
      </c>
      <c r="U43" s="1567">
        <f t="shared" si="11"/>
        <v>100</v>
      </c>
      <c r="V43" s="1566" t="s">
        <v>8</v>
      </c>
      <c r="W43" s="1567">
        <f t="shared" si="12"/>
        <v>99</v>
      </c>
      <c r="X43" s="1568"/>
      <c r="Y43" s="3401"/>
      <c r="Z43" s="1148" t="str">
        <f t="shared" si="13"/>
        <v>宗地开发程度</v>
      </c>
      <c r="AA43" s="1569">
        <f t="shared" si="3"/>
        <v>1.0309278350515463</v>
      </c>
      <c r="AB43" s="1569">
        <f t="shared" si="4"/>
        <v>1</v>
      </c>
      <c r="AC43" s="1569">
        <f t="shared" si="5"/>
        <v>1.0101010101010102</v>
      </c>
    </row>
    <row r="44" spans="1:29" ht="21" thickBot="1">
      <c r="A44" s="592"/>
      <c r="B44" s="525" t="s">
        <v>555</v>
      </c>
      <c r="C44" s="597" t="s">
        <v>3043</v>
      </c>
      <c r="D44" s="538">
        <v>100</v>
      </c>
      <c r="E44" s="597" t="s">
        <v>3043</v>
      </c>
      <c r="F44" s="538">
        <f>SUMIF(127:127,E44,128:128)-SUMIF(127:127,C44,128:128)+100</f>
        <v>100</v>
      </c>
      <c r="G44" s="597" t="s">
        <v>3043</v>
      </c>
      <c r="H44" s="538">
        <f>SUMIF(127:127,G44,128:128)-SUMIF(127:127,C44,128:128)+100</f>
        <v>100</v>
      </c>
      <c r="I44" s="597" t="s">
        <v>3043</v>
      </c>
      <c r="J44" s="538">
        <f>SUMIF(127:127,I44,128:128)-SUMIF(127:127,C44,128:128)+100</f>
        <v>100</v>
      </c>
      <c r="K44" s="582"/>
      <c r="L44" s="2140"/>
      <c r="M44" s="2130"/>
      <c r="N44" s="2130"/>
      <c r="O44" s="2139"/>
      <c r="P44" s="3401" t="s">
        <v>550</v>
      </c>
      <c r="Q44" s="1570" t="str">
        <f t="shared" si="14"/>
        <v>工程地质条件</v>
      </c>
      <c r="R44" s="1571" t="s">
        <v>8</v>
      </c>
      <c r="S44" s="1572">
        <f t="shared" si="10"/>
        <v>100</v>
      </c>
      <c r="T44" s="1571" t="s">
        <v>8</v>
      </c>
      <c r="U44" s="1572">
        <f t="shared" si="11"/>
        <v>100</v>
      </c>
      <c r="V44" s="1571" t="s">
        <v>8</v>
      </c>
      <c r="W44" s="1572">
        <f t="shared" si="12"/>
        <v>100</v>
      </c>
      <c r="X44" s="1565"/>
      <c r="Y44" s="3401" t="s">
        <v>550</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01"/>
      <c r="Q45" s="1570">
        <f t="shared" si="14"/>
        <v>111</v>
      </c>
      <c r="R45" s="1571" t="s">
        <v>8</v>
      </c>
      <c r="S45" s="1572">
        <f t="shared" si="10"/>
        <v>100</v>
      </c>
      <c r="T45" s="1571" t="s">
        <v>8</v>
      </c>
      <c r="U45" s="1572">
        <f t="shared" si="11"/>
        <v>100</v>
      </c>
      <c r="V45" s="1571" t="s">
        <v>8</v>
      </c>
      <c r="W45" s="1572">
        <f t="shared" si="12"/>
        <v>100</v>
      </c>
      <c r="X45" s="1565"/>
      <c r="Y45" s="3401"/>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01"/>
      <c r="Q46" s="1570">
        <f t="shared" si="14"/>
        <v>111</v>
      </c>
      <c r="R46" s="1571" t="s">
        <v>8</v>
      </c>
      <c r="S46" s="1572">
        <f t="shared" si="10"/>
        <v>100</v>
      </c>
      <c r="T46" s="1571" t="s">
        <v>8</v>
      </c>
      <c r="U46" s="1572">
        <f t="shared" si="11"/>
        <v>100</v>
      </c>
      <c r="V46" s="1571" t="s">
        <v>8</v>
      </c>
      <c r="W46" s="1572">
        <f t="shared" si="12"/>
        <v>100</v>
      </c>
      <c r="X46" s="1565"/>
      <c r="Y46" s="3401"/>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01"/>
      <c r="Q47" s="1570">
        <f t="shared" si="14"/>
        <v>111</v>
      </c>
      <c r="R47" s="1575" t="s">
        <v>8</v>
      </c>
      <c r="S47" s="1576">
        <f t="shared" si="10"/>
        <v>100</v>
      </c>
      <c r="T47" s="1575" t="s">
        <v>8</v>
      </c>
      <c r="U47" s="1576">
        <f t="shared" si="11"/>
        <v>100</v>
      </c>
      <c r="V47" s="1575" t="s">
        <v>8</v>
      </c>
      <c r="W47" s="1576">
        <f t="shared" si="12"/>
        <v>100</v>
      </c>
      <c r="X47" s="1577"/>
      <c r="Y47" s="3401"/>
      <c r="Z47" s="1578">
        <f t="shared" si="13"/>
        <v>111</v>
      </c>
      <c r="AA47" s="1574">
        <f t="shared" si="3"/>
        <v>1</v>
      </c>
      <c r="AB47" s="1574">
        <f t="shared" si="4"/>
        <v>1</v>
      </c>
      <c r="AC47" s="1574">
        <f t="shared" si="5"/>
        <v>1</v>
      </c>
    </row>
    <row r="48" spans="1:29" ht="20.25">
      <c r="A48" s="605" t="s">
        <v>556</v>
      </c>
      <c r="B48" s="606" t="s">
        <v>3026</v>
      </c>
      <c r="C48" s="607" t="s">
        <v>1</v>
      </c>
      <c r="D48" s="608"/>
      <c r="E48" s="609">
        <v>14653</v>
      </c>
      <c r="F48" s="610"/>
      <c r="G48" s="611">
        <v>17163</v>
      </c>
      <c r="H48" s="612"/>
      <c r="I48" s="609">
        <v>16021</v>
      </c>
      <c r="J48" s="612"/>
      <c r="K48" s="1338"/>
      <c r="L48" s="2142"/>
      <c r="M48" s="2130"/>
      <c r="N48" s="2130"/>
      <c r="O48" s="2143"/>
      <c r="P48" s="3362" t="str">
        <f>A48</f>
        <v>成交单价</v>
      </c>
      <c r="Q48" s="3362"/>
      <c r="R48" s="3363">
        <f>E48</f>
        <v>14653</v>
      </c>
      <c r="S48" s="3363"/>
      <c r="T48" s="3363">
        <f>G48</f>
        <v>17163</v>
      </c>
      <c r="U48" s="3363"/>
      <c r="V48" s="3363">
        <f>I48</f>
        <v>16021</v>
      </c>
      <c r="W48" s="3363"/>
      <c r="X48" s="1557"/>
      <c r="Y48" s="1579"/>
      <c r="Z48" s="1557"/>
      <c r="AA48" s="1557"/>
      <c r="AB48" s="1557"/>
      <c r="AC48" s="1557"/>
    </row>
    <row r="49" spans="1:29" ht="21" thickBot="1">
      <c r="A49" s="613" t="s">
        <v>2694</v>
      </c>
      <c r="B49" s="614"/>
      <c r="C49" s="615">
        <f>R50</f>
        <v>14381</v>
      </c>
      <c r="D49" s="616"/>
      <c r="E49" s="615">
        <f>R49</f>
        <v>13357</v>
      </c>
      <c r="F49" s="617"/>
      <c r="G49" s="618">
        <f>T49</f>
        <v>15336</v>
      </c>
      <c r="H49" s="616"/>
      <c r="I49" s="615">
        <f>V49</f>
        <v>14451</v>
      </c>
      <c r="J49" s="616"/>
      <c r="K49" s="1339"/>
      <c r="L49" s="2142"/>
      <c r="M49" s="2130"/>
      <c r="N49" s="2130"/>
      <c r="O49" s="2143"/>
      <c r="P49" s="3362" t="str">
        <f>A49</f>
        <v>比较价格（元/平方米）</v>
      </c>
      <c r="Q49" s="3362"/>
      <c r="R49" s="3364">
        <f>ROUND(PRODUCT(R48,AA9:AA47),0)</f>
        <v>13357</v>
      </c>
      <c r="S49" s="3364"/>
      <c r="T49" s="3364">
        <f>ROUND(PRODUCT(T48,AB9:AB47),0)</f>
        <v>15336</v>
      </c>
      <c r="U49" s="3364"/>
      <c r="V49" s="3364">
        <f>ROUND(PRODUCT(V48,AC9:AC47),0)</f>
        <v>14451</v>
      </c>
      <c r="W49" s="3364"/>
      <c r="X49" s="1557"/>
      <c r="Y49" s="1557"/>
      <c r="Z49" s="1557"/>
      <c r="AA49" s="1557"/>
      <c r="AB49" s="1557"/>
      <c r="AC49" s="1557"/>
    </row>
    <row r="50" spans="1:29" ht="21" thickBot="1">
      <c r="A50" s="619" t="s">
        <v>2928</v>
      </c>
      <c r="B50" s="620"/>
      <c r="C50" s="621">
        <f>R50</f>
        <v>14381</v>
      </c>
      <c r="D50" s="621"/>
      <c r="E50" s="621"/>
      <c r="F50" s="621"/>
      <c r="G50" s="621"/>
      <c r="H50" s="621"/>
      <c r="I50" s="621"/>
      <c r="J50" s="621"/>
      <c r="K50" s="1340"/>
      <c r="L50" s="2142"/>
      <c r="M50" s="2130"/>
      <c r="N50" s="2130"/>
      <c r="O50" s="2143"/>
      <c r="P50" s="3359" t="str">
        <f>A50</f>
        <v>估价对象XX用房的比较价格（楼面单价，元/平方米）</v>
      </c>
      <c r="Q50" s="3360"/>
      <c r="R50" s="3361">
        <f>ROUND(AVERAGE(R49:V49),0)</f>
        <v>14381</v>
      </c>
      <c r="S50" s="3361"/>
      <c r="T50" s="3361"/>
      <c r="U50" s="3361"/>
      <c r="V50" s="3361"/>
      <c r="W50" s="3361"/>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9.7027775698135699E-2</v>
      </c>
      <c r="F53" s="625" t="str">
        <f>IF(OR(E53&gt;=0.3,E53&lt;=-0.3),"超过30%","")</f>
        <v/>
      </c>
      <c r="G53" s="624">
        <f>IF(G48&lt;G49,G49/G48-1,G48/G49-1)</f>
        <v>0.119131455399061</v>
      </c>
      <c r="H53" s="625" t="str">
        <f>IF(OR(G53&gt;=0.3,G53&lt;=-0.3),"超过30%","")</f>
        <v/>
      </c>
      <c r="I53" s="624">
        <f>IF(I48&lt;I49,I49/I48-1,I48/I49-1)</f>
        <v>0.10864300048439546</v>
      </c>
      <c r="J53" s="625"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0.14816201242794036</v>
      </c>
      <c r="F54" s="625" t="str">
        <f>IF(OR(E54&gt;=0.2,E54&lt;=-0.2),"超过20%","")</f>
        <v/>
      </c>
      <c r="G54" s="624">
        <f>IF(G49&lt;I49,I49/G49-1,G49/I49-1)</f>
        <v>6.1241436578783448E-2</v>
      </c>
      <c r="H54" s="625" t="str">
        <f>IF(OR(G54&gt;=0.2,G54&lt;=-0.2),"超过20%","")</f>
        <v/>
      </c>
      <c r="I54" s="624">
        <f>IF(I49&lt;E49,E49/I49-1,I49/E49-1)</f>
        <v>8.1904619300741111E-2</v>
      </c>
      <c r="J54" s="625"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0.17129598034532179</v>
      </c>
      <c r="F55" s="625" t="str">
        <f>IF(OR(E55&gt;=0.3,E55&lt;=-0.3),"超过30%","")</f>
        <v/>
      </c>
      <c r="G55" s="624">
        <f>IF(G48&lt;I48,I48/G48-1,G48/I48-1)</f>
        <v>7.1281443105923437E-2</v>
      </c>
      <c r="H55" s="625" t="str">
        <f>IF(OR(G55&gt;=0.3,G55&lt;=-0.3),"超过30%","")</f>
        <v/>
      </c>
      <c r="I55" s="624">
        <f>IF(I48&lt;E48,E48/I48-1,I48/E48-1)</f>
        <v>9.3359721558725184E-2</v>
      </c>
      <c r="J55" s="625"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7" t="s">
        <v>560</v>
      </c>
      <c r="B57" s="628" t="s">
        <v>561</v>
      </c>
      <c r="C57" s="1558" t="s">
        <v>1725</v>
      </c>
      <c r="D57" s="2225" t="s">
        <v>2294</v>
      </c>
      <c r="E57" s="629" t="s">
        <v>562</v>
      </c>
      <c r="F57" s="630" t="s">
        <v>563</v>
      </c>
      <c r="G57" s="3390" t="s">
        <v>2282</v>
      </c>
      <c r="H57" s="3391"/>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14381</v>
      </c>
      <c r="C58" s="633">
        <v>1</v>
      </c>
      <c r="D58" s="2226">
        <v>1</v>
      </c>
      <c r="E58" s="633">
        <f>'数据-汇总表'!E8+'数据-汇总表'!E9</f>
        <v>97997</v>
      </c>
      <c r="F58" s="634">
        <f t="shared" ref="F58:F67" si="15">ROUND(B58*E58/10000,0)</f>
        <v>140929</v>
      </c>
      <c r="G58" s="3392"/>
      <c r="H58" s="3393"/>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2157</v>
      </c>
      <c r="C59" s="376">
        <f t="shared" ref="C59:C67" si="16">IF($C$57="北京市系数",I59,J59)</f>
        <v>0.6</v>
      </c>
      <c r="D59" s="2227">
        <v>0.25</v>
      </c>
      <c r="E59" s="637">
        <f>'数据-汇总表'!E21</f>
        <v>2000</v>
      </c>
      <c r="F59" s="634">
        <f t="shared" si="15"/>
        <v>431</v>
      </c>
      <c r="G59" s="3394" t="s">
        <v>2283</v>
      </c>
      <c r="H59" s="1946" t="str">
        <f>项目基本情况!B43</f>
        <v>十一级</v>
      </c>
      <c r="I59" s="1554">
        <f>SUMIF(修正!$A$45:$A$56,H59,修正!B45:B56)</f>
        <v>0.6</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1079</v>
      </c>
      <c r="C60" s="376">
        <f t="shared" si="16"/>
        <v>0.3</v>
      </c>
      <c r="D60" s="2227">
        <v>0.25</v>
      </c>
      <c r="E60" s="637">
        <v>0</v>
      </c>
      <c r="F60" s="634">
        <f t="shared" si="15"/>
        <v>0</v>
      </c>
      <c r="G60" s="3394"/>
      <c r="H60" s="1946" t="str">
        <f>项目基本情况!B43</f>
        <v>十一级</v>
      </c>
      <c r="I60" s="1554">
        <f>SUMIF(修正!$A$45:$A$56,H60,修正!C45:C56)</f>
        <v>0.3</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719</v>
      </c>
      <c r="C61" s="376">
        <f t="shared" si="16"/>
        <v>0.2</v>
      </c>
      <c r="D61" s="2227">
        <v>0.25</v>
      </c>
      <c r="E61" s="637">
        <v>0</v>
      </c>
      <c r="F61" s="634">
        <f t="shared" si="15"/>
        <v>0</v>
      </c>
      <c r="G61" s="3394"/>
      <c r="H61" s="1946" t="str">
        <f>项目基本情况!B43</f>
        <v>十一级</v>
      </c>
      <c r="I61" s="1554">
        <f>SUMIF(修正!$A$45:$A$56,H61,修正!D45:D56)</f>
        <v>0.2</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719</v>
      </c>
      <c r="C62" s="376">
        <f t="shared" si="16"/>
        <v>0.2</v>
      </c>
      <c r="D62" s="2227">
        <v>0.25</v>
      </c>
      <c r="E62" s="637">
        <v>0</v>
      </c>
      <c r="F62" s="634">
        <f t="shared" si="15"/>
        <v>0</v>
      </c>
      <c r="G62" s="3394"/>
      <c r="H62" s="1946" t="str">
        <f>项目基本情况!B43</f>
        <v>十一级</v>
      </c>
      <c r="I62" s="1554">
        <f>SUMIF(修正!$A$45:$A$56,H62,修正!E45:E56)</f>
        <v>0.2</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6">
        <f t="shared" si="17"/>
        <v>719</v>
      </c>
      <c r="C63" s="376">
        <f t="shared" si="16"/>
        <v>0.2</v>
      </c>
      <c r="D63" s="2227">
        <v>0.25</v>
      </c>
      <c r="E63" s="639">
        <f>'数据-汇总表'!E11</f>
        <v>0</v>
      </c>
      <c r="F63" s="634">
        <f t="shared" si="15"/>
        <v>0</v>
      </c>
      <c r="G63" s="1943" t="s">
        <v>2284</v>
      </c>
      <c r="H63" s="1946" t="str">
        <f>项目基本情况!C43</f>
        <v>十一级</v>
      </c>
      <c r="I63" s="1554">
        <f>SUMIF(修正!$A$45:$A$56,H63,修正!F45:F56)</f>
        <v>0.2</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719</v>
      </c>
      <c r="C64" s="376">
        <f t="shared" si="16"/>
        <v>0.2</v>
      </c>
      <c r="D64" s="2227">
        <v>0.25</v>
      </c>
      <c r="E64" s="639">
        <f>'数据-汇总表'!E12</f>
        <v>10390.44</v>
      </c>
      <c r="F64" s="634">
        <f t="shared" si="15"/>
        <v>747</v>
      </c>
      <c r="G64" s="1944" t="s">
        <v>1678</v>
      </c>
      <c r="H64" s="1942" t="str">
        <f>IF(G64="商业",项目基本情况!B43,IF(G64="办公",项目基本情况!C43,IF(G64="住宅",项目基本情况!D43,项目基本情况!E43)))</f>
        <v>十一级</v>
      </c>
      <c r="I64" s="1554">
        <f>SUMIF(修正!$A$45:$A$56,H64,修正!G45:G56)</f>
        <v>0.2</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539</v>
      </c>
      <c r="C65" s="376">
        <f t="shared" si="16"/>
        <v>0.15</v>
      </c>
      <c r="D65" s="2227">
        <v>0.25</v>
      </c>
      <c r="E65" s="639">
        <f>'数据-汇总表'!E13</f>
        <v>39760</v>
      </c>
      <c r="F65" s="634">
        <f t="shared" si="15"/>
        <v>2143</v>
      </c>
      <c r="G65" s="1944" t="s">
        <v>923</v>
      </c>
      <c r="H65" s="1942" t="str">
        <f>IF(G65="商业",项目基本情况!B43,IF(G65="办公",项目基本情况!C43,IF(G65="住宅",项目基本情况!D43,项目基本情况!E43)))</f>
        <v>十一级</v>
      </c>
      <c r="I65" s="1554">
        <f>SUMIF(修正!$A$45:$A$56,H65,修正!H45:H56)</f>
        <v>0.15</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539</v>
      </c>
      <c r="C66" s="376">
        <f t="shared" si="16"/>
        <v>0.15</v>
      </c>
      <c r="D66" s="2227">
        <v>0.25</v>
      </c>
      <c r="E66" s="639">
        <f>'数据-汇总表'!E14</f>
        <v>0</v>
      </c>
      <c r="F66" s="634">
        <f t="shared" si="15"/>
        <v>0</v>
      </c>
      <c r="G66" s="1943" t="s">
        <v>2283</v>
      </c>
      <c r="H66" s="1946" t="str">
        <f>项目基本情况!B43</f>
        <v>十一级</v>
      </c>
      <c r="I66" s="1554">
        <f>SUMIF(修正!$A$45:$A$56,H66,修正!H45:H56)</f>
        <v>0.15</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539</v>
      </c>
      <c r="C67" s="376">
        <f t="shared" si="16"/>
        <v>0.15</v>
      </c>
      <c r="D67" s="2227">
        <v>0.25</v>
      </c>
      <c r="E67" s="639">
        <f>'数据-汇总表'!E15</f>
        <v>0</v>
      </c>
      <c r="F67" s="634">
        <f t="shared" si="15"/>
        <v>0</v>
      </c>
      <c r="G67" s="1945" t="s">
        <v>2284</v>
      </c>
      <c r="H67" s="1947" t="str">
        <f>项目基本情况!C43</f>
        <v>十一级</v>
      </c>
      <c r="I67" s="1554">
        <f>SUMIF(修正!$A$45:$A$56,H67,修正!H45:H56)</f>
        <v>0.15</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2295</v>
      </c>
      <c r="E68" s="641">
        <f>IF(B48="楼面地价",SUM(E58:E67),'数据-汇总表'!D3)</f>
        <v>150147.44</v>
      </c>
      <c r="F68" s="642">
        <f>IF(B48="楼面地价",SUM(F58:F67),ROUND(C50*E68/10000,0))</f>
        <v>144250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2018-8-1</v>
      </c>
      <c r="D70" s="2797">
        <f>EDATE(C70,-3)</f>
        <v>43221</v>
      </c>
      <c r="E70" s="2797">
        <f t="shared" ref="E70:N70" si="18">EDATE(D70,-3)</f>
        <v>43132</v>
      </c>
      <c r="F70" s="2797">
        <f t="shared" si="18"/>
        <v>43040</v>
      </c>
      <c r="G70" s="2797">
        <f t="shared" si="18"/>
        <v>42948</v>
      </c>
      <c r="H70" s="2797">
        <f t="shared" si="18"/>
        <v>42856</v>
      </c>
      <c r="I70" s="2797">
        <f t="shared" si="18"/>
        <v>42767</v>
      </c>
      <c r="J70" s="2797">
        <f t="shared" si="18"/>
        <v>42675</v>
      </c>
      <c r="K70" s="2797">
        <f t="shared" si="18"/>
        <v>42583</v>
      </c>
      <c r="L70" s="2797">
        <f t="shared" si="18"/>
        <v>42491</v>
      </c>
      <c r="M70" s="2797">
        <f t="shared" si="18"/>
        <v>42401</v>
      </c>
      <c r="N70" s="2797">
        <f t="shared" si="18"/>
        <v>42309</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66" t="s">
        <v>2533</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8" customFormat="1" ht="27" customHeight="1">
      <c r="A73" s="2804" t="s">
        <v>2648</v>
      </c>
      <c r="B73" s="477" t="str">
        <f>"北京市平均增长率"&amp;TEXT(SUMIF(基准地价!N21:N25,A73,基准地价!P21:P25),"0.00%")</f>
        <v>北京市平均增长率2.23%</v>
      </c>
      <c r="C73" s="892">
        <v>100</v>
      </c>
      <c r="D73" s="728">
        <v>99.5</v>
      </c>
      <c r="E73" s="728">
        <v>99</v>
      </c>
      <c r="F73" s="728">
        <v>98.5</v>
      </c>
      <c r="G73" s="728">
        <v>98</v>
      </c>
      <c r="H73" s="728">
        <v>97.5</v>
      </c>
      <c r="I73" s="728">
        <v>97</v>
      </c>
      <c r="J73" s="728">
        <v>96.5</v>
      </c>
      <c r="K73" s="728">
        <v>96</v>
      </c>
      <c r="L73" s="728">
        <v>95.5</v>
      </c>
      <c r="M73" s="728">
        <v>95</v>
      </c>
      <c r="N73" s="728">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2647</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84" t="s">
        <v>3024</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0.5</v>
      </c>
      <c r="E82" s="539">
        <v>1</v>
      </c>
      <c r="F82" s="539">
        <v>1.5</v>
      </c>
      <c r="G82" s="539">
        <v>2</v>
      </c>
      <c r="H82" s="539">
        <v>2.5</v>
      </c>
      <c r="I82" s="539">
        <v>3</v>
      </c>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2906" t="s">
        <v>3064</v>
      </c>
      <c r="D84" s="1373"/>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v>100</v>
      </c>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95</v>
      </c>
      <c r="E91" s="677">
        <f>D91-$K17</f>
        <v>90</v>
      </c>
      <c r="F91" s="677">
        <f>E91-$K17</f>
        <v>85</v>
      </c>
      <c r="G91" s="677">
        <f>F91-$K17</f>
        <v>80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95</v>
      </c>
      <c r="E93" s="677">
        <f>D93-$K19</f>
        <v>90</v>
      </c>
      <c r="F93" s="677">
        <f>E93-$K19</f>
        <v>85</v>
      </c>
      <c r="G93" s="677">
        <f>F93-$K19</f>
        <v>80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95</v>
      </c>
      <c r="E97" s="677">
        <f>D97-$K23</f>
        <v>90</v>
      </c>
      <c r="F97" s="677">
        <f>E97-$K23</f>
        <v>85</v>
      </c>
      <c r="G97" s="677">
        <f>F97-$K23</f>
        <v>80</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95" t="s">
        <v>2551</v>
      </c>
      <c r="C104" s="2596" t="s">
        <v>2552</v>
      </c>
      <c r="D104" s="2596" t="s">
        <v>2553</v>
      </c>
      <c r="E104" s="2596" t="s">
        <v>2554</v>
      </c>
      <c r="F104" s="2596" t="s">
        <v>2555</v>
      </c>
      <c r="G104" s="2596"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186" t="s">
        <v>3045</v>
      </c>
      <c r="D108" s="3186" t="s">
        <v>3047</v>
      </c>
      <c r="E108" s="3186" t="s">
        <v>3048</v>
      </c>
      <c r="F108" s="3186" t="s">
        <v>3050</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t="s">
        <v>3077</v>
      </c>
      <c r="D110" s="716" t="s">
        <v>3078</v>
      </c>
      <c r="E110" s="716" t="s">
        <v>3079</v>
      </c>
      <c r="F110" s="716" t="s">
        <v>3080</v>
      </c>
      <c r="G110" s="716" t="s">
        <v>3081</v>
      </c>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5">C119&amp;"(含)"&amp;"-"&amp;D119</f>
        <v>0(含)-10000</v>
      </c>
      <c r="D118" s="702" t="str">
        <f t="shared" si="25"/>
        <v>10000(含)-20000</v>
      </c>
      <c r="E118" s="702" t="str">
        <f t="shared" si="25"/>
        <v>20000(含)-50000</v>
      </c>
      <c r="F118" s="702" t="str">
        <f t="shared" si="25"/>
        <v>50000(含)-100000</v>
      </c>
      <c r="G118" s="702" t="str">
        <f t="shared" si="25"/>
        <v>100000(含)-</v>
      </c>
      <c r="H118" s="702" t="str">
        <f t="shared" si="25"/>
        <v>(含)-</v>
      </c>
      <c r="I118" s="702" t="str">
        <f t="shared" si="25"/>
        <v>(含)-</v>
      </c>
      <c r="J118" s="3089" t="str">
        <f t="shared" si="25"/>
        <v>(含)-</v>
      </c>
      <c r="K118" s="3089" t="str">
        <f t="shared" si="25"/>
        <v>(含)-</v>
      </c>
      <c r="L118" s="3090" t="str">
        <f t="shared" si="25"/>
        <v>(含)-</v>
      </c>
      <c r="M118" s="3091"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v>
      </c>
      <c r="E119" s="728">
        <v>20000</v>
      </c>
      <c r="F119" s="728">
        <v>50000</v>
      </c>
      <c r="G119" s="728">
        <v>100000</v>
      </c>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101</v>
      </c>
      <c r="E120" s="724">
        <v>102</v>
      </c>
      <c r="F120" s="724">
        <v>103</v>
      </c>
      <c r="G120" s="724">
        <v>104</v>
      </c>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87" t="s">
        <v>3052</v>
      </c>
      <c r="D121" s="3187" t="s">
        <v>3053</v>
      </c>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3186" t="s">
        <v>3055</v>
      </c>
      <c r="D123" s="3186" t="s">
        <v>3056</v>
      </c>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2426</v>
      </c>
      <c r="C125" s="1373" t="s">
        <v>3034</v>
      </c>
      <c r="D125" s="1373" t="s">
        <v>3036</v>
      </c>
      <c r="E125" s="1373" t="s">
        <v>3038</v>
      </c>
      <c r="F125" s="1373" t="s">
        <v>3039</v>
      </c>
      <c r="G125" s="1373" t="s">
        <v>3041</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t="s">
        <v>3057</v>
      </c>
      <c r="D127" s="686" t="s">
        <v>3043</v>
      </c>
      <c r="E127" s="716" t="s">
        <v>3042</v>
      </c>
      <c r="F127" s="716" t="s">
        <v>3058</v>
      </c>
      <c r="G127" s="716" t="s">
        <v>3059</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6" sqref="F1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8" style="2122" bestFit="1"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0">
        <f>MATCH(B1,'数据-取费表'!A6:A16,0)+5</f>
        <v>11</v>
      </c>
    </row>
    <row r="2" spans="1:31" s="2039" customFormat="1" ht="18" customHeight="1">
      <c r="A2" s="2099" t="s">
        <v>467</v>
      </c>
      <c r="B2" s="2103">
        <f ca="1">C36</f>
        <v>120585</v>
      </c>
      <c r="C2" s="2102"/>
      <c r="D2" s="2102"/>
      <c r="E2" s="2102"/>
      <c r="F2" s="2102"/>
      <c r="G2" s="2102"/>
      <c r="H2" s="2102"/>
      <c r="I2" s="2102"/>
      <c r="J2" s="2102"/>
      <c r="K2" s="2102"/>
    </row>
    <row r="3" spans="1:31" s="2039" customFormat="1" ht="18" customHeight="1">
      <c r="A3" s="2104" t="s">
        <v>1685</v>
      </c>
      <c r="B3" s="2105">
        <f ca="1">ROUND(B2*10000/IF(B1="",'数据-汇总表'!E3,INDIRECT("'数据-取费表'!K"&amp;$K$1)),0)</f>
        <v>7302</v>
      </c>
      <c r="C3" s="2102"/>
      <c r="D3" s="2102"/>
      <c r="E3" s="2102"/>
      <c r="F3" s="2102"/>
      <c r="G3" s="2102"/>
      <c r="H3" s="2102"/>
      <c r="I3" s="2102"/>
      <c r="J3" s="2102"/>
      <c r="K3" s="2102"/>
    </row>
    <row r="4" spans="1:31" s="2039" customFormat="1" ht="18" customHeight="1">
      <c r="A4" s="424" t="s">
        <v>468</v>
      </c>
      <c r="B4" s="425">
        <f ca="1">ROUND(B2*10000/IF(B1="",'数据-汇总表'!D3,INDIRECT("'数据-取费表'!R"&amp;$K$1)),0)</f>
        <v>14766</v>
      </c>
      <c r="C4" s="426"/>
      <c r="D4" s="420"/>
      <c r="E4" s="420"/>
      <c r="F4" s="420"/>
      <c r="G4" s="420"/>
      <c r="H4" s="420"/>
      <c r="I4" s="420"/>
      <c r="J4" s="420"/>
      <c r="K4" s="420"/>
    </row>
    <row r="5" spans="1:31" s="2039" customFormat="1" ht="18" customHeight="1" thickBot="1">
      <c r="A5" s="427"/>
      <c r="B5" s="428">
        <f ca="1">ROUND(B2/(IF(B1="",'数据-汇总表'!D3,INDIRECT("'数据-取费表'!R"&amp;$K$1))/666.67),0)</f>
        <v>984</v>
      </c>
      <c r="C5" s="429" t="s">
        <v>469</v>
      </c>
      <c r="D5" s="420"/>
      <c r="E5" s="420"/>
      <c r="F5" s="420"/>
      <c r="G5" s="420"/>
      <c r="H5" s="420"/>
      <c r="I5" s="420"/>
      <c r="J5" s="420"/>
      <c r="K5" s="420"/>
    </row>
    <row r="6" spans="1:31" s="2109" customFormat="1" ht="16.5" customHeight="1">
      <c r="A6" s="2826" t="s">
        <v>1843</v>
      </c>
      <c r="B6" s="2827"/>
      <c r="C6" s="2828">
        <f ca="1">SUM(C10:K10)</f>
        <v>215673</v>
      </c>
      <c r="D6" s="2827"/>
      <c r="E6" s="2827"/>
      <c r="F6" s="2827"/>
      <c r="G6" s="2827"/>
      <c r="H6" s="2827"/>
      <c r="I6" s="2827"/>
      <c r="J6" s="2827"/>
      <c r="K6" s="2829"/>
    </row>
    <row r="7" spans="1:31" s="2111" customFormat="1" ht="15">
      <c r="A7" s="2830" t="s">
        <v>470</v>
      </c>
      <c r="B7" s="2831" t="s">
        <v>471</v>
      </c>
      <c r="C7" s="434" t="s">
        <v>923</v>
      </c>
      <c r="D7" s="434" t="s">
        <v>2988</v>
      </c>
      <c r="E7" s="434" t="s">
        <v>2998</v>
      </c>
      <c r="F7" s="434" t="s">
        <v>35</v>
      </c>
      <c r="G7" s="434" t="s">
        <v>3065</v>
      </c>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2832">
        <v>20000</v>
      </c>
      <c r="D8" s="3496">
        <f ca="1">'不动产收益法-商业'!B3</f>
        <v>19749</v>
      </c>
      <c r="E8" s="2832">
        <f ca="1">'不动产收益法-地下商业'!B3</f>
        <v>11035</v>
      </c>
      <c r="F8" s="2832">
        <f ca="1">'不动产收益法-车库'!B3</f>
        <v>2689</v>
      </c>
      <c r="G8" s="2832">
        <f ca="1">'不动产收益法-地下仓储'!B3</f>
        <v>6704</v>
      </c>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90547</v>
      </c>
      <c r="D9" s="439">
        <f>SUMIF('数据-汇总表'!$C19:$C33,'剩余法-待开发'!D7,'数据-汇总表'!$E19:$E33)</f>
        <v>7450</v>
      </c>
      <c r="E9" s="439">
        <f>SUMIF('数据-汇总表'!$C19:$C33,'剩余法-待开发'!E7,'数据-汇总表'!$E19:$E33)</f>
        <v>2000</v>
      </c>
      <c r="F9" s="439">
        <f>SUMIF('数据-汇总表'!$C19:$C33,'剩余法-待开发'!F7,'数据-汇总表'!$E19:$E33)</f>
        <v>39760</v>
      </c>
      <c r="G9" s="439">
        <f>SUMIF('数据-汇总表'!$C19:$C33,'剩余法-待开发'!G7,'数据-汇总表'!$E19:$E33)</f>
        <v>10390.44</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5">
        <f>C8*C9/10000</f>
        <v>181094</v>
      </c>
      <c r="D10" s="3025">
        <f ca="1">'不动产收益法-商业'!B2</f>
        <v>14713</v>
      </c>
      <c r="E10" s="3025">
        <f ca="1">'不动产收益法-地下商业'!B2</f>
        <v>2207</v>
      </c>
      <c r="F10" s="2835">
        <f ca="1">'不动产收益法-车库'!B2</f>
        <v>10693</v>
      </c>
      <c r="G10" s="2835">
        <f ca="1">'不动产收益法-地下仓储'!B2</f>
        <v>6966</v>
      </c>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8">
        <f ca="1">IF(B1="",'数据-取费表'!P16,INDIRECT("'数据-取费表'!p"&amp;$K$1)+INDIRECT("'数据-取费表'!t"&amp;$K$1))</f>
        <v>40742</v>
      </c>
      <c r="D13" s="2842"/>
      <c r="E13" s="2843"/>
      <c r="F13" s="2844"/>
      <c r="G13" s="2810"/>
      <c r="H13" s="2811"/>
      <c r="I13" s="2811"/>
      <c r="J13" s="2811"/>
      <c r="K13" s="2812"/>
    </row>
    <row r="14" spans="1:31" s="2114" customFormat="1" ht="13.5" customHeight="1">
      <c r="A14" s="2840" t="s">
        <v>1850</v>
      </c>
      <c r="B14" s="2841" t="s">
        <v>480</v>
      </c>
      <c r="C14" s="53">
        <f ca="1">ROUND(C13*F14,0)</f>
        <v>1222</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761</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3303</v>
      </c>
      <c r="D16" s="2842">
        <f ca="1">IF(B1="",'数据-汇总表'!E3,INDIRECT("'数据-取费表'!K"&amp;$K$1)+INDIRECT("'数据-取费表'!S"&amp;$K$1))</f>
        <v>165129.68</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611</v>
      </c>
      <c r="D17" s="473"/>
      <c r="E17" s="2846"/>
      <c r="F17" s="2847">
        <f>'数据-取费表'!B36</f>
        <v>1.4999999999999999E-2</v>
      </c>
      <c r="G17" s="259" t="s">
        <v>486</v>
      </c>
      <c r="H17" s="2813"/>
      <c r="I17" s="2813"/>
      <c r="J17" s="2813"/>
      <c r="K17" s="277"/>
    </row>
    <row r="18" spans="1:14" s="2114" customFormat="1" ht="13.5" customHeight="1">
      <c r="A18" s="2848" t="s">
        <v>1854</v>
      </c>
      <c r="B18" s="2849" t="s">
        <v>487</v>
      </c>
      <c r="C18" s="2850">
        <f ca="1">SUM(C13:C17)</f>
        <v>46639</v>
      </c>
      <c r="D18" s="2851"/>
      <c r="E18" s="466"/>
      <c r="F18" s="466"/>
      <c r="G18" s="2814" t="s">
        <v>2431</v>
      </c>
      <c r="H18" s="2815"/>
      <c r="I18" s="2815"/>
      <c r="J18" s="2815"/>
      <c r="K18" s="2816"/>
    </row>
    <row r="19" spans="1:14" s="2114" customFormat="1" ht="13.5" customHeight="1">
      <c r="A19" s="2848" t="s">
        <v>1855</v>
      </c>
      <c r="B19" s="2849" t="s">
        <v>488</v>
      </c>
      <c r="C19" s="2806">
        <f ca="1">ROUND(D19*E19/10000,0)</f>
        <v>826</v>
      </c>
      <c r="D19" s="2852">
        <f ca="1">D16</f>
        <v>165129.68</v>
      </c>
      <c r="E19" s="2806">
        <f>'数据-取费表'!B32</f>
        <v>50</v>
      </c>
      <c r="F19" s="466"/>
      <c r="G19" s="2810" t="s">
        <v>489</v>
      </c>
      <c r="H19" s="2811"/>
      <c r="I19" s="2815"/>
      <c r="J19" s="2815"/>
      <c r="K19" s="2816"/>
    </row>
    <row r="20" spans="1:14" s="2114" customFormat="1" ht="13.5" customHeight="1">
      <c r="A20" s="2848" t="s">
        <v>1856</v>
      </c>
      <c r="B20" s="2849" t="s">
        <v>490</v>
      </c>
      <c r="C20" s="2806">
        <f ca="1">C21+C22-IF(B1="",'数据-取费表'!B29,IF(G20="已全部缴纳",C21+C22,H20))</f>
        <v>2536</v>
      </c>
      <c r="D20" s="2852"/>
      <c r="E20" s="2806"/>
      <c r="F20" s="2853"/>
      <c r="G20" s="3085" t="s">
        <v>3063</v>
      </c>
      <c r="H20" s="2808"/>
      <c r="I20" s="2809" t="s">
        <v>2652</v>
      </c>
      <c r="J20" s="2815"/>
      <c r="K20" s="2816"/>
    </row>
    <row r="21" spans="1:14" s="2114" customFormat="1" ht="13.5" customHeight="1">
      <c r="A21" s="2840" t="s">
        <v>1857</v>
      </c>
      <c r="B21" s="2841" t="s">
        <v>491</v>
      </c>
      <c r="C21" s="53">
        <f ca="1">ROUND(D21*E21/10000,0)</f>
        <v>1268</v>
      </c>
      <c r="D21" s="2842">
        <f ca="1">IF(B1="",'数据-汇总表'!E5,IF(INDIRECT("'数据-取费表'!c"&amp;$K$1)="住宅",INDIRECT("'数据-取费表'!k"&amp;$K$1),0))</f>
        <v>90547</v>
      </c>
      <c r="E21" s="53">
        <f>'数据-取费表'!B27</f>
        <v>140</v>
      </c>
      <c r="F21" s="2845"/>
      <c r="G21" s="26"/>
      <c r="H21" s="51"/>
      <c r="I21" s="51"/>
      <c r="J21" s="51"/>
      <c r="K21" s="2817"/>
    </row>
    <row r="22" spans="1:14" s="2114" customFormat="1" ht="13.5" customHeight="1">
      <c r="A22" s="2840" t="s">
        <v>1858</v>
      </c>
      <c r="B22" s="2841" t="s">
        <v>492</v>
      </c>
      <c r="C22" s="53">
        <f ca="1">ROUND(D22*E22/10000,0)</f>
        <v>1268</v>
      </c>
      <c r="D22" s="2842">
        <f ca="1">IF(B1="",'数据-汇总表'!E6,IF(INDIRECT("'数据-取费表'!c"&amp;$K$1)="住宅",INDIRECT("'数据-取费表'!s"&amp;$K$1),INDIRECT("'数据-取费表'!k"&amp;$K$1)+INDIRECT("'数据-取费表'!s"&amp;$K$1)))</f>
        <v>74582.679999999993</v>
      </c>
      <c r="E22" s="53">
        <f>'数据-取费表'!B28</f>
        <v>170</v>
      </c>
      <c r="F22" s="2845"/>
      <c r="G22" s="26"/>
      <c r="H22" s="51"/>
      <c r="I22" s="51"/>
      <c r="J22" s="51"/>
      <c r="K22" s="2817"/>
    </row>
    <row r="23" spans="1:14" s="2114" customFormat="1" ht="13.5" customHeight="1">
      <c r="A23" s="2848" t="s">
        <v>1859</v>
      </c>
      <c r="B23" s="3031" t="s">
        <v>2835</v>
      </c>
      <c r="C23" s="2850">
        <f ca="1">ROUND((C18+C19+C20)*F23,0)</f>
        <v>500</v>
      </c>
      <c r="D23" s="466"/>
      <c r="E23" s="466"/>
      <c r="F23" s="2854">
        <f>'数据-取费表'!B37</f>
        <v>0.01</v>
      </c>
      <c r="G23" s="2810" t="s">
        <v>2432</v>
      </c>
      <c r="H23" s="2811"/>
      <c r="I23" s="2811"/>
      <c r="J23" s="2811"/>
      <c r="K23" s="2812"/>
      <c r="L23" s="2116"/>
      <c r="M23" s="2116"/>
      <c r="N23" s="2116"/>
    </row>
    <row r="24" spans="1:14" s="2114" customFormat="1" ht="13.5" customHeight="1">
      <c r="A24" s="2848" t="s">
        <v>1860</v>
      </c>
      <c r="B24" s="3031" t="s">
        <v>2838</v>
      </c>
      <c r="C24" s="2850">
        <f ca="1">ROUND(C6*F24,0)</f>
        <v>2157</v>
      </c>
      <c r="D24" s="473"/>
      <c r="E24" s="471"/>
      <c r="F24" s="2854">
        <f>'数据-取费表'!B38</f>
        <v>0.01</v>
      </c>
      <c r="G24" s="2819" t="s">
        <v>499</v>
      </c>
      <c r="H24" s="2813"/>
      <c r="I24" s="2813"/>
      <c r="J24" s="2813"/>
      <c r="K24" s="277"/>
      <c r="L24" s="2116"/>
      <c r="M24" s="2116"/>
      <c r="N24" s="2116"/>
    </row>
    <row r="25" spans="1:14" s="2117" customFormat="1" ht="13.5" customHeight="1">
      <c r="A25" s="2848" t="s">
        <v>1861</v>
      </c>
      <c r="B25" s="3031" t="s">
        <v>2836</v>
      </c>
      <c r="C25" s="465">
        <f>ROUND(F25/(1+'数据-取费表'!C42),4)</f>
        <v>2.9000000000000001E-2</v>
      </c>
      <c r="D25" s="460" t="s">
        <v>2830</v>
      </c>
      <c r="E25" s="467"/>
      <c r="F25" s="2854">
        <f>'数据-取费表'!B48+'数据-取费表'!B49</f>
        <v>3.0499999999999999E-2</v>
      </c>
      <c r="G25" s="2818" t="s">
        <v>2290</v>
      </c>
      <c r="H25" s="2811"/>
      <c r="I25" s="2811"/>
      <c r="J25" s="2811"/>
      <c r="K25" s="2812"/>
    </row>
    <row r="26" spans="1:14" s="2116" customFormat="1" ht="13.5" customHeight="1">
      <c r="A26" s="2848" t="s">
        <v>1862</v>
      </c>
      <c r="B26" s="3032" t="s">
        <v>2837</v>
      </c>
      <c r="C26" s="2855">
        <f ca="1">C28</f>
        <v>3796</v>
      </c>
      <c r="D26" s="465">
        <f ca="1">C27</f>
        <v>0.1537</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1857</v>
      </c>
      <c r="B27" s="2856" t="s">
        <v>496</v>
      </c>
      <c r="C27" s="2857">
        <f ca="1">ROUND(IF('数据-取费表'!B22&lt;=1,(1+C25)*F26*'数据-取费表'!B24,(1+C25)*(POWER((1+F26),'数据-取费表'!B24)-1)),4)</f>
        <v>0.1537</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1858</v>
      </c>
      <c r="B28" s="2856" t="s">
        <v>2839</v>
      </c>
      <c r="C28" s="2858">
        <f ca="1">ROUND(IF('数据-取费表'!B22&lt;=1,(C18+C19+C20+C23+C24)*F26*'数据-取费表'!B24/2,(C18+C19+C20+C23+C24)*(POWER((1+F26),'数据-取费表'!B24/2)-1)),0)</f>
        <v>3796</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1863</v>
      </c>
      <c r="B29" s="2849" t="s">
        <v>497</v>
      </c>
      <c r="C29" s="2850">
        <f ca="1">ROUND(C6*F29/(1+'数据-取费表'!C42),0)</f>
        <v>11297</v>
      </c>
      <c r="D29" s="466"/>
      <c r="E29" s="466"/>
      <c r="F29" s="3033">
        <f>'数据-取费表'!B41</f>
        <v>5.5000000000000007E-2</v>
      </c>
      <c r="G29" s="2819" t="s">
        <v>498</v>
      </c>
      <c r="H29" s="2811"/>
      <c r="I29" s="2811"/>
      <c r="J29" s="2811"/>
      <c r="K29" s="2812"/>
    </row>
    <row r="30" spans="1:14" s="2119" customFormat="1" ht="13.5" customHeight="1">
      <c r="A30" s="1633" t="s">
        <v>1864</v>
      </c>
      <c r="B30" s="2860" t="s">
        <v>500</v>
      </c>
      <c r="C30" s="2855">
        <f ca="1">C31</f>
        <v>67751</v>
      </c>
      <c r="D30" s="475">
        <f ca="1">C32</f>
        <v>0.1827</v>
      </c>
      <c r="E30" s="467" t="s">
        <v>495</v>
      </c>
      <c r="F30" s="469"/>
      <c r="G30" s="2818" t="s">
        <v>2967</v>
      </c>
      <c r="H30" s="2811"/>
      <c r="I30" s="2811"/>
      <c r="J30" s="2811"/>
      <c r="K30" s="2812"/>
    </row>
    <row r="31" spans="1:14" s="2118" customFormat="1" ht="13.5" customHeight="1">
      <c r="A31" s="801" t="s">
        <v>1857</v>
      </c>
      <c r="B31" s="2856"/>
      <c r="C31" s="448">
        <f ca="1">C18+C19+C20+C23+C24+C26+C29</f>
        <v>67751</v>
      </c>
      <c r="D31" s="470"/>
      <c r="E31" s="471"/>
      <c r="F31" s="472"/>
      <c r="G31" s="259"/>
      <c r="H31" s="2813"/>
      <c r="I31" s="2813"/>
      <c r="J31" s="2813"/>
      <c r="K31" s="277"/>
    </row>
    <row r="32" spans="1:14" s="2118" customFormat="1" ht="13.5" customHeight="1">
      <c r="A32" s="801" t="s">
        <v>1858</v>
      </c>
      <c r="B32" s="2856"/>
      <c r="C32" s="53">
        <f ca="1">ROUND(C25+D26,4)</f>
        <v>0.1827</v>
      </c>
      <c r="D32" s="470"/>
      <c r="E32" s="471"/>
      <c r="F32" s="472"/>
      <c r="G32" s="259"/>
      <c r="H32" s="2813"/>
      <c r="I32" s="2813"/>
      <c r="J32" s="2813"/>
      <c r="K32" s="277"/>
    </row>
    <row r="33" spans="1:11" s="2120" customFormat="1" ht="13.5" customHeight="1">
      <c r="A33" s="3030" t="s">
        <v>2834</v>
      </c>
      <c r="B33" s="3028" t="s">
        <v>2832</v>
      </c>
      <c r="C33" s="476">
        <f ca="1">C35</f>
        <v>1580</v>
      </c>
      <c r="D33" s="465">
        <f ca="1">C34</f>
        <v>3.09E-2</v>
      </c>
      <c r="E33" s="467" t="s">
        <v>495</v>
      </c>
      <c r="F33" s="477">
        <f ca="1">IF(B1="",'数据-取费表'!Q16,INDIRECT("'数据-取费表'!q"&amp;$K$1))</f>
        <v>0.03</v>
      </c>
      <c r="G33" s="2814"/>
      <c r="H33" s="2815"/>
      <c r="I33" s="2815"/>
      <c r="J33" s="2815"/>
      <c r="K33" s="2816"/>
    </row>
    <row r="34" spans="1:11" s="2121" customFormat="1" ht="13.5" customHeight="1">
      <c r="A34" s="373" t="s">
        <v>1857</v>
      </c>
      <c r="B34" s="2861" t="s">
        <v>501</v>
      </c>
      <c r="C34" s="470">
        <f ca="1">ROUND((1+C25)*F33,4)</f>
        <v>3.09E-2</v>
      </c>
      <c r="D34" s="470"/>
      <c r="E34" s="471"/>
      <c r="F34" s="478"/>
      <c r="G34" s="259" t="s">
        <v>2291</v>
      </c>
      <c r="H34" s="2813"/>
      <c r="I34" s="2813"/>
      <c r="J34" s="2813"/>
      <c r="K34" s="277"/>
    </row>
    <row r="35" spans="1:11" s="2121" customFormat="1" ht="13.5" customHeight="1" thickBot="1">
      <c r="A35" s="1634" t="s">
        <v>1858</v>
      </c>
      <c r="B35" s="3029" t="s">
        <v>2840</v>
      </c>
      <c r="C35" s="1626">
        <f ca="1">ROUND((C18+C19+C20+C23+C24)*F33,0)</f>
        <v>1580</v>
      </c>
      <c r="D35" s="1627"/>
      <c r="E35" s="2862"/>
      <c r="F35" s="1628"/>
      <c r="G35" s="2820"/>
      <c r="H35" s="2821"/>
      <c r="I35" s="2821"/>
      <c r="J35" s="2821"/>
      <c r="K35" s="2822"/>
    </row>
    <row r="36" spans="1:11" s="2083" customFormat="1" ht="13.5" customHeight="1" thickBot="1">
      <c r="A36" s="282" t="s">
        <v>1845</v>
      </c>
      <c r="B36" s="2824"/>
      <c r="C36" s="2863">
        <f ca="1">ROUND((C6-C30-C33)/(1+D30+D33),0)</f>
        <v>120585</v>
      </c>
      <c r="D36" s="2824"/>
      <c r="E36" s="2824"/>
      <c r="F36" s="2824"/>
      <c r="G36" s="2823" t="s">
        <v>2841</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194" t="str">
        <f>项目基本情况!B1</f>
        <v>北京市通州区西集镇西集村TZ07-0103-0029地块二类居住用地出让国有建设用地使用权抵押价格预评估</v>
      </c>
      <c r="C37" s="3194"/>
      <c r="D37" s="3194"/>
      <c r="E37" s="3194"/>
      <c r="F37" s="3194"/>
      <c r="G37" s="3194"/>
      <c r="H37" s="3194"/>
      <c r="I37" s="3194"/>
    </row>
    <row r="38" spans="1:9">
      <c r="A38" s="1654"/>
      <c r="B38" s="1654"/>
    </row>
    <row r="39" spans="1:9">
      <c r="A39" s="1652" t="s">
        <v>1902</v>
      </c>
      <c r="B39" s="1652" t="s">
        <v>2047</v>
      </c>
    </row>
    <row r="40" spans="1:9">
      <c r="A40" s="1652"/>
      <c r="B40" s="1652" t="str">
        <f>项目基本情况!B5</f>
        <v>北京房地钧洋房地产开发有限公司</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王鹏、郑燚</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07"/>
      <c r="C1" s="2102"/>
      <c r="D1" s="2102"/>
      <c r="E1" s="2102"/>
      <c r="F1" s="2102"/>
      <c r="G1" s="2102"/>
      <c r="H1" s="2102"/>
      <c r="I1" s="2102"/>
      <c r="J1" s="2102"/>
      <c r="K1" s="420">
        <f>MATCH(B1,'数据-取费表'!A6:A16,0)+5</f>
        <v>11</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1">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1" t="s">
        <v>1849</v>
      </c>
      <c r="B13" s="447" t="s">
        <v>479</v>
      </c>
      <c r="C13" s="448">
        <f ca="1">IF(B1="",'数据-取费表'!M16,INDIRECT("'数据-取费表'!M"&amp;$K$1)+INDIRECT("'数据-取费表'!t"&amp;$K$1))</f>
        <v>40742</v>
      </c>
      <c r="D13" s="449"/>
      <c r="E13" s="363"/>
      <c r="F13" s="450"/>
      <c r="G13" s="442"/>
      <c r="H13" s="445"/>
      <c r="I13" s="445"/>
      <c r="J13" s="445"/>
      <c r="K13" s="446"/>
    </row>
    <row r="14" spans="1:41" s="2114" customFormat="1" ht="13.5" customHeight="1">
      <c r="A14" s="1631" t="s">
        <v>1850</v>
      </c>
      <c r="B14" s="447" t="s">
        <v>480</v>
      </c>
      <c r="C14" s="53">
        <f ca="1">ROUND(C13*F14,0)</f>
        <v>1222</v>
      </c>
      <c r="D14" s="449"/>
      <c r="E14" s="363"/>
      <c r="F14" s="451">
        <f>'数据-取费表'!B33</f>
        <v>0.03</v>
      </c>
      <c r="G14" s="442" t="s">
        <v>502</v>
      </c>
      <c r="H14" s="445"/>
      <c r="I14" s="445"/>
      <c r="J14" s="445"/>
      <c r="K14" s="446"/>
    </row>
    <row r="15" spans="1:41" s="2114" customFormat="1" ht="13.5" customHeight="1">
      <c r="A15" s="1631" t="s">
        <v>1851</v>
      </c>
      <c r="B15" s="447" t="s">
        <v>482</v>
      </c>
      <c r="C15" s="53">
        <f ca="1">ROUND(IF(B1="",SUMIF('数据-取费表'!C:C,"住宅",'数据-取费表'!M:M)*F15,IF(INDIRECT("'数据-取费表'!c"&amp;$K$1)="住宅",INDIRECT("'数据-取费表'!M"&amp;$K$1)*F15,0)),0)</f>
        <v>761</v>
      </c>
      <c r="D15" s="449"/>
      <c r="E15" s="363"/>
      <c r="F15" s="451">
        <f>'数据-取费表'!B34</f>
        <v>0.03</v>
      </c>
      <c r="G15" s="442" t="s">
        <v>502</v>
      </c>
      <c r="H15" s="445"/>
      <c r="I15" s="445"/>
      <c r="J15" s="445"/>
      <c r="K15" s="446"/>
    </row>
    <row r="16" spans="1:41" s="2115" customFormat="1" ht="13.5" customHeight="1">
      <c r="A16" s="1631" t="s">
        <v>1852</v>
      </c>
      <c r="B16" s="447" t="s">
        <v>484</v>
      </c>
      <c r="C16" s="53">
        <f ca="1">ROUND(D16*E16/10000,0)</f>
        <v>3303</v>
      </c>
      <c r="D16" s="449">
        <f ca="1">IF(B1="",'数据-汇总表'!E3,INDIRECT("'数据-取费表'!K"&amp;$K$1)+INDIRECT("'数据-取费表'!S"&amp;$K$1))</f>
        <v>165129.68</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7" t="s">
        <v>485</v>
      </c>
      <c r="C17" s="452">
        <f ca="1">ROUND(C13*F17,0)</f>
        <v>611</v>
      </c>
      <c r="D17" s="453"/>
      <c r="E17" s="452"/>
      <c r="F17" s="454">
        <f>'数据-取费表'!B36</f>
        <v>1.4999999999999999E-2</v>
      </c>
      <c r="G17" s="442" t="s">
        <v>502</v>
      </c>
      <c r="H17" s="455"/>
      <c r="I17" s="455"/>
      <c r="J17" s="455"/>
      <c r="K17" s="456"/>
    </row>
    <row r="18" spans="1:14" s="2117" customFormat="1" ht="13.5" customHeight="1">
      <c r="A18" s="1632" t="s">
        <v>1854</v>
      </c>
      <c r="B18" s="457" t="s">
        <v>487</v>
      </c>
      <c r="C18" s="458">
        <f ca="1">SUM(C13:C17)</f>
        <v>46639</v>
      </c>
      <c r="D18" s="459"/>
      <c r="E18" s="460"/>
      <c r="F18" s="460"/>
      <c r="G18" s="1325" t="s">
        <v>2433</v>
      </c>
      <c r="H18" s="445"/>
      <c r="I18" s="445"/>
      <c r="J18" s="445"/>
      <c r="K18" s="446"/>
    </row>
    <row r="19" spans="1:14" s="2117" customFormat="1" ht="13.5" customHeight="1">
      <c r="A19" s="1632" t="s">
        <v>1855</v>
      </c>
      <c r="B19" s="457" t="s">
        <v>493</v>
      </c>
      <c r="C19" s="458">
        <f ca="1">ROUND(C18*F19,0)</f>
        <v>466</v>
      </c>
      <c r="D19" s="460"/>
      <c r="E19" s="460"/>
      <c r="F19" s="464">
        <f>'数据-取费表'!B37</f>
        <v>0.01</v>
      </c>
      <c r="G19" s="442" t="s">
        <v>503</v>
      </c>
      <c r="H19" s="445"/>
      <c r="I19" s="445"/>
      <c r="J19" s="445"/>
      <c r="K19" s="446"/>
      <c r="L19" s="2119"/>
      <c r="M19" s="2119"/>
      <c r="N19" s="2119"/>
    </row>
    <row r="20" spans="1:14" s="2117" customFormat="1" ht="13.5" customHeight="1">
      <c r="A20" s="1632" t="s">
        <v>1856</v>
      </c>
      <c r="B20" s="457" t="s">
        <v>504</v>
      </c>
      <c r="C20" s="3026">
        <f>F20</f>
        <v>0.01</v>
      </c>
      <c r="D20" s="467" t="s">
        <v>505</v>
      </c>
      <c r="E20" s="467"/>
      <c r="F20" s="484">
        <f>'数据-取费表'!B38</f>
        <v>0.01</v>
      </c>
      <c r="G20" s="1325" t="s">
        <v>506</v>
      </c>
      <c r="H20" s="445"/>
      <c r="I20" s="445"/>
      <c r="J20" s="445"/>
      <c r="K20" s="446"/>
      <c r="L20" s="2119"/>
      <c r="M20" s="2119"/>
      <c r="N20" s="2119"/>
    </row>
    <row r="21" spans="1:14" s="2119" customFormat="1" ht="13.5" customHeight="1">
      <c r="A21" s="1632" t="s">
        <v>1859</v>
      </c>
      <c r="B21" s="459" t="s">
        <v>494</v>
      </c>
      <c r="C21" s="468">
        <f ca="1">C22</f>
        <v>3396</v>
      </c>
      <c r="D21" s="465">
        <f ca="1">C23</f>
        <v>6.9999999999999999E-4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2455</v>
      </c>
    </row>
    <row r="22" spans="1:14" s="2118" customFormat="1" ht="13.5" customHeight="1">
      <c r="A22" s="1631" t="s">
        <v>1849</v>
      </c>
      <c r="B22" s="1326" t="s">
        <v>2436</v>
      </c>
      <c r="C22" s="485">
        <f ca="1">ROUND(IF('数据-取费表'!B22&lt;=1,(C18+C19)*F21*'数据-取费表'!B20/2,(C18+C19)*(POWER((1+F21),'数据-取费表'!B20/2)-1)),0)</f>
        <v>3396</v>
      </c>
      <c r="D22" s="470"/>
      <c r="E22" s="471"/>
      <c r="F22" s="472"/>
      <c r="G22" s="2565" t="str">
        <f>IF('数据-取费表'!B22&lt;=1,"((1)+(2))×年利率×建设期÷2","((1)+(2))×((1+年利率)^(建设期÷2)-1)")</f>
        <v>((1)+(2))×((1+年利率)^(建设期÷2)-1)</v>
      </c>
      <c r="H22" s="455"/>
      <c r="I22" s="455"/>
      <c r="J22" s="455"/>
      <c r="K22" s="456"/>
    </row>
    <row r="23" spans="1:14" s="2118" customFormat="1" ht="13.5" customHeight="1">
      <c r="A23" s="1631" t="s">
        <v>1850</v>
      </c>
      <c r="B23" s="1326" t="s">
        <v>508</v>
      </c>
      <c r="C23" s="486">
        <f ca="1">ROUND(IF('数据-取费表'!B22&lt;=1,F20*F21*'数据-取费表'!B20/2,F20*(POWER((1+F21),'数据-取费表'!B20/2)-1)),4)</f>
        <v>6.9999999999999999E-4</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2" t="s">
        <v>1860</v>
      </c>
      <c r="B24" s="3028" t="s">
        <v>2833</v>
      </c>
      <c r="C24" s="476">
        <f ca="1">C25</f>
        <v>1413</v>
      </c>
      <c r="D24" s="487">
        <f ca="1">C26</f>
        <v>2.9999999999999997E-4</v>
      </c>
      <c r="E24" s="467" t="s">
        <v>507</v>
      </c>
      <c r="F24" s="477">
        <f ca="1">IF(B1="",'数据-取费表'!Q16,INDIRECT("'数据-取费表'!q"&amp;$K$1))</f>
        <v>0.03</v>
      </c>
      <c r="G24" s="442"/>
      <c r="H24" s="445"/>
      <c r="I24" s="445"/>
      <c r="J24" s="445"/>
      <c r="K24" s="446"/>
    </row>
    <row r="25" spans="1:14" s="2118" customFormat="1" ht="13.5" customHeight="1">
      <c r="A25" s="1631" t="s">
        <v>1849</v>
      </c>
      <c r="B25" s="1326" t="s">
        <v>2437</v>
      </c>
      <c r="C25" s="488">
        <f ca="1">ROUND((C18+C19)*F24,0)</f>
        <v>1413</v>
      </c>
      <c r="D25" s="470"/>
      <c r="E25" s="471"/>
      <c r="F25" s="478"/>
      <c r="G25" s="1324" t="s">
        <v>2434</v>
      </c>
      <c r="H25" s="455"/>
      <c r="I25" s="455"/>
      <c r="J25" s="455"/>
      <c r="K25" s="456"/>
    </row>
    <row r="26" spans="1:14" s="2118" customFormat="1" ht="13.5" customHeight="1">
      <c r="A26" s="1631" t="s">
        <v>1850</v>
      </c>
      <c r="B26" s="1326" t="s">
        <v>509</v>
      </c>
      <c r="C26" s="489">
        <f ca="1">ROUND(F20*F24,4)</f>
        <v>2.9999999999999997E-4</v>
      </c>
      <c r="D26" s="470"/>
      <c r="E26" s="479"/>
      <c r="F26" s="478"/>
      <c r="G26" s="1324" t="s">
        <v>510</v>
      </c>
      <c r="H26" s="455"/>
      <c r="I26" s="455"/>
      <c r="J26" s="455"/>
      <c r="K26" s="456"/>
    </row>
    <row r="27" spans="1:14" s="2118" customFormat="1" ht="13.5" customHeight="1">
      <c r="A27" s="1635" t="s">
        <v>1868</v>
      </c>
      <c r="B27" s="457" t="s">
        <v>511</v>
      </c>
      <c r="C27" s="3027">
        <f>ROUND(F27/(1+'数据-取费表'!C42),4)</f>
        <v>5.2400000000000002E-2</v>
      </c>
      <c r="D27" s="460" t="s">
        <v>2831</v>
      </c>
      <c r="E27" s="460"/>
      <c r="F27" s="464">
        <f>'数据-取费表'!B41</f>
        <v>5.5000000000000007E-2</v>
      </c>
      <c r="G27" s="1958" t="s">
        <v>2292</v>
      </c>
      <c r="H27" s="445"/>
      <c r="I27" s="445"/>
      <c r="J27" s="445"/>
      <c r="K27" s="446"/>
    </row>
    <row r="28" spans="1:14" s="2119" customFormat="1" ht="13.5" customHeight="1">
      <c r="A28" s="1635" t="s">
        <v>1869</v>
      </c>
      <c r="B28" s="474" t="s">
        <v>512</v>
      </c>
      <c r="C28" s="468">
        <f ca="1">ROUND((C18+C19+C21+C24)/(1-C20-D21-D24-C27),0)</f>
        <v>55428</v>
      </c>
      <c r="D28" s="475"/>
      <c r="E28" s="467"/>
      <c r="F28" s="469"/>
      <c r="G28" s="1325" t="s">
        <v>2435</v>
      </c>
      <c r="H28" s="445"/>
      <c r="I28" s="445"/>
      <c r="J28" s="445"/>
      <c r="K28" s="446"/>
    </row>
    <row r="29" spans="1:14" s="2119" customFormat="1" ht="13.5" customHeight="1">
      <c r="A29" s="1635"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480" t="s">
        <v>1866</v>
      </c>
      <c r="B31" s="1328"/>
      <c r="C31" s="498">
        <f>ROUND(C6*F31/(1+'数据-取费表'!C42),0)</f>
        <v>0</v>
      </c>
      <c r="D31" s="1329"/>
      <c r="E31" s="1329"/>
      <c r="F31" s="499">
        <f>'数据-取费表'!B41</f>
        <v>5.5000000000000007E-2</v>
      </c>
      <c r="G31" s="1330"/>
      <c r="H31" s="1330"/>
      <c r="I31" s="1330"/>
      <c r="J31" s="1331"/>
      <c r="K31" s="1332"/>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1"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506"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1686</v>
      </c>
      <c r="B3" s="508"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6"/>
    </row>
    <row r="6" spans="1:29" ht="15">
      <c r="A6" s="510" t="s">
        <v>521</v>
      </c>
      <c r="B6" s="511"/>
      <c r="C6" s="3368" t="s">
        <v>522</v>
      </c>
      <c r="D6" s="3369"/>
      <c r="E6" s="3405" t="s">
        <v>523</v>
      </c>
      <c r="F6" s="3406"/>
      <c r="G6" s="3368" t="s">
        <v>524</v>
      </c>
      <c r="H6" s="3369"/>
      <c r="I6" s="3368" t="s">
        <v>525</v>
      </c>
      <c r="J6" s="3369"/>
      <c r="K6" s="512" t="s">
        <v>526</v>
      </c>
      <c r="L6" s="2131"/>
      <c r="M6" s="2132"/>
      <c r="N6" s="2132"/>
      <c r="O6" s="2132"/>
      <c r="P6" s="3370" t="s">
        <v>527</v>
      </c>
      <c r="Q6" s="3371"/>
      <c r="R6" s="3376" t="s">
        <v>523</v>
      </c>
      <c r="S6" s="3377"/>
      <c r="T6" s="3376" t="s">
        <v>524</v>
      </c>
      <c r="U6" s="3377"/>
      <c r="V6" s="3363" t="s">
        <v>525</v>
      </c>
      <c r="W6" s="3363"/>
      <c r="X6" s="1565"/>
      <c r="Y6" s="3376" t="s">
        <v>527</v>
      </c>
      <c r="Z6" s="3377"/>
      <c r="AA6" s="3365" t="s">
        <v>523</v>
      </c>
      <c r="AB6" s="3366" t="s">
        <v>524</v>
      </c>
      <c r="AC6" s="3365" t="s">
        <v>525</v>
      </c>
    </row>
    <row r="7" spans="1:29" ht="15">
      <c r="A7" s="513"/>
      <c r="B7" s="514"/>
      <c r="C7" s="3386" t="s">
        <v>2922</v>
      </c>
      <c r="D7" s="3385"/>
      <c r="E7" s="3407" t="s">
        <v>2923</v>
      </c>
      <c r="F7" s="3408"/>
      <c r="G7" s="3386" t="s">
        <v>2924</v>
      </c>
      <c r="H7" s="3385"/>
      <c r="I7" s="3386" t="s">
        <v>2925</v>
      </c>
      <c r="J7" s="3385"/>
      <c r="K7" s="512"/>
      <c r="L7" s="2131"/>
      <c r="M7" s="2132"/>
      <c r="N7" s="2132"/>
      <c r="O7" s="2132"/>
      <c r="P7" s="3372"/>
      <c r="Q7" s="3373"/>
      <c r="R7" s="3378"/>
      <c r="S7" s="3379"/>
      <c r="T7" s="3378"/>
      <c r="U7" s="3379"/>
      <c r="V7" s="3363"/>
      <c r="W7" s="3363"/>
      <c r="X7" s="1565"/>
      <c r="Y7" s="3378"/>
      <c r="Z7" s="3379"/>
      <c r="AA7" s="3366"/>
      <c r="AB7" s="3366"/>
      <c r="AC7" s="3366"/>
    </row>
    <row r="8" spans="1:29" ht="15.75" thickBot="1">
      <c r="A8" s="515"/>
      <c r="B8" s="516"/>
      <c r="C8" s="3402" t="s">
        <v>2926</v>
      </c>
      <c r="D8" s="3383"/>
      <c r="E8" s="3403" t="s">
        <v>2926</v>
      </c>
      <c r="F8" s="3404"/>
      <c r="G8" s="3402" t="s">
        <v>2926</v>
      </c>
      <c r="H8" s="3383"/>
      <c r="I8" s="3402" t="s">
        <v>2926</v>
      </c>
      <c r="J8" s="3383"/>
      <c r="K8" s="512" t="s">
        <v>528</v>
      </c>
      <c r="L8" s="2131"/>
      <c r="M8" s="2132"/>
      <c r="N8" s="2132"/>
      <c r="O8" s="2132"/>
      <c r="P8" s="3374"/>
      <c r="Q8" s="3375"/>
      <c r="R8" s="3378"/>
      <c r="S8" s="3379"/>
      <c r="T8" s="3380"/>
      <c r="U8" s="3381"/>
      <c r="V8" s="3363"/>
      <c r="W8" s="3363"/>
      <c r="X8" s="1565"/>
      <c r="Y8" s="3380"/>
      <c r="Z8" s="3381"/>
      <c r="AA8" s="3367"/>
      <c r="AB8" s="3367"/>
      <c r="AC8" s="3367"/>
    </row>
    <row r="9" spans="1:29" s="1218" customFormat="1" ht="15.75" thickBot="1">
      <c r="A9" s="2909"/>
      <c r="B9" s="2916" t="s">
        <v>529</v>
      </c>
      <c r="C9" s="517">
        <f>'数据-取费表'!B2</f>
        <v>43327</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95" t="s">
        <v>530</v>
      </c>
      <c r="Q9" s="3397"/>
      <c r="R9" s="1566" t="s">
        <v>8</v>
      </c>
      <c r="S9" s="1567">
        <f t="shared" ref="S9:S17" si="0">F9</f>
        <v>0</v>
      </c>
      <c r="T9" s="1566" t="s">
        <v>8</v>
      </c>
      <c r="U9" s="1567">
        <f t="shared" ref="U9:U17" si="1">H9</f>
        <v>0</v>
      </c>
      <c r="V9" s="1566" t="s">
        <v>8</v>
      </c>
      <c r="W9" s="1567">
        <f t="shared" ref="W9:W17" si="2">J9</f>
        <v>0</v>
      </c>
      <c r="X9" s="1568"/>
      <c r="Y9" s="3395" t="s">
        <v>530</v>
      </c>
      <c r="Z9" s="3396"/>
      <c r="AA9" s="1569" t="e">
        <f>D9/F9</f>
        <v>#DIV/0!</v>
      </c>
      <c r="AB9" s="1569" t="e">
        <f>D9/H9</f>
        <v>#DIV/0!</v>
      </c>
      <c r="AC9" s="1569" t="e">
        <f>D9/J9</f>
        <v>#DIV/0!</v>
      </c>
    </row>
    <row r="10" spans="1:29" s="1218" customFormat="1" ht="15.7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95" t="s">
        <v>533</v>
      </c>
      <c r="Q10" s="3396"/>
      <c r="R10" s="1566" t="s">
        <v>8</v>
      </c>
      <c r="S10" s="1567">
        <f t="shared" si="0"/>
        <v>0</v>
      </c>
      <c r="T10" s="1566" t="s">
        <v>8</v>
      </c>
      <c r="U10" s="1567">
        <f t="shared" si="1"/>
        <v>0</v>
      </c>
      <c r="V10" s="1566" t="s">
        <v>8</v>
      </c>
      <c r="W10" s="1567">
        <f t="shared" si="2"/>
        <v>0</v>
      </c>
      <c r="X10" s="1568"/>
      <c r="Y10" s="3395" t="s">
        <v>533</v>
      </c>
      <c r="Z10" s="3396"/>
      <c r="AA10" s="1569" t="e">
        <f t="shared" ref="AA10:AA42" si="3">D10/F10</f>
        <v>#DIV/0!</v>
      </c>
      <c r="AB10" s="1569" t="e">
        <f t="shared" ref="AB10:AB42" si="4">D10/H10</f>
        <v>#DIV/0!</v>
      </c>
      <c r="AC10" s="1569" t="e">
        <f t="shared" ref="AC10:AC42" si="5">D10/J10</f>
        <v>#DIV/0!</v>
      </c>
    </row>
    <row r="11" spans="1:29" s="1218" customFormat="1" ht="15">
      <c r="A11" s="2911"/>
      <c r="B11" s="2918"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62" t="s">
        <v>535</v>
      </c>
      <c r="Q11" s="1149" t="str">
        <f t="shared" ref="Q11:Q17" si="6">B11</f>
        <v>用途</v>
      </c>
      <c r="R11" s="1566" t="s">
        <v>8</v>
      </c>
      <c r="S11" s="1567">
        <f t="shared" si="0"/>
        <v>100</v>
      </c>
      <c r="T11" s="1566" t="s">
        <v>8</v>
      </c>
      <c r="U11" s="1567">
        <f t="shared" si="1"/>
        <v>100</v>
      </c>
      <c r="V11" s="1566" t="s">
        <v>8</v>
      </c>
      <c r="W11" s="1567">
        <f t="shared" si="2"/>
        <v>100</v>
      </c>
      <c r="X11" s="1568"/>
      <c r="Y11" s="3308" t="s">
        <v>536</v>
      </c>
      <c r="Z11" s="1148" t="str">
        <f t="shared" ref="Z11:Z17" si="7">Q11</f>
        <v>用途</v>
      </c>
      <c r="AA11" s="1569">
        <f t="shared" si="3"/>
        <v>1</v>
      </c>
      <c r="AB11" s="1569">
        <f t="shared" si="4"/>
        <v>1</v>
      </c>
      <c r="AC11" s="1569">
        <f t="shared" si="5"/>
        <v>1</v>
      </c>
    </row>
    <row r="12" spans="1:29" s="1336" customFormat="1" ht="27">
      <c r="A12" s="2912"/>
      <c r="B12" s="2917" t="s">
        <v>2758</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362"/>
      <c r="Q12" s="1149" t="str">
        <f t="shared" si="6"/>
        <v>土地使用年限（年）</v>
      </c>
      <c r="R12" s="1566" t="s">
        <v>8</v>
      </c>
      <c r="S12" s="1567">
        <f t="shared" si="0"/>
        <v>100</v>
      </c>
      <c r="T12" s="1566" t="s">
        <v>8</v>
      </c>
      <c r="U12" s="1567">
        <f t="shared" si="1"/>
        <v>100</v>
      </c>
      <c r="V12" s="1566" t="s">
        <v>8</v>
      </c>
      <c r="W12" s="1567">
        <f t="shared" si="2"/>
        <v>100</v>
      </c>
      <c r="X12" s="1568"/>
      <c r="Y12" s="3308"/>
      <c r="Z12" s="1148" t="str">
        <f t="shared" si="7"/>
        <v>土地使用年限（年）</v>
      </c>
      <c r="AA12" s="1569">
        <f t="shared" si="3"/>
        <v>1</v>
      </c>
      <c r="AB12" s="1569">
        <f t="shared" si="4"/>
        <v>1</v>
      </c>
      <c r="AC12" s="1569">
        <f t="shared" si="5"/>
        <v>1</v>
      </c>
    </row>
    <row r="13" spans="1:29" ht="15">
      <c r="A13" s="2913"/>
      <c r="B13" s="2917"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62"/>
      <c r="Q13" s="1149" t="str">
        <f t="shared" si="6"/>
        <v>容积率</v>
      </c>
      <c r="R13" s="1566" t="s">
        <v>8</v>
      </c>
      <c r="S13" s="1567" t="e">
        <f t="shared" si="0"/>
        <v>#N/A</v>
      </c>
      <c r="T13" s="1566" t="s">
        <v>8</v>
      </c>
      <c r="U13" s="1567" t="e">
        <f t="shared" si="1"/>
        <v>#N/A</v>
      </c>
      <c r="V13" s="1566" t="s">
        <v>8</v>
      </c>
      <c r="W13" s="1567" t="e">
        <f t="shared" si="2"/>
        <v>#N/A</v>
      </c>
      <c r="X13" s="1568"/>
      <c r="Y13" s="3308"/>
      <c r="Z13" s="1148" t="str">
        <f t="shared" si="7"/>
        <v>容积率</v>
      </c>
      <c r="AA13" s="1569" t="e">
        <f t="shared" si="3"/>
        <v>#N/A</v>
      </c>
      <c r="AB13" s="1569" t="e">
        <f t="shared" si="4"/>
        <v>#N/A</v>
      </c>
      <c r="AC13" s="1569" t="e">
        <f t="shared" si="5"/>
        <v>#N/A</v>
      </c>
    </row>
    <row r="14" spans="1:29" s="1218"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D14/F14</f>
        <v>1</v>
      </c>
      <c r="AB14" s="1569">
        <f>D14/H14</f>
        <v>1</v>
      </c>
      <c r="AC14" s="1569">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62"/>
      <c r="Q15" s="1149">
        <f t="shared" si="6"/>
        <v>111</v>
      </c>
      <c r="R15" s="1566" t="s">
        <v>8</v>
      </c>
      <c r="S15" s="1567">
        <f t="shared" si="0"/>
        <v>100</v>
      </c>
      <c r="T15" s="1566" t="s">
        <v>8</v>
      </c>
      <c r="U15" s="1567">
        <f t="shared" si="1"/>
        <v>100</v>
      </c>
      <c r="V15" s="1566" t="s">
        <v>8</v>
      </c>
      <c r="W15" s="1567">
        <f t="shared" si="2"/>
        <v>100</v>
      </c>
      <c r="X15" s="1568"/>
      <c r="Y15" s="3308"/>
      <c r="Z15" s="1148">
        <f t="shared" si="7"/>
        <v>111</v>
      </c>
      <c r="AA15" s="1569">
        <f t="shared" si="3"/>
        <v>1</v>
      </c>
      <c r="AB15" s="1569">
        <f t="shared" si="4"/>
        <v>1</v>
      </c>
      <c r="AC15" s="1569">
        <f t="shared" si="5"/>
        <v>1</v>
      </c>
    </row>
    <row r="16" spans="1:29" ht="15.75"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62"/>
      <c r="Q16" s="1149">
        <f t="shared" si="6"/>
        <v>111</v>
      </c>
      <c r="R16" s="1566" t="s">
        <v>8</v>
      </c>
      <c r="S16" s="1567">
        <f t="shared" si="0"/>
        <v>100</v>
      </c>
      <c r="T16" s="1566" t="s">
        <v>8</v>
      </c>
      <c r="U16" s="1567">
        <f t="shared" si="1"/>
        <v>100</v>
      </c>
      <c r="V16" s="1566" t="s">
        <v>8</v>
      </c>
      <c r="W16" s="1567">
        <f t="shared" si="2"/>
        <v>100</v>
      </c>
      <c r="X16" s="1568"/>
      <c r="Y16" s="3308"/>
      <c r="Z16" s="1148">
        <f t="shared" si="7"/>
        <v>111</v>
      </c>
      <c r="AA16" s="1569">
        <f t="shared" si="3"/>
        <v>1</v>
      </c>
      <c r="AB16" s="1569">
        <f t="shared" si="4"/>
        <v>1</v>
      </c>
      <c r="AC16" s="1569">
        <f t="shared" si="5"/>
        <v>1</v>
      </c>
    </row>
    <row r="17" spans="1:29" ht="15">
      <c r="A17" s="2907" t="s">
        <v>2755</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98" t="s">
        <v>540</v>
      </c>
      <c r="Q17" s="1570" t="str">
        <f t="shared" si="6"/>
        <v>产业集聚程度</v>
      </c>
      <c r="R17" s="1571" t="s">
        <v>8</v>
      </c>
      <c r="S17" s="1572">
        <f t="shared" si="0"/>
        <v>100</v>
      </c>
      <c r="T17" s="1571" t="s">
        <v>8</v>
      </c>
      <c r="U17" s="1572">
        <f t="shared" si="1"/>
        <v>100</v>
      </c>
      <c r="V17" s="1571" t="s">
        <v>8</v>
      </c>
      <c r="W17" s="1572">
        <f t="shared" si="2"/>
        <v>100</v>
      </c>
      <c r="X17" s="1565"/>
      <c r="Y17" s="3398"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0"/>
      <c r="M18" s="2132"/>
      <c r="N18" s="2132"/>
      <c r="O18" s="2139"/>
      <c r="P18" s="3399"/>
      <c r="Q18" s="1570"/>
      <c r="R18" s="1571"/>
      <c r="S18" s="1572"/>
      <c r="T18" s="1571"/>
      <c r="U18" s="1572"/>
      <c r="V18" s="1571"/>
      <c r="W18" s="1572"/>
      <c r="X18" s="1565"/>
      <c r="Y18" s="3399"/>
      <c r="Z18" s="1573"/>
      <c r="AA18" s="1574">
        <v>1</v>
      </c>
      <c r="AB18" s="1574">
        <v>1</v>
      </c>
      <c r="AC18" s="1574">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99"/>
      <c r="Q19" s="1570" t="str">
        <f>B19</f>
        <v>交通便捷度</v>
      </c>
      <c r="R19" s="1571" t="s">
        <v>8</v>
      </c>
      <c r="S19" s="1572">
        <f>F19</f>
        <v>100</v>
      </c>
      <c r="T19" s="1571" t="s">
        <v>8</v>
      </c>
      <c r="U19" s="1572">
        <f>H19</f>
        <v>100</v>
      </c>
      <c r="V19" s="1571" t="s">
        <v>8</v>
      </c>
      <c r="W19" s="1572">
        <f>J19</f>
        <v>100</v>
      </c>
      <c r="X19" s="1565"/>
      <c r="Y19" s="3399"/>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0"/>
      <c r="M20" s="2132"/>
      <c r="N20" s="2132"/>
      <c r="O20" s="2139"/>
      <c r="P20" s="3399"/>
      <c r="Q20" s="1570"/>
      <c r="R20" s="1571"/>
      <c r="S20" s="1572"/>
      <c r="T20" s="1571"/>
      <c r="U20" s="1572"/>
      <c r="V20" s="1571"/>
      <c r="W20" s="1572"/>
      <c r="X20" s="1565"/>
      <c r="Y20" s="3399"/>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399"/>
      <c r="Q21" s="1570" t="str">
        <f t="shared" ref="Q21:Q35" si="8">B21</f>
        <v>区域土地利用方向</v>
      </c>
      <c r="R21" s="1571" t="s">
        <v>8</v>
      </c>
      <c r="S21" s="1572">
        <f>F21</f>
        <v>100</v>
      </c>
      <c r="T21" s="1571" t="s">
        <v>8</v>
      </c>
      <c r="U21" s="1572">
        <f>H21</f>
        <v>100</v>
      </c>
      <c r="V21" s="1571" t="s">
        <v>8</v>
      </c>
      <c r="W21" s="1572">
        <f>J21</f>
        <v>100</v>
      </c>
      <c r="X21" s="1565"/>
      <c r="Y21" s="3399"/>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0"/>
      <c r="M22" s="2132"/>
      <c r="N22" s="2132"/>
      <c r="O22" s="2139"/>
      <c r="P22" s="3399"/>
      <c r="Q22" s="1570"/>
      <c r="R22" s="1571"/>
      <c r="S22" s="1572"/>
      <c r="T22" s="1571"/>
      <c r="U22" s="1572"/>
      <c r="V22" s="1571"/>
      <c r="W22" s="1572"/>
      <c r="X22" s="1565"/>
      <c r="Y22" s="3399"/>
      <c r="Z22" s="1573"/>
      <c r="AA22" s="1574"/>
      <c r="AB22" s="1574"/>
      <c r="AC22" s="1574"/>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99"/>
      <c r="Q23" s="1570" t="str">
        <f t="shared" si="8"/>
        <v>环境状况</v>
      </c>
      <c r="R23" s="1571" t="s">
        <v>8</v>
      </c>
      <c r="S23" s="1572">
        <f>F23</f>
        <v>100</v>
      </c>
      <c r="T23" s="1571" t="s">
        <v>8</v>
      </c>
      <c r="U23" s="1572">
        <f>H23</f>
        <v>100</v>
      </c>
      <c r="V23" s="1571" t="s">
        <v>8</v>
      </c>
      <c r="W23" s="1572">
        <f>J23</f>
        <v>100</v>
      </c>
      <c r="X23" s="1565"/>
      <c r="Y23" s="3399"/>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0"/>
      <c r="M24" s="2132"/>
      <c r="N24" s="2132"/>
      <c r="O24" s="2139"/>
      <c r="P24" s="3399"/>
      <c r="Q24" s="1570"/>
      <c r="R24" s="1571"/>
      <c r="S24" s="1572"/>
      <c r="T24" s="1571"/>
      <c r="U24" s="1572"/>
      <c r="V24" s="1571"/>
      <c r="W24" s="1572"/>
      <c r="X24" s="1565"/>
      <c r="Y24" s="3399"/>
      <c r="Z24" s="1573"/>
      <c r="AA24" s="1574">
        <v>1</v>
      </c>
      <c r="AB24" s="1574">
        <v>1</v>
      </c>
      <c r="AC24" s="1574">
        <v>1</v>
      </c>
    </row>
    <row r="25" spans="1:29" s="1218" customFormat="1" ht="15">
      <c r="A25" s="575"/>
      <c r="B25" s="2591" t="s">
        <v>2549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99"/>
      <c r="Q25" s="1149" t="str">
        <f t="shared" si="8"/>
        <v>公共配套设施</v>
      </c>
      <c r="R25" s="1566" t="s">
        <v>8</v>
      </c>
      <c r="S25" s="1567">
        <f>F25</f>
        <v>100</v>
      </c>
      <c r="T25" s="1566" t="s">
        <v>8</v>
      </c>
      <c r="U25" s="1567">
        <f>H25</f>
        <v>100</v>
      </c>
      <c r="V25" s="1566" t="s">
        <v>8</v>
      </c>
      <c r="W25" s="1567">
        <f>J25</f>
        <v>100</v>
      </c>
      <c r="X25" s="1568"/>
      <c r="Y25" s="3399"/>
      <c r="Z25" s="1148" t="str">
        <f>Q25</f>
        <v>公共配套设施</v>
      </c>
      <c r="AA25" s="1574">
        <f>D25/F25</f>
        <v>1</v>
      </c>
      <c r="AB25" s="1574">
        <f>D25/H25</f>
        <v>1</v>
      </c>
      <c r="AC25" s="1574">
        <f>D25/J25</f>
        <v>1</v>
      </c>
    </row>
    <row r="26" spans="1:29" s="1218" customFormat="1" ht="15">
      <c r="A26" s="575"/>
      <c r="B26" s="593"/>
      <c r="C26" s="2590"/>
      <c r="D26" s="553"/>
      <c r="E26" s="552"/>
      <c r="F26" s="553"/>
      <c r="G26" s="552"/>
      <c r="H26" s="553"/>
      <c r="I26" s="574"/>
      <c r="J26" s="553"/>
      <c r="K26" s="529"/>
      <c r="L26" s="2133"/>
      <c r="M26" s="2134"/>
      <c r="N26" s="2134"/>
      <c r="O26" s="2135"/>
      <c r="P26" s="3399"/>
      <c r="Q26" s="1149"/>
      <c r="R26" s="1566"/>
      <c r="S26" s="1567"/>
      <c r="T26" s="1566"/>
      <c r="U26" s="1567"/>
      <c r="V26" s="1566"/>
      <c r="W26" s="1567"/>
      <c r="X26" s="1568"/>
      <c r="Y26" s="3399"/>
      <c r="Z26" s="1148"/>
      <c r="AA26" s="1569">
        <v>1</v>
      </c>
      <c r="AB26" s="1569">
        <v>1</v>
      </c>
      <c r="AC26" s="1569">
        <v>1</v>
      </c>
    </row>
    <row r="27" spans="1:29" s="1218" customFormat="1" ht="15">
      <c r="A27" s="575"/>
      <c r="B27" s="2591" t="s">
        <v>2550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99"/>
      <c r="Q27" s="2576" t="str">
        <f t="shared" ref="Q27" si="9">B27</f>
        <v>基础设施水平</v>
      </c>
      <c r="R27" s="1566" t="s">
        <v>8</v>
      </c>
      <c r="S27" s="1567">
        <f>F27</f>
        <v>100</v>
      </c>
      <c r="T27" s="1566" t="s">
        <v>8</v>
      </c>
      <c r="U27" s="1567">
        <f>H27</f>
        <v>100</v>
      </c>
      <c r="V27" s="1566" t="s">
        <v>8</v>
      </c>
      <c r="W27" s="1567">
        <f>J27</f>
        <v>100</v>
      </c>
      <c r="X27" s="1568"/>
      <c r="Y27" s="3399"/>
      <c r="Z27" s="2573" t="str">
        <f>Q27</f>
        <v>基础设施水平</v>
      </c>
      <c r="AA27" s="1574">
        <f>D27/F27</f>
        <v>1</v>
      </c>
      <c r="AB27" s="1574">
        <f>D27/H27</f>
        <v>1</v>
      </c>
      <c r="AC27" s="1574">
        <f>D27/J27</f>
        <v>1</v>
      </c>
    </row>
    <row r="28" spans="1:29" s="1218" customFormat="1" ht="15">
      <c r="A28" s="575"/>
      <c r="B28" s="593"/>
      <c r="C28" s="2590"/>
      <c r="D28" s="553"/>
      <c r="E28" s="577"/>
      <c r="F28" s="553"/>
      <c r="G28" s="577"/>
      <c r="H28" s="553"/>
      <c r="I28" s="577"/>
      <c r="J28" s="553"/>
      <c r="K28" s="529"/>
      <c r="L28" s="2133"/>
      <c r="M28" s="2134"/>
      <c r="N28" s="2134"/>
      <c r="O28" s="2135"/>
      <c r="P28" s="3399"/>
      <c r="Q28" s="2576"/>
      <c r="R28" s="1566"/>
      <c r="S28" s="1567"/>
      <c r="T28" s="1566"/>
      <c r="U28" s="1567"/>
      <c r="V28" s="1566"/>
      <c r="W28" s="1567"/>
      <c r="X28" s="1568"/>
      <c r="Y28" s="3399"/>
      <c r="Z28" s="2573"/>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9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9"/>
      <c r="Z29" s="1573" t="str">
        <f t="shared" ref="Z29:Z42" si="13">Q29</f>
        <v>临街状况</v>
      </c>
      <c r="AA29" s="1574">
        <f t="shared" si="3"/>
        <v>1</v>
      </c>
      <c r="AB29" s="1574">
        <f t="shared" si="4"/>
        <v>1</v>
      </c>
      <c r="AC29" s="1574">
        <f t="shared" si="5"/>
        <v>1</v>
      </c>
    </row>
    <row r="30" spans="1:29" ht="27">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99"/>
      <c r="Q30" s="1570" t="str">
        <f t="shared" si="8"/>
        <v>毗邻道路的类型与等级</v>
      </c>
      <c r="R30" s="1571" t="s">
        <v>8</v>
      </c>
      <c r="S30" s="1572">
        <f t="shared" si="10"/>
        <v>100</v>
      </c>
      <c r="T30" s="1571" t="s">
        <v>8</v>
      </c>
      <c r="U30" s="1572">
        <f t="shared" si="11"/>
        <v>100</v>
      </c>
      <c r="V30" s="1571" t="s">
        <v>8</v>
      </c>
      <c r="W30" s="1572">
        <f t="shared" si="12"/>
        <v>100</v>
      </c>
      <c r="X30" s="1565"/>
      <c r="Y30" s="3399"/>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0"/>
      <c r="M31" s="2132"/>
      <c r="N31" s="2132"/>
      <c r="O31" s="2139"/>
      <c r="P31" s="3399"/>
      <c r="Q31" s="1570"/>
      <c r="R31" s="1571"/>
      <c r="S31" s="1572"/>
      <c r="T31" s="1571"/>
      <c r="U31" s="1572"/>
      <c r="V31" s="1571"/>
      <c r="W31" s="1572"/>
      <c r="X31" s="1565"/>
      <c r="Y31" s="3399"/>
      <c r="Z31" s="1573"/>
      <c r="AA31" s="1574">
        <v>1</v>
      </c>
      <c r="AB31" s="1574">
        <v>1</v>
      </c>
      <c r="AC31" s="1574">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99"/>
      <c r="Q32" s="1570" t="str">
        <f t="shared" si="8"/>
        <v>土地级别</v>
      </c>
      <c r="R32" s="1571" t="s">
        <v>8</v>
      </c>
      <c r="S32" s="1572">
        <f t="shared" si="10"/>
        <v>100</v>
      </c>
      <c r="T32" s="1571" t="s">
        <v>8</v>
      </c>
      <c r="U32" s="1572">
        <f t="shared" si="11"/>
        <v>100</v>
      </c>
      <c r="V32" s="1571" t="s">
        <v>8</v>
      </c>
      <c r="W32" s="1572">
        <f t="shared" si="12"/>
        <v>100</v>
      </c>
      <c r="X32" s="1565"/>
      <c r="Y32" s="3399"/>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99"/>
      <c r="Q33" s="1570">
        <f t="shared" si="8"/>
        <v>111</v>
      </c>
      <c r="R33" s="1571" t="s">
        <v>8</v>
      </c>
      <c r="S33" s="1572">
        <f t="shared" si="10"/>
        <v>100</v>
      </c>
      <c r="T33" s="1571" t="s">
        <v>8</v>
      </c>
      <c r="U33" s="1572">
        <f t="shared" si="11"/>
        <v>100</v>
      </c>
      <c r="V33" s="1571" t="s">
        <v>8</v>
      </c>
      <c r="W33" s="1572">
        <f t="shared" si="12"/>
        <v>100</v>
      </c>
      <c r="X33" s="1565"/>
      <c r="Y33" s="3399"/>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00" t="s">
        <v>550</v>
      </c>
      <c r="Q34" s="1570">
        <f t="shared" si="8"/>
        <v>111</v>
      </c>
      <c r="R34" s="1571" t="s">
        <v>8</v>
      </c>
      <c r="S34" s="1572">
        <f t="shared" si="10"/>
        <v>100</v>
      </c>
      <c r="T34" s="1571" t="s">
        <v>8</v>
      </c>
      <c r="U34" s="1572">
        <f t="shared" si="11"/>
        <v>100</v>
      </c>
      <c r="V34" s="1571" t="s">
        <v>8</v>
      </c>
      <c r="W34" s="1572">
        <f t="shared" si="12"/>
        <v>100</v>
      </c>
      <c r="X34" s="1565"/>
      <c r="Y34" s="3401" t="s">
        <v>550</v>
      </c>
      <c r="Z34" s="1573">
        <f t="shared" si="13"/>
        <v>111</v>
      </c>
      <c r="AA34" s="1574">
        <f t="shared" si="3"/>
        <v>1</v>
      </c>
      <c r="AB34" s="1574">
        <f t="shared" si="4"/>
        <v>1</v>
      </c>
      <c r="AC34" s="1574">
        <f t="shared" si="5"/>
        <v>1</v>
      </c>
    </row>
    <row r="35" spans="1:29" s="1337" customFormat="1" ht="15.75"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01"/>
      <c r="Q35" s="1570">
        <f t="shared" si="8"/>
        <v>111</v>
      </c>
      <c r="R35" s="1575" t="s">
        <v>8</v>
      </c>
      <c r="S35" s="1576">
        <f t="shared" si="10"/>
        <v>100</v>
      </c>
      <c r="T35" s="1575" t="s">
        <v>8</v>
      </c>
      <c r="U35" s="1576">
        <f t="shared" si="11"/>
        <v>100</v>
      </c>
      <c r="V35" s="1575" t="s">
        <v>8</v>
      </c>
      <c r="W35" s="1576">
        <f t="shared" si="12"/>
        <v>100</v>
      </c>
      <c r="X35" s="1577"/>
      <c r="Y35" s="3401"/>
      <c r="Z35" s="1578">
        <f t="shared" si="13"/>
        <v>111</v>
      </c>
      <c r="AA35" s="1574">
        <f t="shared" si="3"/>
        <v>1</v>
      </c>
      <c r="AB35" s="1574">
        <f t="shared" si="4"/>
        <v>1</v>
      </c>
      <c r="AC35" s="1574">
        <f t="shared" si="5"/>
        <v>1</v>
      </c>
    </row>
    <row r="36" spans="1:29" ht="15">
      <c r="A36" s="2905"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01"/>
      <c r="Q36" s="1570" t="str">
        <f>B36</f>
        <v>宗地面积</v>
      </c>
      <c r="R36" s="1571" t="s">
        <v>8</v>
      </c>
      <c r="S36" s="1572" t="e">
        <f t="shared" si="10"/>
        <v>#N/A</v>
      </c>
      <c r="T36" s="1571" t="s">
        <v>8</v>
      </c>
      <c r="U36" s="1572" t="e">
        <f t="shared" si="11"/>
        <v>#N/A</v>
      </c>
      <c r="V36" s="1571" t="s">
        <v>8</v>
      </c>
      <c r="W36" s="1572" t="e">
        <f t="shared" si="12"/>
        <v>#N/A</v>
      </c>
      <c r="X36" s="1565"/>
      <c r="Y36" s="3401"/>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01"/>
      <c r="Q37" s="1570" t="str">
        <f t="shared" ref="Q37:Q42" si="14">B37</f>
        <v>宗地形状</v>
      </c>
      <c r="R37" s="1571" t="s">
        <v>8</v>
      </c>
      <c r="S37" s="1572">
        <f t="shared" si="10"/>
        <v>100</v>
      </c>
      <c r="T37" s="1571" t="s">
        <v>8</v>
      </c>
      <c r="U37" s="1572">
        <f t="shared" si="11"/>
        <v>100</v>
      </c>
      <c r="V37" s="1571" t="s">
        <v>8</v>
      </c>
      <c r="W37" s="1572">
        <f t="shared" si="12"/>
        <v>100</v>
      </c>
      <c r="X37" s="1565"/>
      <c r="Y37" s="3401"/>
      <c r="Z37" s="1573" t="str">
        <f t="shared" si="13"/>
        <v>宗地形状</v>
      </c>
      <c r="AA37" s="1574">
        <f t="shared" si="3"/>
        <v>1</v>
      </c>
      <c r="AB37" s="1574">
        <f t="shared" si="4"/>
        <v>1</v>
      </c>
      <c r="AC37" s="1574">
        <f t="shared" si="5"/>
        <v>1</v>
      </c>
    </row>
    <row r="38" spans="1:29" s="1218" customFormat="1" ht="15">
      <c r="A38" s="598"/>
      <c r="B38" s="1893"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01"/>
      <c r="Q38" s="1570" t="str">
        <f t="shared" si="14"/>
        <v>宗地开发程度</v>
      </c>
      <c r="R38" s="1566" t="s">
        <v>8</v>
      </c>
      <c r="S38" s="1567">
        <f t="shared" si="10"/>
        <v>100</v>
      </c>
      <c r="T38" s="1566" t="s">
        <v>8</v>
      </c>
      <c r="U38" s="1567">
        <f t="shared" si="11"/>
        <v>100</v>
      </c>
      <c r="V38" s="1566" t="s">
        <v>8</v>
      </c>
      <c r="W38" s="1567">
        <f t="shared" si="12"/>
        <v>100</v>
      </c>
      <c r="X38" s="1568"/>
      <c r="Y38" s="3401"/>
      <c r="Z38" s="1148"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01" t="s">
        <v>601</v>
      </c>
      <c r="Q39" s="1570" t="str">
        <f t="shared" si="14"/>
        <v>工程地质条件</v>
      </c>
      <c r="R39" s="1571" t="s">
        <v>8</v>
      </c>
      <c r="S39" s="1572">
        <f t="shared" si="10"/>
        <v>100</v>
      </c>
      <c r="T39" s="1571" t="s">
        <v>8</v>
      </c>
      <c r="U39" s="1572">
        <f t="shared" si="11"/>
        <v>100</v>
      </c>
      <c r="V39" s="1571" t="s">
        <v>8</v>
      </c>
      <c r="W39" s="1572">
        <f t="shared" si="12"/>
        <v>100</v>
      </c>
      <c r="X39" s="1565"/>
      <c r="Y39" s="3401"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01"/>
      <c r="Q40" s="1570">
        <f t="shared" si="14"/>
        <v>111</v>
      </c>
      <c r="R40" s="1571" t="s">
        <v>8</v>
      </c>
      <c r="S40" s="1572">
        <f t="shared" si="10"/>
        <v>100</v>
      </c>
      <c r="T40" s="1571" t="s">
        <v>8</v>
      </c>
      <c r="U40" s="1572">
        <f t="shared" si="11"/>
        <v>100</v>
      </c>
      <c r="V40" s="1571" t="s">
        <v>8</v>
      </c>
      <c r="W40" s="1572">
        <f t="shared" si="12"/>
        <v>100</v>
      </c>
      <c r="X40" s="1565"/>
      <c r="Y40" s="3401"/>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01"/>
      <c r="Q41" s="1570">
        <f t="shared" si="14"/>
        <v>111</v>
      </c>
      <c r="R41" s="1571" t="s">
        <v>8</v>
      </c>
      <c r="S41" s="1572">
        <f t="shared" si="10"/>
        <v>100</v>
      </c>
      <c r="T41" s="1571" t="s">
        <v>8</v>
      </c>
      <c r="U41" s="1572">
        <f t="shared" si="11"/>
        <v>100</v>
      </c>
      <c r="V41" s="1571" t="s">
        <v>8</v>
      </c>
      <c r="W41" s="1572">
        <f t="shared" si="12"/>
        <v>100</v>
      </c>
      <c r="X41" s="1565"/>
      <c r="Y41" s="3401"/>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01"/>
      <c r="Q42" s="1570">
        <f t="shared" si="14"/>
        <v>111</v>
      </c>
      <c r="R42" s="1575" t="s">
        <v>8</v>
      </c>
      <c r="S42" s="1576">
        <f t="shared" si="10"/>
        <v>100</v>
      </c>
      <c r="T42" s="1575" t="s">
        <v>8</v>
      </c>
      <c r="U42" s="1576">
        <f t="shared" si="11"/>
        <v>100</v>
      </c>
      <c r="V42" s="1575" t="s">
        <v>8</v>
      </c>
      <c r="W42" s="1576">
        <f t="shared" si="12"/>
        <v>100</v>
      </c>
      <c r="X42" s="1577"/>
      <c r="Y42" s="3401"/>
      <c r="Z42" s="1578">
        <f t="shared" si="13"/>
        <v>111</v>
      </c>
      <c r="AA42" s="1574">
        <f t="shared" si="3"/>
        <v>1</v>
      </c>
      <c r="AB42" s="1574">
        <f t="shared" si="4"/>
        <v>1</v>
      </c>
      <c r="AC42" s="1574">
        <f t="shared" si="5"/>
        <v>1</v>
      </c>
    </row>
    <row r="43" spans="1:29" ht="15">
      <c r="A43" s="605" t="s">
        <v>556</v>
      </c>
      <c r="B43" s="606" t="s">
        <v>2927</v>
      </c>
      <c r="C43" s="607" t="s">
        <v>1</v>
      </c>
      <c r="D43" s="608"/>
      <c r="E43" s="609"/>
      <c r="F43" s="610"/>
      <c r="G43" s="611"/>
      <c r="H43" s="612"/>
      <c r="I43" s="609"/>
      <c r="J43" s="612"/>
      <c r="K43" s="1338"/>
      <c r="L43" s="2142"/>
      <c r="M43" s="2132"/>
      <c r="N43" s="2132"/>
      <c r="O43" s="2143"/>
      <c r="P43" s="3362" t="str">
        <f>A43</f>
        <v>成交单价</v>
      </c>
      <c r="Q43" s="3362"/>
      <c r="R43" s="3363">
        <f>E43</f>
        <v>0</v>
      </c>
      <c r="S43" s="3363"/>
      <c r="T43" s="3363">
        <f>G43</f>
        <v>0</v>
      </c>
      <c r="U43" s="3363"/>
      <c r="V43" s="3363">
        <f>I43</f>
        <v>0</v>
      </c>
      <c r="W43" s="3363"/>
      <c r="X43" s="1557"/>
      <c r="Y43" s="1579"/>
      <c r="Z43" s="1557"/>
      <c r="AA43" s="1557"/>
      <c r="AB43" s="1557"/>
      <c r="AC43" s="1557"/>
    </row>
    <row r="44" spans="1:29" ht="15.75" thickBot="1">
      <c r="A44" s="613" t="s">
        <v>2694</v>
      </c>
      <c r="B44" s="614"/>
      <c r="C44" s="615" t="e">
        <f>R45</f>
        <v>#DIV/0!</v>
      </c>
      <c r="D44" s="616"/>
      <c r="E44" s="615" t="e">
        <f>R44</f>
        <v>#DIV/0!</v>
      </c>
      <c r="F44" s="617"/>
      <c r="G44" s="618" t="e">
        <f>T44</f>
        <v>#DIV/0!</v>
      </c>
      <c r="H44" s="616"/>
      <c r="I44" s="615" t="e">
        <f>V44</f>
        <v>#DIV/0!</v>
      </c>
      <c r="J44" s="616"/>
      <c r="K44" s="1339"/>
      <c r="L44" s="2142"/>
      <c r="M44" s="2132"/>
      <c r="N44" s="2132"/>
      <c r="O44" s="2143"/>
      <c r="P44" s="3362" t="str">
        <f>A44</f>
        <v>比较价格（元/平方米）</v>
      </c>
      <c r="Q44" s="3362"/>
      <c r="R44" s="3364" t="e">
        <f>ROUND(PRODUCT(R43,AA9:AA42),0)</f>
        <v>#DIV/0!</v>
      </c>
      <c r="S44" s="3364"/>
      <c r="T44" s="3364" t="e">
        <f>ROUND(PRODUCT(T43,AB9:AB42),0)</f>
        <v>#DIV/0!</v>
      </c>
      <c r="U44" s="3364"/>
      <c r="V44" s="3364" t="e">
        <f>ROUND(PRODUCT(V43,AC9:AC42),0)</f>
        <v>#DIV/0!</v>
      </c>
      <c r="W44" s="3364"/>
      <c r="X44" s="1557"/>
      <c r="Y44" s="1557"/>
      <c r="Z44" s="1557"/>
      <c r="AA44" s="1557"/>
      <c r="AB44" s="1557"/>
      <c r="AC44" s="1557"/>
    </row>
    <row r="45" spans="1:29" ht="15.75" thickBot="1">
      <c r="A45" s="619" t="s">
        <v>2928</v>
      </c>
      <c r="B45" s="620"/>
      <c r="C45" s="621" t="e">
        <f>R45</f>
        <v>#DIV/0!</v>
      </c>
      <c r="D45" s="621"/>
      <c r="E45" s="621"/>
      <c r="F45" s="621"/>
      <c r="G45" s="621"/>
      <c r="H45" s="621"/>
      <c r="I45" s="621"/>
      <c r="J45" s="621"/>
      <c r="K45" s="1340"/>
      <c r="L45" s="2142"/>
      <c r="M45" s="2132"/>
      <c r="N45" s="2132"/>
      <c r="O45" s="2143"/>
      <c r="P45" s="3359" t="str">
        <f>A45</f>
        <v>估价对象XX用房的比较价格（楼面单价，元/平方米）</v>
      </c>
      <c r="Q45" s="3360"/>
      <c r="R45" s="3361" t="e">
        <f>ROUND(AVERAGE(R44:V44),0)</f>
        <v>#DIV/0!</v>
      </c>
      <c r="S45" s="3361"/>
      <c r="T45" s="3361"/>
      <c r="U45" s="3361"/>
      <c r="V45" s="3361"/>
      <c r="W45" s="3361"/>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8" t="s">
        <v>1725</v>
      </c>
      <c r="D52" s="2225" t="s">
        <v>2294</v>
      </c>
      <c r="E52" s="629" t="s">
        <v>562</v>
      </c>
      <c r="F52" s="1949" t="s">
        <v>563</v>
      </c>
      <c r="G52" s="3409" t="s">
        <v>2285</v>
      </c>
      <c r="H52" s="3410"/>
      <c r="I52" s="1950" t="s">
        <v>1948</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97997</v>
      </c>
      <c r="F53" s="1948" t="e">
        <f t="shared" ref="F53:F62" si="15">ROUND(B53*E53/10000,0)</f>
        <v>#DIV/0!</v>
      </c>
      <c r="G53" s="3411"/>
      <c r="H53" s="3412"/>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0.6</v>
      </c>
      <c r="D54" s="2227">
        <v>0.25</v>
      </c>
      <c r="E54" s="637"/>
      <c r="F54" s="1948" t="e">
        <f t="shared" si="15"/>
        <v>#DIV/0!</v>
      </c>
      <c r="G54" s="3413" t="s">
        <v>2286</v>
      </c>
      <c r="H54" s="1952" t="str">
        <f>项目基本情况!B43</f>
        <v>十一级</v>
      </c>
      <c r="I54" s="1951">
        <f>SUMIF(修正!$A$45:$A$56,H54,修正!B45:B56)</f>
        <v>0.6</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0.3</v>
      </c>
      <c r="D55" s="2227">
        <v>0.25</v>
      </c>
      <c r="E55" s="637"/>
      <c r="F55" s="1948" t="e">
        <f t="shared" si="15"/>
        <v>#DIV/0!</v>
      </c>
      <c r="G55" s="3413"/>
      <c r="H55" s="1953" t="str">
        <f>项目基本情况!B43</f>
        <v>十一级</v>
      </c>
      <c r="I55" s="1951">
        <f>SUMIF(修正!$A$45:$A$56,H55,修正!C45:C56)</f>
        <v>0.3</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0.2</v>
      </c>
      <c r="D56" s="2227">
        <v>0.25</v>
      </c>
      <c r="E56" s="637"/>
      <c r="F56" s="1948" t="e">
        <f t="shared" si="15"/>
        <v>#DIV/0!</v>
      </c>
      <c r="G56" s="3413"/>
      <c r="H56" s="1953" t="str">
        <f>项目基本情况!B43</f>
        <v>十一级</v>
      </c>
      <c r="I56" s="1951">
        <f>SUMIF(修正!$A$45:$A$56,H56,修正!D45:D56)</f>
        <v>0.2</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0.2</v>
      </c>
      <c r="D57" s="2227">
        <v>0.25</v>
      </c>
      <c r="E57" s="637"/>
      <c r="F57" s="1948" t="e">
        <f t="shared" si="15"/>
        <v>#DIV/0!</v>
      </c>
      <c r="G57" s="3413"/>
      <c r="H57" s="1953" t="str">
        <f>项目基本情况!B43</f>
        <v>十一级</v>
      </c>
      <c r="I57" s="1951">
        <f>SUMIF(修正!$A$45:$A$56,H57,修正!E45:E56)</f>
        <v>0.2</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6" t="e">
        <f t="shared" si="17"/>
        <v>#DIV/0!</v>
      </c>
      <c r="C58" s="376">
        <f t="shared" si="16"/>
        <v>0.2</v>
      </c>
      <c r="D58" s="2227">
        <v>0.25</v>
      </c>
      <c r="E58" s="639">
        <f>'数据-汇总表'!E11</f>
        <v>0</v>
      </c>
      <c r="F58" s="1948" t="e">
        <f t="shared" si="15"/>
        <v>#DIV/0!</v>
      </c>
      <c r="G58" s="1954" t="s">
        <v>2287</v>
      </c>
      <c r="H58" s="1953" t="str">
        <f>项目基本情况!C43</f>
        <v>十一级</v>
      </c>
      <c r="I58" s="1951">
        <f>SUMIF(修正!$A$45:$A$56,H58,修正!F45:F56)</f>
        <v>0.2</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0.2</v>
      </c>
      <c r="D59" s="2227">
        <v>0.25</v>
      </c>
      <c r="E59" s="639">
        <f>'数据-汇总表'!E12</f>
        <v>10390.44</v>
      </c>
      <c r="F59" s="1948" t="e">
        <f t="shared" si="15"/>
        <v>#DIV/0!</v>
      </c>
      <c r="G59" s="1944" t="s">
        <v>1678</v>
      </c>
      <c r="H59" s="1952" t="str">
        <f>IF(G59="商业",项目基本情况!B43,IF(G59="办公",项目基本情况!C43,IF(G59="住宅",项目基本情况!D43,项目基本情况!E43)))</f>
        <v>十一级</v>
      </c>
      <c r="I59" s="1951">
        <f>SUMIF(修正!$A$45:$A$56,H59,修正!G45:G56)</f>
        <v>0.2</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0.15</v>
      </c>
      <c r="D60" s="2227">
        <v>0.25</v>
      </c>
      <c r="E60" s="639">
        <f>'数据-汇总表'!E13</f>
        <v>39760</v>
      </c>
      <c r="F60" s="1948" t="e">
        <f t="shared" si="15"/>
        <v>#DIV/0!</v>
      </c>
      <c r="G60" s="1944" t="s">
        <v>923</v>
      </c>
      <c r="H60" s="1952" t="str">
        <f>IF(G60="商业",项目基本情况!B43,IF(G60="办公",项目基本情况!C43,IF(G60="住宅",项目基本情况!D43,项目基本情况!E43)))</f>
        <v>十一级</v>
      </c>
      <c r="I60" s="1951">
        <f>SUMIF(修正!$A$45:$A$56,H60,修正!H45:H56)</f>
        <v>0.15</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0.15</v>
      </c>
      <c r="D61" s="2227">
        <v>0.25</v>
      </c>
      <c r="E61" s="639">
        <f>'数据-汇总表'!E14</f>
        <v>0</v>
      </c>
      <c r="F61" s="1948" t="e">
        <f t="shared" si="15"/>
        <v>#DIV/0!</v>
      </c>
      <c r="G61" s="1954" t="s">
        <v>2286</v>
      </c>
      <c r="H61" s="1953" t="str">
        <f>项目基本情况!B43</f>
        <v>十一级</v>
      </c>
      <c r="I61" s="1951">
        <f>SUMIF(修正!$A$45:$A$56,H61,修正!H45:H56)</f>
        <v>0.15</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0.15</v>
      </c>
      <c r="D62" s="2227">
        <v>0.25</v>
      </c>
      <c r="E62" s="639">
        <f>'数据-汇总表'!E15</f>
        <v>0</v>
      </c>
      <c r="F62" s="1948" t="e">
        <f t="shared" si="15"/>
        <v>#DIV/0!</v>
      </c>
      <c r="G62" s="1955" t="s">
        <v>2287</v>
      </c>
      <c r="H62" s="1956" t="str">
        <f>项目基本情况!C43</f>
        <v>十一级</v>
      </c>
      <c r="I62" s="1951">
        <f>SUMIF(修正!$A$45:$A$56,H62,修正!H45:H56)</f>
        <v>0.15</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2295</v>
      </c>
      <c r="E63" s="641">
        <f>IF(B43="楼面地价",SUM(E53:E62),'数据-汇总表'!D3)</f>
        <v>81664.259999999995</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2018-8-1</v>
      </c>
      <c r="D65" s="2797">
        <f>EDATE(C65,-3)</f>
        <v>43221</v>
      </c>
      <c r="E65" s="2797">
        <f t="shared" ref="E65:N65" si="18">EDATE(D65,-3)</f>
        <v>43132</v>
      </c>
      <c r="F65" s="2797">
        <f t="shared" si="18"/>
        <v>43040</v>
      </c>
      <c r="G65" s="2797">
        <f t="shared" si="18"/>
        <v>42948</v>
      </c>
      <c r="H65" s="2797">
        <f t="shared" si="18"/>
        <v>42856</v>
      </c>
      <c r="I65" s="2797">
        <f t="shared" si="18"/>
        <v>42767</v>
      </c>
      <c r="J65" s="2797">
        <f t="shared" si="18"/>
        <v>42675</v>
      </c>
      <c r="K65" s="2797">
        <f t="shared" si="18"/>
        <v>42583</v>
      </c>
      <c r="L65" s="2797">
        <f t="shared" si="18"/>
        <v>42491</v>
      </c>
      <c r="M65" s="2797">
        <f t="shared" si="18"/>
        <v>42401</v>
      </c>
      <c r="N65" s="2797">
        <f t="shared" si="18"/>
        <v>42309</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66" t="s">
        <v>2534</v>
      </c>
      <c r="B67" s="644"/>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2650</v>
      </c>
      <c r="B68" s="477" t="str">
        <f>"北京市平均增长率"&amp;TEXT(基准地价!P24,"0.00%")</f>
        <v>北京市平均增长率1.41%</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95" t="s">
        <v>2551</v>
      </c>
      <c r="C95" s="2596" t="s">
        <v>2552</v>
      </c>
      <c r="D95" s="2596" t="s">
        <v>2553</v>
      </c>
      <c r="E95" s="2596" t="s">
        <v>2554</v>
      </c>
      <c r="F95" s="2596" t="s">
        <v>2555</v>
      </c>
      <c r="G95" s="2596"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2426</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50"/>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33" t="s">
        <v>2763</v>
      </c>
      <c r="S1" s="2933" t="s">
        <v>2764</v>
      </c>
      <c r="T1" s="2933" t="s">
        <v>2785</v>
      </c>
      <c r="U1" s="2933" t="s">
        <v>2786</v>
      </c>
      <c r="V1" s="2933" t="s">
        <v>2787</v>
      </c>
      <c r="W1" s="2187"/>
      <c r="X1" s="2187"/>
      <c r="Y1" s="2187"/>
      <c r="Z1" s="2187"/>
      <c r="AA1" s="2187"/>
      <c r="AB1" s="2187"/>
      <c r="AC1" s="2188"/>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09" t="s">
        <v>1688</v>
      </c>
      <c r="B3" s="1036" t="e">
        <f>ROUND(B2*10000/D1,0)</f>
        <v>#DIV/0!</v>
      </c>
      <c r="C3" s="1405" t="s">
        <v>927</v>
      </c>
      <c r="D3" s="1406" t="s">
        <v>928</v>
      </c>
      <c r="E3" s="1410"/>
      <c r="F3" s="1411" t="s">
        <v>2929</v>
      </c>
      <c r="G3" s="1037">
        <f>IF(F3="宗地容积率",'数据-汇总表'!I4,IF(F3="估价对象容积率",'数据-汇总表'!I6,'数据-汇总表'!I7))</f>
        <v>1.2</v>
      </c>
      <c r="H3" s="1412" t="s">
        <v>929</v>
      </c>
      <c r="I3" s="1038">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2281</v>
      </c>
      <c r="B4" s="2451"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9" customFormat="1" ht="15.75" thickBot="1">
      <c r="A5" s="1636" t="s">
        <v>1824</v>
      </c>
      <c r="B5" s="1413" t="s">
        <v>931</v>
      </c>
      <c r="C5" s="1039" t="e">
        <f>ROUND(IF(E2="商业",IF(F16="增加",C6*C7+C16,C6*C7-C16),IF(E2="住宅",IF(F16="增加",C6*C12+C16,C6*C12-C16),IF(F16="增加",C6+C16,C6-C16))),0)</f>
        <v>#DIV/0!</v>
      </c>
      <c r="D5" s="3117">
        <f>ROUND(IF(E2="商业",IF(F16="增加",C6+C16,C6-C16)),0)</f>
        <v>0</v>
      </c>
      <c r="E5" s="141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7"/>
      <c r="AE6" s="1417"/>
      <c r="AF6" s="1417"/>
      <c r="AG6" s="1417"/>
      <c r="AH6" s="1417"/>
      <c r="AI6" s="1417"/>
      <c r="AJ6" s="1418"/>
    </row>
    <row r="7" spans="1:39" ht="24">
      <c r="A7" s="3423" t="str">
        <f>IF(E2="商业",IF(C8="不临58条商业街","",2),"")</f>
        <v/>
      </c>
      <c r="B7" s="1425" t="s">
        <v>932</v>
      </c>
      <c r="C7" s="1041" t="e">
        <f>IF(C8="不临58条商业街",1,ROUND(1+(1.6*E8+1.2*E9+0.8*E10+0.4*E11)*C9,4))</f>
        <v>#DIV/0!</v>
      </c>
      <c r="D7" s="1426" t="s">
        <v>933</v>
      </c>
      <c r="E7" s="1042"/>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1.2</v>
      </c>
      <c r="AA7" s="2190"/>
      <c r="AB7" s="2190"/>
      <c r="AC7" s="2191"/>
      <c r="AD7" s="2926"/>
      <c r="AE7" s="2926"/>
      <c r="AF7" s="2926"/>
      <c r="AG7" s="2926"/>
      <c r="AH7" s="2926"/>
      <c r="AI7" s="2926"/>
      <c r="AJ7" s="2927"/>
    </row>
    <row r="8" spans="1:39" ht="15">
      <c r="A8" s="3424"/>
      <c r="B8" s="1412" t="s">
        <v>934</v>
      </c>
      <c r="C8" s="1527"/>
      <c r="D8" s="1043" t="s">
        <v>935</v>
      </c>
      <c r="E8" s="1044"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15" t="s">
        <v>2784</v>
      </c>
      <c r="X8" s="3416"/>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24"/>
      <c r="B9" s="1412" t="s">
        <v>937</v>
      </c>
      <c r="C9" s="1045">
        <f>SUMIF(修正!C59:C119,C8,修正!E59:E119)</f>
        <v>0</v>
      </c>
      <c r="D9" s="1046" t="s">
        <v>938</v>
      </c>
      <c r="E9" s="1046"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14" t="s">
        <v>2780</v>
      </c>
      <c r="X9" s="2928" t="s">
        <v>2781</v>
      </c>
      <c r="Y9" s="3095"/>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24"/>
      <c r="B10" s="1412" t="s">
        <v>940</v>
      </c>
      <c r="C10" s="1046">
        <f>SUMIF(修正!C59:C119,C8,修正!F59:F119)</f>
        <v>0</v>
      </c>
      <c r="D10" s="1046" t="s">
        <v>941</v>
      </c>
      <c r="E10" s="1046"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14"/>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24"/>
      <c r="B11" s="1433" t="s">
        <v>943</v>
      </c>
      <c r="C11" s="1047">
        <f>C10/4</f>
        <v>0</v>
      </c>
      <c r="D11" s="1047" t="s">
        <v>944</v>
      </c>
      <c r="E11" s="1047"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14" t="s">
        <v>2782</v>
      </c>
      <c r="X11" s="1046" t="s">
        <v>2767</v>
      </c>
      <c r="Y11" s="1651">
        <f>$G$3</f>
        <v>1.2</v>
      </c>
      <c r="Z11" s="1651">
        <f t="shared" ref="Z11:AJ11" si="3">$G$3</f>
        <v>1.2</v>
      </c>
      <c r="AA11" s="1651">
        <f t="shared" si="3"/>
        <v>1.2</v>
      </c>
      <c r="AB11" s="1651">
        <f t="shared" si="3"/>
        <v>1.2</v>
      </c>
      <c r="AC11" s="1651">
        <f t="shared" si="3"/>
        <v>1.2</v>
      </c>
      <c r="AD11" s="1651">
        <f t="shared" si="3"/>
        <v>1.2</v>
      </c>
      <c r="AE11" s="1651">
        <f t="shared" si="3"/>
        <v>1.2</v>
      </c>
      <c r="AF11" s="1651">
        <f t="shared" si="3"/>
        <v>1.2</v>
      </c>
      <c r="AG11" s="1651">
        <f t="shared" si="3"/>
        <v>1.2</v>
      </c>
      <c r="AH11" s="1651">
        <f t="shared" si="3"/>
        <v>1.2</v>
      </c>
      <c r="AI11" s="1651">
        <f t="shared" si="3"/>
        <v>1.2</v>
      </c>
      <c r="AJ11" s="1651">
        <f t="shared" si="3"/>
        <v>1.2</v>
      </c>
    </row>
    <row r="12" spans="1:39" ht="25.5" thickBot="1">
      <c r="A12" s="3423" t="s">
        <v>1872</v>
      </c>
      <c r="B12" s="1437" t="s">
        <v>946</v>
      </c>
      <c r="C12" s="1041">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14"/>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25"/>
      <c r="B13" s="1442" t="s">
        <v>1697</v>
      </c>
      <c r="C13" s="1443" t="s">
        <v>1698</v>
      </c>
      <c r="D13" s="1087" t="s">
        <v>1699</v>
      </c>
      <c r="E13" s="1087" t="s">
        <v>1700</v>
      </c>
      <c r="F13" s="1444" t="s">
        <v>948</v>
      </c>
      <c r="G13" s="1445" t="s">
        <v>1643</v>
      </c>
      <c r="H13" s="1446" t="s">
        <v>1643</v>
      </c>
      <c r="I13" s="1447" t="s">
        <v>1643</v>
      </c>
      <c r="J13" s="1448" t="s">
        <v>1643</v>
      </c>
      <c r="K13" s="1399"/>
      <c r="L13" s="2187"/>
      <c r="M13" s="2187"/>
      <c r="N13" s="2187"/>
      <c r="O13" s="2187"/>
      <c r="P13" s="2187"/>
      <c r="Q13" s="2187"/>
      <c r="R13" s="2934">
        <v>12</v>
      </c>
      <c r="S13" s="2923"/>
      <c r="T13" s="2934" t="e">
        <f t="shared" si="0"/>
        <v>#DIV/0!</v>
      </c>
      <c r="U13" s="2923"/>
      <c r="V13" s="2934" t="e">
        <f t="shared" si="1"/>
        <v>#DIV/0!</v>
      </c>
      <c r="W13" s="3414"/>
      <c r="X13" s="2931"/>
      <c r="Y13" s="2930">
        <f>(-0.163*(Y12^2)-0.59*Y12+7617)*(10^(-4))/Y11</f>
        <v>0.63475000000000004</v>
      </c>
      <c r="Z13" s="2930">
        <f t="shared" ref="Z13:AJ13" si="5">(-0.163*(Z12^2)-0.59*Z12+7617)*(10^(-4))/Z11</f>
        <v>0.63475000000000004</v>
      </c>
      <c r="AA13" s="2930">
        <f t="shared" si="5"/>
        <v>0.63475000000000004</v>
      </c>
      <c r="AB13" s="2930">
        <f t="shared" si="5"/>
        <v>0.63475000000000004</v>
      </c>
      <c r="AC13" s="2930">
        <f t="shared" si="5"/>
        <v>0.63475000000000004</v>
      </c>
      <c r="AD13" s="2930">
        <f t="shared" si="5"/>
        <v>0.63475000000000004</v>
      </c>
      <c r="AE13" s="2930">
        <f t="shared" si="5"/>
        <v>0.63475000000000004</v>
      </c>
      <c r="AF13" s="2930">
        <f t="shared" si="5"/>
        <v>0.63475000000000004</v>
      </c>
      <c r="AG13" s="2930">
        <f t="shared" si="5"/>
        <v>0.63475000000000004</v>
      </c>
      <c r="AH13" s="2930">
        <f t="shared" si="5"/>
        <v>0.63475000000000004</v>
      </c>
      <c r="AI13" s="2930">
        <f t="shared" si="5"/>
        <v>0.63475000000000004</v>
      </c>
      <c r="AJ13" s="2930">
        <f t="shared" si="5"/>
        <v>0.63475000000000004</v>
      </c>
    </row>
    <row r="14" spans="1:39" ht="12.75" customHeight="1" thickBot="1">
      <c r="A14" s="3425"/>
      <c r="B14" s="1449"/>
      <c r="C14" s="1450"/>
      <c r="D14" s="1451"/>
      <c r="E14" s="1451"/>
      <c r="F14" s="1452"/>
      <c r="G14" s="1453" t="s">
        <v>949</v>
      </c>
      <c r="H14" s="1454"/>
      <c r="I14" s="1455"/>
      <c r="J14" s="1456"/>
      <c r="K14" s="1399"/>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26"/>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7"/>
      <c r="R15" s="2934">
        <v>14</v>
      </c>
      <c r="S15" s="2923"/>
      <c r="T15" s="2934" t="e">
        <f t="shared" si="0"/>
        <v>#DIV/0!</v>
      </c>
      <c r="U15" s="2923"/>
      <c r="V15" s="2934" t="e">
        <f t="shared" si="1"/>
        <v>#DIV/0!</v>
      </c>
      <c r="W15" s="2187"/>
      <c r="X15" s="2187"/>
      <c r="Y15" s="2187"/>
      <c r="Z15" s="2187"/>
      <c r="AA15" s="2187"/>
      <c r="AB15" s="2187"/>
      <c r="AC15" s="2188"/>
    </row>
    <row r="16" spans="1:39" ht="24">
      <c r="A16" s="3423"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424"/>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ROUND(IF(H19="按公示增长率计算",SUMPRODUCT((地价!A3:A23=YEAR(G19)&amp;"-"&amp;ROUNDUP(MONTH(G19)/3,0))*(地价!X2:AB2=E2)*(地价!X3:AB23)),IF(H19="地价指数",M20/M19,(1+I19)^O19)),4)</f>
        <v>#DIV/0!</v>
      </c>
      <c r="D19" s="1472" t="s">
        <v>958</v>
      </c>
      <c r="E19" s="1056">
        <v>41640</v>
      </c>
      <c r="F19" s="1472" t="s">
        <v>959</v>
      </c>
      <c r="G19" s="1057">
        <f>'数据-取费表'!B2</f>
        <v>43327</v>
      </c>
      <c r="H19" s="1473" t="s">
        <v>2930</v>
      </c>
      <c r="I19" s="2782" t="str">
        <f>IF(H19="季度增幅（自定义）",SUMIF(N21:N24,E2,O21:O24),"")</f>
        <v/>
      </c>
      <c r="J19" s="1469"/>
      <c r="K19" s="1479"/>
      <c r="L19" s="3036" t="s">
        <v>2842</v>
      </c>
      <c r="M19" s="3037">
        <f>ROUND(SUMIF(地价!B2:F2,E2,地价!B23:F23),0)</f>
        <v>0</v>
      </c>
      <c r="N19" s="2784" t="s">
        <v>1677</v>
      </c>
      <c r="O19" s="2783">
        <f>ROUNDDOWN(DATEDIF(E19,G19,"M")/3,0)</f>
        <v>18</v>
      </c>
      <c r="P19" s="1594"/>
      <c r="R19" s="2922"/>
      <c r="S19" s="2922"/>
      <c r="T19" s="2922"/>
      <c r="U19" s="2922"/>
      <c r="V19" s="2922"/>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2">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8" t="s">
        <v>2843</v>
      </c>
      <c r="M20" s="3039">
        <f>ROUND(SUMPRODUCT((地价!A4:A23=YEAR(G19)&amp;"-"&amp;ROUNDUP(MONTH(G19)/3,0))*(地价!B2:F2=E2)*(地价!B4:F23)),0)</f>
        <v>0</v>
      </c>
      <c r="N20" s="2787" t="s">
        <v>2646</v>
      </c>
      <c r="O20" s="2785" t="s">
        <v>2645</v>
      </c>
      <c r="P20" s="2786" t="s">
        <v>2651</v>
      </c>
      <c r="R20" s="2922"/>
      <c r="S20" s="2922"/>
      <c r="T20" s="2922"/>
      <c r="U20" s="2922"/>
      <c r="V20" s="2922"/>
      <c r="W20" s="2193"/>
      <c r="X20" s="2193"/>
      <c r="Y20" s="2193"/>
      <c r="Z20" s="2193"/>
      <c r="AA20" s="2193"/>
      <c r="AB20" s="2193"/>
      <c r="AC20" s="2193"/>
      <c r="AD20" s="1470"/>
      <c r="AE20" s="1470"/>
      <c r="AF20" s="1470"/>
      <c r="AG20" s="1470"/>
      <c r="AH20" s="1470"/>
      <c r="AI20" s="1470"/>
    </row>
    <row r="21" spans="1:40" s="1419" customFormat="1" ht="14.25">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67">
        <f>SUMPRODUCT((地价!A3:A23=YEAR(G19)&amp;"-"&amp;ROUNDUP(MONTH(G19)/3,0))*(地价!AD2:AH2=N21)*(地价!AD3:AH23))</f>
        <v>1.54E-2</v>
      </c>
      <c r="R21" s="2922"/>
      <c r="S21" s="2922"/>
      <c r="T21" s="2922"/>
      <c r="U21" s="2922"/>
      <c r="V21" s="2922"/>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8" t="s">
        <v>1703</v>
      </c>
      <c r="D22" s="1058" t="b">
        <f>IF(E22=G22,F22,IF(G3&lt;=10,ROUND(F22+(H22-F22)*(G3-E22)/(G22-E22),4),"——"))</f>
        <v>0</v>
      </c>
      <c r="E22" s="1037">
        <f>ROUNDDOWN(G3,1)</f>
        <v>1.2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7">
        <f>SUMPRODUCT((地价!A3:A23=YEAR(G19)&amp;"-"&amp;ROUNDUP(MONTH(G19)/3,0))*(地价!AD2:AH2=N22)*(地价!AD3:AH23))</f>
        <v>1.54E-2</v>
      </c>
      <c r="R22" s="2922"/>
      <c r="S22" s="2922"/>
      <c r="T22" s="2922"/>
      <c r="U22" s="2922"/>
      <c r="V22" s="2922"/>
      <c r="W22" s="2193"/>
      <c r="X22" s="2193"/>
      <c r="Y22" s="2193"/>
      <c r="Z22" s="2193"/>
      <c r="AA22" s="2193"/>
      <c r="AB22" s="2193"/>
      <c r="AC22" s="2193"/>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SUMPRODUCT((地价!A3:A23=YEAR(G19)&amp;"-"&amp;ROUNDUP(MONTH(G19)/3,0))*(地价!AD2:AH2=N23)*(地价!AD3:AH23))</f>
        <v>2.4500000000000001E-2</v>
      </c>
      <c r="R23" s="2922"/>
      <c r="S23" s="2922"/>
      <c r="T23" s="2922"/>
      <c r="U23" s="2922"/>
      <c r="V23" s="2922"/>
      <c r="W23" s="2193"/>
      <c r="X23" s="2193"/>
      <c r="Y23" s="2193"/>
      <c r="Z23" s="2193"/>
      <c r="AA23" s="2193"/>
      <c r="AB23" s="2193"/>
      <c r="AC23" s="2193"/>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SUMPRODUCT((地价!A3:A23=YEAR(G19)&amp;"-"&amp;ROUNDUP(MONTH(G19)/3,0))*(地价!AD2:AH2=N24)*(地价!AD3:AH23))</f>
        <v>1.41E-2</v>
      </c>
      <c r="R24" s="2922"/>
      <c r="S24" s="2922"/>
      <c r="T24" s="2922"/>
      <c r="U24" s="2922"/>
      <c r="V24" s="2922"/>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95" t="s">
        <v>2649</v>
      </c>
      <c r="O25" s="2193"/>
      <c r="P25" s="1539">
        <f>SUMPRODUCT((地价!A3:A23=YEAR(G19)&amp;"-"&amp;ROUNDUP(MONTH(G19)/3,0))*(地价!AD2:AH2=N25)*(地价!AD3:AH23))</f>
        <v>2.23E-2</v>
      </c>
      <c r="R25" s="2922"/>
      <c r="S25" s="2922"/>
      <c r="T25" s="2922"/>
      <c r="U25" s="2922"/>
      <c r="V25" s="2922"/>
      <c r="W25" s="2193"/>
      <c r="X25" s="2193"/>
      <c r="Y25" s="2193"/>
      <c r="Z25" s="2193"/>
      <c r="AA25" s="2193"/>
      <c r="AB25" s="2193"/>
      <c r="AC25" s="2193"/>
    </row>
    <row r="26" spans="1:40" ht="14.25">
      <c r="A26" s="1487"/>
      <c r="B26" s="1481" t="s">
        <v>987</v>
      </c>
      <c r="C26" s="1061" t="e">
        <f>E29+SUM(E33:E39)</f>
        <v>#DIV/0!</v>
      </c>
      <c r="D26" s="1488"/>
      <c r="E26" s="1454"/>
      <c r="F26" s="1489"/>
      <c r="G26" s="1454"/>
      <c r="H26" s="1454"/>
      <c r="I26" s="1454"/>
      <c r="J26" s="1490"/>
      <c r="K26" s="1399"/>
      <c r="L26" s="2193"/>
      <c r="M26" s="2193"/>
      <c r="N26" s="2193"/>
      <c r="O26" s="2193"/>
      <c r="P26" s="2193"/>
      <c r="Q26" s="2193"/>
      <c r="R26" s="2922"/>
      <c r="S26" s="2922"/>
      <c r="T26" s="2922"/>
      <c r="U26" s="2922"/>
      <c r="V26" s="2922"/>
      <c r="W26" s="2193"/>
      <c r="X26" s="2193"/>
      <c r="Y26" s="2193"/>
      <c r="Z26" s="2193"/>
      <c r="AA26" s="2193"/>
      <c r="AB26" s="2193"/>
      <c r="AC26" s="2193"/>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3"/>
      <c r="M27" s="2193"/>
      <c r="N27" s="2193"/>
      <c r="O27" s="2193"/>
      <c r="P27" s="2193"/>
      <c r="Q27" s="2193"/>
      <c r="R27" s="2922"/>
      <c r="S27" s="2922"/>
      <c r="T27" s="2922"/>
      <c r="U27" s="2922"/>
      <c r="V27" s="2922"/>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22"/>
      <c r="S28" s="2922"/>
      <c r="T28" s="2922"/>
      <c r="U28" s="2922"/>
      <c r="V28" s="2922"/>
      <c r="W28" s="2193"/>
      <c r="X28" s="2193"/>
      <c r="Y28" s="2193"/>
      <c r="Z28" s="2193"/>
      <c r="AA28" s="2193"/>
      <c r="AB28" s="2193"/>
      <c r="AC28" s="2193"/>
      <c r="AD28" s="1470"/>
      <c r="AE28" s="1470"/>
      <c r="AF28" s="1470"/>
      <c r="AG28" s="1470"/>
    </row>
    <row r="29" spans="1:40" ht="24">
      <c r="A29" s="1500"/>
      <c r="B29" s="1501" t="s">
        <v>994</v>
      </c>
      <c r="C29" s="1061" t="e">
        <f>ROUND(C5*C18*C19*C20*C21*C24,0)</f>
        <v>#DIV/0!</v>
      </c>
      <c r="D29" s="1502"/>
      <c r="E29" s="1847" t="e">
        <f>ROUND(C29*D29/10000,0)</f>
        <v>#DIV/0!</v>
      </c>
      <c r="F29" s="1503" t="s">
        <v>1702</v>
      </c>
      <c r="G29" s="1504"/>
      <c r="H29" s="1504"/>
      <c r="I29" s="1504"/>
      <c r="J29" s="1505"/>
      <c r="K29" s="1399"/>
      <c r="L29" s="2193"/>
      <c r="M29" s="2193"/>
      <c r="N29" s="2193"/>
      <c r="O29" s="2193"/>
      <c r="P29" s="2193"/>
      <c r="Q29" s="2193"/>
      <c r="R29" s="2922"/>
      <c r="S29" s="2922"/>
      <c r="T29" s="2922"/>
      <c r="U29" s="2922"/>
      <c r="V29" s="2922"/>
      <c r="W29" s="2193"/>
      <c r="X29" s="2193"/>
      <c r="Y29" s="2193"/>
      <c r="Z29" s="2193"/>
      <c r="AA29" s="2193"/>
      <c r="AB29" s="2193"/>
      <c r="AC29" s="2193"/>
      <c r="AH29" s="1400"/>
      <c r="AI29" s="1400"/>
      <c r="AJ29" s="1403"/>
      <c r="AK29" s="1403"/>
      <c r="AL29" s="1403"/>
      <c r="AM29" s="1403"/>
    </row>
    <row r="30" spans="1:40" ht="24.75" thickBot="1">
      <c r="A30" s="1506"/>
      <c r="B30" s="1507" t="s">
        <v>995</v>
      </c>
      <c r="C30" s="1049"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29" t="s">
        <v>2956</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0"/>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0"/>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1"/>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17" t="s">
        <v>1007</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22" t="s">
        <v>1008</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1009</v>
      </c>
      <c r="B46" s="2406" t="s">
        <v>1010</v>
      </c>
      <c r="C46" s="2428" t="s">
        <v>1011</v>
      </c>
      <c r="D46" s="2429" t="s">
        <v>1012</v>
      </c>
      <c r="E46" s="2430" t="s">
        <v>1014</v>
      </c>
      <c r="F46" s="2431" t="s">
        <v>2251</v>
      </c>
      <c r="G46" s="2429" t="s">
        <v>1015</v>
      </c>
      <c r="H46" s="2412" t="s">
        <v>2419</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24">
      <c r="A47" s="1065" t="s">
        <v>1021</v>
      </c>
      <c r="B47" s="2409">
        <f>估价对象房地状况!C16</f>
        <v>0</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14.25">
      <c r="A48" s="1065" t="s">
        <v>1022</v>
      </c>
      <c r="B48" s="2406">
        <f>估价对象房地状况!C18</f>
        <v>0</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1023</v>
      </c>
      <c r="B49" s="2406">
        <f>估价对象房地状况!C19</f>
        <v>0</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1024</v>
      </c>
      <c r="B50" s="3094" t="s">
        <v>2932</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1025</v>
      </c>
      <c r="B51" s="2406">
        <f>估价对象房地状况!C24</f>
        <v>0</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1026</v>
      </c>
      <c r="B52" s="3093" t="s">
        <v>2931</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38" t="s">
        <v>1027</v>
      </c>
      <c r="B53" s="2407">
        <f>估价对象房地状况!C21</f>
        <v>0</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38" t="s">
        <v>1028</v>
      </c>
      <c r="B54" s="2406">
        <f>估价对象房地状况!C22</f>
        <v>0</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24.75" thickBot="1">
      <c r="A55" s="2439" t="s">
        <v>1029</v>
      </c>
      <c r="B55" s="2410">
        <f>估价对象房地状况!C20</f>
        <v>0</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22" t="s">
        <v>1030</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1009</v>
      </c>
      <c r="B57" s="2406"/>
      <c r="C57" s="2428" t="s">
        <v>1011</v>
      </c>
      <c r="D57" s="2429" t="s">
        <v>1012</v>
      </c>
      <c r="E57" s="2430" t="s">
        <v>1014</v>
      </c>
      <c r="F57" s="2431" t="s">
        <v>2252</v>
      </c>
      <c r="G57" s="2429" t="s">
        <v>1015</v>
      </c>
      <c r="H57" s="2412" t="s">
        <v>2419</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5" t="s">
        <v>1031</v>
      </c>
      <c r="B58" s="2409">
        <f>估价对象房地状况!C17</f>
        <v>0</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14.25">
      <c r="A59" s="1065" t="s">
        <v>1022</v>
      </c>
      <c r="B59" s="2406">
        <f>估价对象房地状况!C18</f>
        <v>0</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1023</v>
      </c>
      <c r="B60" s="2406">
        <f>估价对象房地状况!C19</f>
        <v>0</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1024</v>
      </c>
      <c r="B61" s="3094" t="s">
        <v>2933</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1025</v>
      </c>
      <c r="B62" s="2406">
        <f>估价对象房地状况!C24</f>
        <v>0</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1026</v>
      </c>
      <c r="B63" s="3093" t="s">
        <v>2931</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1027</v>
      </c>
      <c r="B64" s="2407">
        <f>估价对象房地状况!C21</f>
        <v>0</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1028</v>
      </c>
      <c r="B65" s="2407">
        <f>估价对象房地状况!C22</f>
        <v>0</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24.75" thickBot="1">
      <c r="A66" s="2439" t="s">
        <v>1029</v>
      </c>
      <c r="B66" s="2411">
        <f>估价对象房地状况!C20</f>
        <v>0</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22" t="s">
        <v>1032</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1009</v>
      </c>
      <c r="B68" s="2406"/>
      <c r="C68" s="2428" t="s">
        <v>1011</v>
      </c>
      <c r="D68" s="2429" t="s">
        <v>1012</v>
      </c>
      <c r="E68" s="2430" t="s">
        <v>1014</v>
      </c>
      <c r="F68" s="2431" t="s">
        <v>2253</v>
      </c>
      <c r="G68" s="2429" t="s">
        <v>1015</v>
      </c>
      <c r="H68" s="2412" t="s">
        <v>2419</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24">
      <c r="A69" s="1065" t="s">
        <v>1033</v>
      </c>
      <c r="B69" s="2409">
        <f>估价对象房地状况!C15</f>
        <v>0</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14.25">
      <c r="A70" s="1065" t="s">
        <v>1034</v>
      </c>
      <c r="B70" s="2406">
        <f>估价对象房地状况!C18</f>
        <v>0</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1023</v>
      </c>
      <c r="B71" s="2406">
        <f>估价对象房地状况!C19</f>
        <v>0</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1035</v>
      </c>
      <c r="B72" s="2406">
        <f>估价对象房地状况!C24</f>
        <v>0</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1027</v>
      </c>
      <c r="B73" s="2407">
        <f>估价对象房地状况!C21</f>
        <v>0</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1028</v>
      </c>
      <c r="B74" s="2407">
        <f>估价对象房地状况!C22</f>
        <v>0</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1026</v>
      </c>
      <c r="B75" s="3093" t="s">
        <v>2931</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24">
      <c r="A76" s="1065" t="s">
        <v>1029</v>
      </c>
      <c r="B76" s="2409">
        <f>估价对象房地状况!C20</f>
        <v>0</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39" t="s">
        <v>1036</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3"/>
      <c r="AD77" s="1402"/>
      <c r="AJ77" s="1401"/>
      <c r="AN77" s="1402"/>
    </row>
    <row r="78" spans="1:40" ht="15">
      <c r="A78" s="2422" t="s">
        <v>1037</v>
      </c>
      <c r="B78" s="2423">
        <f>1+E80</f>
        <v>1</v>
      </c>
      <c r="C78" s="2442"/>
      <c r="D78" s="2425"/>
      <c r="E78" s="2426"/>
      <c r="F78" s="2427"/>
      <c r="G78" s="2421"/>
      <c r="H78" s="2421"/>
      <c r="I78" s="2421"/>
      <c r="J78" s="1064"/>
      <c r="K78" s="1064"/>
      <c r="L78" s="1064"/>
      <c r="M78" s="1064"/>
      <c r="N78" s="1064"/>
      <c r="AC78" s="1403"/>
      <c r="AD78" s="1402"/>
      <c r="AJ78" s="1401"/>
      <c r="AN78" s="1402"/>
    </row>
    <row r="79" spans="1:40" ht="24">
      <c r="A79" s="1065" t="s">
        <v>1009</v>
      </c>
      <c r="B79" s="2406"/>
      <c r="C79" s="2428" t="s">
        <v>1011</v>
      </c>
      <c r="D79" s="2429" t="s">
        <v>1012</v>
      </c>
      <c r="E79" s="2430" t="s">
        <v>1014</v>
      </c>
      <c r="F79" s="2431" t="s">
        <v>2254</v>
      </c>
      <c r="G79" s="2429" t="s">
        <v>1015</v>
      </c>
      <c r="H79" s="2412" t="s">
        <v>2419</v>
      </c>
      <c r="I79" s="2429" t="s">
        <v>1013</v>
      </c>
      <c r="J79" s="2432" t="s">
        <v>1016</v>
      </c>
      <c r="K79" s="2432" t="s">
        <v>1017</v>
      </c>
      <c r="L79" s="2432" t="s">
        <v>1018</v>
      </c>
      <c r="M79" s="2432" t="s">
        <v>1019</v>
      </c>
      <c r="N79" s="2432" t="s">
        <v>1020</v>
      </c>
      <c r="AC79" s="1403"/>
      <c r="AD79" s="1402"/>
      <c r="AJ79" s="1401"/>
      <c r="AN79" s="1402"/>
    </row>
    <row r="80" spans="1:40" ht="24">
      <c r="A80" s="1065" t="s">
        <v>1038</v>
      </c>
      <c r="B80" s="2406">
        <f>估价对象房地状况!G15</f>
        <v>0</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3"/>
      <c r="AD80" s="1402"/>
      <c r="AJ80" s="1401"/>
      <c r="AN80" s="1402"/>
    </row>
    <row r="81" spans="1:40" ht="14.25">
      <c r="A81" s="1065" t="s">
        <v>1034</v>
      </c>
      <c r="B81" s="2406">
        <f>估价对象房地状况!G16</f>
        <v>0</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3"/>
      <c r="AD81" s="1402"/>
      <c r="AJ81" s="1401"/>
      <c r="AN81" s="1402"/>
    </row>
    <row r="82" spans="1:40" ht="24">
      <c r="A82" s="1065" t="s">
        <v>1023</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3"/>
      <c r="AD82" s="1402"/>
      <c r="AJ82" s="1401"/>
      <c r="AN82" s="1402"/>
    </row>
    <row r="83" spans="1:40" ht="14.25">
      <c r="A83" s="1065" t="s">
        <v>1035</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3"/>
      <c r="AD83" s="1402"/>
      <c r="AJ83" s="1401"/>
      <c r="AN83" s="1402"/>
    </row>
    <row r="84" spans="1:40" ht="24">
      <c r="A84" s="1065" t="s">
        <v>1027</v>
      </c>
      <c r="B84" s="2407">
        <f>估价对象房地状况!G19</f>
        <v>0</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3"/>
      <c r="AD84" s="1402"/>
      <c r="AJ84" s="1401"/>
      <c r="AN84" s="1402"/>
    </row>
    <row r="85" spans="1:40" ht="24">
      <c r="A85" s="1065" t="s">
        <v>1028</v>
      </c>
      <c r="B85" s="2407">
        <f>估价对象房地状况!G20</f>
        <v>0</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3"/>
      <c r="AD85" s="1402"/>
      <c r="AJ85" s="1401"/>
      <c r="AN85" s="1402"/>
    </row>
    <row r="86" spans="1:40" ht="24">
      <c r="A86" s="1065" t="s">
        <v>1026</v>
      </c>
      <c r="B86" s="3093" t="s">
        <v>2931</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3"/>
      <c r="AD86" s="1402"/>
      <c r="AJ86" s="1401"/>
      <c r="AN86" s="1402"/>
    </row>
    <row r="87" spans="1:40" ht="15" thickBot="1">
      <c r="A87" s="2439" t="s">
        <v>1039</v>
      </c>
      <c r="B87" s="2408">
        <f>估价对象房地状况!G18</f>
        <v>0</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3"/>
      <c r="AD87" s="1402"/>
      <c r="AJ87" s="1401"/>
      <c r="AN87" s="1402"/>
    </row>
    <row r="90" spans="1:40">
      <c r="A90" s="3427" t="s">
        <v>1634</v>
      </c>
      <c r="B90" s="3427"/>
      <c r="C90" s="3427"/>
      <c r="D90" s="3427"/>
      <c r="E90" s="3427"/>
      <c r="F90" s="3427"/>
      <c r="G90" s="3427"/>
      <c r="H90" s="3427"/>
      <c r="I90" s="3427"/>
      <c r="J90" s="3427"/>
      <c r="K90" s="2448"/>
      <c r="L90" s="2448"/>
      <c r="M90" s="2448"/>
      <c r="N90" s="2448"/>
    </row>
    <row r="91" spans="1:40">
      <c r="A91" s="3428" t="s">
        <v>1444</v>
      </c>
      <c r="B91" s="3428" t="s">
        <v>1635</v>
      </c>
      <c r="C91" s="1138" t="s">
        <v>1636</v>
      </c>
      <c r="D91" s="1139"/>
      <c r="E91" s="1139"/>
      <c r="F91" s="1139"/>
      <c r="G91" s="1139"/>
      <c r="H91" s="1139"/>
      <c r="I91" s="1139"/>
      <c r="J91" s="1140"/>
      <c r="K91" s="1132"/>
      <c r="L91" s="1132"/>
      <c r="M91" s="1132"/>
      <c r="N91" s="1132"/>
    </row>
    <row r="92" spans="1:40">
      <c r="A92" s="3428"/>
      <c r="B92" s="3428"/>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17"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8"/>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7" t="s">
        <v>1638</v>
      </c>
      <c r="B101" s="1145" t="s">
        <v>906</v>
      </c>
      <c r="C101" s="1146">
        <f>$G$3</f>
        <v>1.2</v>
      </c>
      <c r="D101" s="1146">
        <f t="shared" ref="D101:N101" si="31">$G$3</f>
        <v>1.2</v>
      </c>
      <c r="E101" s="1146">
        <f t="shared" si="31"/>
        <v>1.2</v>
      </c>
      <c r="F101" s="1146">
        <f t="shared" si="31"/>
        <v>1.2</v>
      </c>
      <c r="G101" s="1146">
        <f t="shared" si="31"/>
        <v>1.2</v>
      </c>
      <c r="H101" s="1146">
        <f t="shared" si="31"/>
        <v>1.2</v>
      </c>
      <c r="I101" s="1146">
        <f t="shared" si="31"/>
        <v>1.2</v>
      </c>
      <c r="J101" s="1146">
        <f t="shared" si="31"/>
        <v>1.2</v>
      </c>
      <c r="K101" s="1146">
        <f t="shared" si="31"/>
        <v>1.2</v>
      </c>
      <c r="L101" s="1146">
        <f t="shared" si="31"/>
        <v>1.2</v>
      </c>
      <c r="M101" s="1146">
        <f t="shared" si="31"/>
        <v>1.2</v>
      </c>
      <c r="N101" s="1146">
        <f t="shared" si="31"/>
        <v>1.2</v>
      </c>
    </row>
    <row r="102" spans="1:14">
      <c r="A102" s="3418"/>
      <c r="B102" s="1141">
        <v>1</v>
      </c>
      <c r="C102" s="1142">
        <f>1.9362/C101</f>
        <v>1.6134999999999999</v>
      </c>
      <c r="D102" s="1142">
        <f>1.9362/D101</f>
        <v>1.6134999999999999</v>
      </c>
      <c r="E102" s="1142">
        <f>1.8629/E101</f>
        <v>1.5524166666666668</v>
      </c>
      <c r="F102" s="1142">
        <f>1.8629/F101</f>
        <v>1.5524166666666668</v>
      </c>
      <c r="G102" s="1142">
        <f>1.8629/G101</f>
        <v>1.5524166666666668</v>
      </c>
      <c r="H102" s="1142">
        <f>1.8629/H101</f>
        <v>1.5524166666666668</v>
      </c>
      <c r="I102" s="1142">
        <f>1.8629/I101</f>
        <v>1.5524166666666668</v>
      </c>
      <c r="J102" s="1142">
        <f>1.942/J101</f>
        <v>1.6183333333333334</v>
      </c>
      <c r="K102" s="1142">
        <f>1.942/K101</f>
        <v>1.6183333333333334</v>
      </c>
      <c r="L102" s="1142">
        <f>1.942/L101</f>
        <v>1.6183333333333334</v>
      </c>
      <c r="M102" s="1142">
        <f>1.942/M101</f>
        <v>1.6183333333333334</v>
      </c>
      <c r="N102" s="1142">
        <f>1.942/N101</f>
        <v>1.6183333333333334</v>
      </c>
    </row>
    <row r="103" spans="1:14">
      <c r="A103" s="3418"/>
      <c r="B103" s="1141">
        <v>2</v>
      </c>
      <c r="C103" s="1142">
        <f>1.4198/C101</f>
        <v>1.1831666666666667</v>
      </c>
      <c r="D103" s="1142">
        <f>1.4198/D101</f>
        <v>1.1831666666666667</v>
      </c>
      <c r="E103" s="1142">
        <f>1.3372/E101</f>
        <v>1.1143333333333334</v>
      </c>
      <c r="F103" s="1142">
        <f>1.3372/F101</f>
        <v>1.1143333333333334</v>
      </c>
      <c r="G103" s="1142">
        <f>1.3372/G101</f>
        <v>1.1143333333333334</v>
      </c>
      <c r="H103" s="1142">
        <f>1.3372/H101</f>
        <v>1.1143333333333334</v>
      </c>
      <c r="I103" s="1142">
        <f>1.3372/I101</f>
        <v>1.1143333333333334</v>
      </c>
      <c r="J103" s="1142">
        <f>1.2799/J101</f>
        <v>1.0665833333333334</v>
      </c>
      <c r="K103" s="1142">
        <f>1.2799/K101</f>
        <v>1.0665833333333334</v>
      </c>
      <c r="L103" s="1142">
        <f>1.2799/L101</f>
        <v>1.0665833333333334</v>
      </c>
      <c r="M103" s="1142">
        <f>1.2799/M101</f>
        <v>1.0665833333333334</v>
      </c>
      <c r="N103" s="1142">
        <f>1.2799/N101</f>
        <v>1.0665833333333334</v>
      </c>
    </row>
    <row r="104" spans="1:14">
      <c r="A104" s="3418"/>
      <c r="B104" s="1141">
        <v>3</v>
      </c>
      <c r="C104" s="1142">
        <f>1.1594/C101</f>
        <v>0.96616666666666673</v>
      </c>
      <c r="D104" s="1142">
        <f>1.1594/D101</f>
        <v>0.96616666666666673</v>
      </c>
      <c r="E104" s="1142">
        <f>1.0788/E101</f>
        <v>0.89900000000000002</v>
      </c>
      <c r="F104" s="1142">
        <f>1.0788/F101</f>
        <v>0.89900000000000002</v>
      </c>
      <c r="G104" s="1142">
        <f>1.0788/G101</f>
        <v>0.89900000000000002</v>
      </c>
      <c r="H104" s="1142">
        <f>1.0788/H101</f>
        <v>0.89900000000000002</v>
      </c>
      <c r="I104" s="1142">
        <f>1.0788/I101</f>
        <v>0.89900000000000002</v>
      </c>
      <c r="J104" s="1142">
        <f>1.0072/J101</f>
        <v>0.83933333333333349</v>
      </c>
      <c r="K104" s="1142">
        <f>1.0072/K101</f>
        <v>0.83933333333333349</v>
      </c>
      <c r="L104" s="1142">
        <f>1.0072/L101</f>
        <v>0.83933333333333349</v>
      </c>
      <c r="M104" s="1142">
        <f>1.0072/M101</f>
        <v>0.83933333333333349</v>
      </c>
      <c r="N104" s="1142">
        <f>1.0072/N101</f>
        <v>0.83933333333333349</v>
      </c>
    </row>
    <row r="105" spans="1:14">
      <c r="A105" s="3418"/>
      <c r="B105" s="1141">
        <v>4</v>
      </c>
      <c r="C105" s="1142">
        <f>0.9622/C101</f>
        <v>0.8018333333333334</v>
      </c>
      <c r="D105" s="1142">
        <f>0.9622/D101</f>
        <v>0.8018333333333334</v>
      </c>
      <c r="E105" s="1142">
        <f>0.8656/E101</f>
        <v>0.72133333333333338</v>
      </c>
      <c r="F105" s="1142">
        <f>0.8656/F101</f>
        <v>0.72133333333333338</v>
      </c>
      <c r="G105" s="1142">
        <f>0.8656/G101</f>
        <v>0.72133333333333338</v>
      </c>
      <c r="H105" s="1142">
        <f>0.8656/H101</f>
        <v>0.72133333333333338</v>
      </c>
      <c r="I105" s="1142">
        <f>0.8656/I101</f>
        <v>0.72133333333333338</v>
      </c>
      <c r="J105" s="1142">
        <f>0.7525/J101</f>
        <v>0.62708333333333333</v>
      </c>
      <c r="K105" s="1142">
        <f>0.7525/K101</f>
        <v>0.62708333333333333</v>
      </c>
      <c r="L105" s="1142">
        <f>0.7525/L101</f>
        <v>0.62708333333333333</v>
      </c>
      <c r="M105" s="1142">
        <f>0.7525/M101</f>
        <v>0.62708333333333333</v>
      </c>
      <c r="N105" s="1142">
        <f>0.7525/N101</f>
        <v>0.62708333333333333</v>
      </c>
    </row>
    <row r="106" spans="1:14">
      <c r="A106" s="3418"/>
      <c r="B106" s="1141">
        <v>5</v>
      </c>
      <c r="C106" s="1142">
        <f>0.8417/C101</f>
        <v>0.70141666666666669</v>
      </c>
      <c r="D106" s="1142">
        <f>0.8417/D101</f>
        <v>0.70141666666666669</v>
      </c>
      <c r="E106" s="1142">
        <f>0.7371/E101</f>
        <v>0.61424999999999996</v>
      </c>
      <c r="F106" s="1142">
        <f>0.7371/F101</f>
        <v>0.61424999999999996</v>
      </c>
      <c r="G106" s="1142">
        <f>0.7371/G101</f>
        <v>0.61424999999999996</v>
      </c>
      <c r="H106" s="1142">
        <f>0.7371/H101</f>
        <v>0.61424999999999996</v>
      </c>
      <c r="I106" s="1142">
        <f>0.7371/I101</f>
        <v>0.61424999999999996</v>
      </c>
      <c r="J106" s="1142">
        <f>0.5659/J101</f>
        <v>0.4715833333333333</v>
      </c>
      <c r="K106" s="1142">
        <f>0.5659/K101</f>
        <v>0.4715833333333333</v>
      </c>
      <c r="L106" s="1142">
        <f>0.5659/L101</f>
        <v>0.4715833333333333</v>
      </c>
      <c r="M106" s="1142">
        <f>0.5659/M101</f>
        <v>0.4715833333333333</v>
      </c>
      <c r="N106" s="1142">
        <f>0.5659/N101</f>
        <v>0.4715833333333333</v>
      </c>
    </row>
    <row r="107" spans="1:14">
      <c r="A107" s="3418"/>
      <c r="B107" s="1141">
        <v>6</v>
      </c>
      <c r="C107" s="1142">
        <f>0.7608/C101</f>
        <v>0.63400000000000001</v>
      </c>
      <c r="D107" s="1142">
        <f>0.7608/D101</f>
        <v>0.63400000000000001</v>
      </c>
      <c r="E107" s="1142">
        <f>0.6482/E101</f>
        <v>0.54016666666666668</v>
      </c>
      <c r="F107" s="1142">
        <f>0.6482/F101</f>
        <v>0.54016666666666668</v>
      </c>
      <c r="G107" s="1142">
        <f>0.6482/G101</f>
        <v>0.54016666666666668</v>
      </c>
      <c r="H107" s="1142">
        <f>0.6482/H101</f>
        <v>0.54016666666666668</v>
      </c>
      <c r="I107" s="1142">
        <f>0.6482/I101</f>
        <v>0.54016666666666668</v>
      </c>
      <c r="J107" s="1142">
        <f>0.4525/J101</f>
        <v>0.37708333333333338</v>
      </c>
      <c r="K107" s="1142">
        <f>0.4525/K101</f>
        <v>0.37708333333333338</v>
      </c>
      <c r="L107" s="1142">
        <f>0.4525/L101</f>
        <v>0.37708333333333338</v>
      </c>
      <c r="M107" s="1142">
        <f>0.4525/M101</f>
        <v>0.37708333333333338</v>
      </c>
      <c r="N107" s="1142">
        <f>0.4525/N101</f>
        <v>0.37708333333333338</v>
      </c>
    </row>
    <row r="108" spans="1:14">
      <c r="A108" s="3418"/>
      <c r="B108" s="3420"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9"/>
      <c r="B109" s="3421"/>
      <c r="C109" s="1144">
        <f>(-0.163*(C108^2)-0.59*C108+7617)*(10^(-4))/C101</f>
        <v>0.6334873333333334</v>
      </c>
      <c r="D109" s="1144">
        <f>(-0.163*(D108^2)-0.59*D108+7617)*(10^(-4))/D101</f>
        <v>0.6334873333333334</v>
      </c>
      <c r="E109" s="1144">
        <f>(-0.161*(E108^2)-7.509*E108+6533)*(10^(-4))/E101</f>
        <v>0.53855200000000003</v>
      </c>
      <c r="F109" s="1144">
        <f>(-0.161*(F108^2)-7.509*F108+6533)*(10^(-4))/F101</f>
        <v>0.53855200000000003</v>
      </c>
      <c r="G109" s="1144">
        <f>(-0.161*(G108^2)-7.509*G108+6533)*(10^(-4))/G101</f>
        <v>0.53855200000000003</v>
      </c>
      <c r="H109" s="1144">
        <f>(-0.161*(H108^2)-7.509*H108+6533)*(10^(-4))/H101</f>
        <v>0.53855200000000003</v>
      </c>
      <c r="I109" s="1144">
        <f>(-0.161*(I108^2)-7.509*I108+6533)*(10^(-4))/I101</f>
        <v>0.53855200000000003</v>
      </c>
      <c r="J109" s="1144">
        <f>(-0.214*(J108^2)-21.991*J108+4665)*(10^(-4))/J101</f>
        <v>0.37294800000000006</v>
      </c>
      <c r="K109" s="1144">
        <f>(-0.214*(K108^2)-21.991*K108+4665)*(10^(-4))/K101</f>
        <v>0.37294800000000006</v>
      </c>
      <c r="L109" s="1144">
        <f>(-0.214*(L108^2)-21.991*L108+4665)*(10^(-4))/L101</f>
        <v>0.37294800000000006</v>
      </c>
      <c r="M109" s="1144">
        <f>(-0.214*(M108^2)-21.991*M108+4665)*(10^(-4))/M101</f>
        <v>0.37294800000000006</v>
      </c>
      <c r="N109" s="1144">
        <f>(-0.214*(N108^2)-21.991*N108+4665)*(10^(-4))/N101</f>
        <v>0.37294800000000006</v>
      </c>
    </row>
    <row r="110" spans="1:14">
      <c r="A110" s="3422" t="s">
        <v>1640</v>
      </c>
      <c r="B110" s="3422"/>
      <c r="C110" s="3422"/>
      <c r="D110" s="3422"/>
      <c r="E110" s="3422"/>
      <c r="F110" s="3422"/>
      <c r="G110" s="3422"/>
      <c r="H110" s="3422"/>
      <c r="I110" s="3422"/>
      <c r="J110" s="3422"/>
      <c r="K110" s="2446"/>
      <c r="L110" s="2446"/>
      <c r="M110" s="2446"/>
      <c r="N110" s="2446"/>
    </row>
    <row r="112" spans="1:14" ht="12.75" thickBot="1"/>
    <row r="113" spans="1:13" ht="25.5" thickBot="1">
      <c r="A113" s="1014" t="s">
        <v>896</v>
      </c>
      <c r="B113" s="2449">
        <f>G3</f>
        <v>1.2</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0.92220000000000002</v>
      </c>
      <c r="C115" s="1028">
        <f>B115</f>
        <v>0.92220000000000002</v>
      </c>
      <c r="D115" s="1028">
        <f>ROUND(0.8331-0.0109*B113,4)</f>
        <v>0.82</v>
      </c>
      <c r="E115" s="1028">
        <f>D115</f>
        <v>0.82</v>
      </c>
      <c r="F115" s="1028">
        <f>E115</f>
        <v>0.82</v>
      </c>
      <c r="G115" s="1028">
        <f>F115</f>
        <v>0.82</v>
      </c>
      <c r="H115" s="1028">
        <f>G115</f>
        <v>0.82</v>
      </c>
      <c r="I115" s="1028">
        <f>ROUND(0.689-0.0155*B113,4)</f>
        <v>0.6704</v>
      </c>
      <c r="J115" s="1028">
        <f t="shared" ref="J115:M118" si="33">I115</f>
        <v>0.6704</v>
      </c>
      <c r="K115" s="1028">
        <f t="shared" si="33"/>
        <v>0.6704</v>
      </c>
      <c r="L115" s="1028">
        <f t="shared" si="33"/>
        <v>0.6704</v>
      </c>
      <c r="M115" s="1029">
        <f t="shared" si="33"/>
        <v>0.6704</v>
      </c>
    </row>
    <row r="116" spans="1:13" ht="12.75">
      <c r="A116" s="1027" t="s">
        <v>901</v>
      </c>
      <c r="B116" s="1028">
        <f>ROUND(0.949-0.012*B113,4)</f>
        <v>0.93459999999999999</v>
      </c>
      <c r="C116" s="1028">
        <f>B116</f>
        <v>0.93459999999999999</v>
      </c>
      <c r="D116" s="1028">
        <f>ROUND(0.8567-0.013*B113,4)</f>
        <v>0.84109999999999996</v>
      </c>
      <c r="E116" s="1028">
        <f t="shared" ref="E116:H117" si="34">D116</f>
        <v>0.84109999999999996</v>
      </c>
      <c r="F116" s="1028">
        <f t="shared" si="34"/>
        <v>0.84109999999999996</v>
      </c>
      <c r="G116" s="1028">
        <f t="shared" si="34"/>
        <v>0.84109999999999996</v>
      </c>
      <c r="H116" s="1028">
        <f t="shared" si="34"/>
        <v>0.84109999999999996</v>
      </c>
      <c r="I116" s="1028">
        <f>ROUND(0.7694-0.014*B113,4)</f>
        <v>0.75260000000000005</v>
      </c>
      <c r="J116" s="1028">
        <f t="shared" si="33"/>
        <v>0.75260000000000005</v>
      </c>
      <c r="K116" s="1028">
        <f t="shared" si="33"/>
        <v>0.75260000000000005</v>
      </c>
      <c r="L116" s="1028">
        <f t="shared" si="33"/>
        <v>0.75260000000000005</v>
      </c>
      <c r="M116" s="1029">
        <f t="shared" si="33"/>
        <v>0.75260000000000005</v>
      </c>
    </row>
    <row r="117" spans="1:13" ht="12.75">
      <c r="A117" s="1030" t="s">
        <v>902</v>
      </c>
      <c r="B117" s="1028">
        <f>ROUND(0.8808-0.006*B113,4)</f>
        <v>0.87360000000000004</v>
      </c>
      <c r="C117" s="1028">
        <f>B117</f>
        <v>0.87360000000000004</v>
      </c>
      <c r="D117" s="1028">
        <f>ROUND(0.8748-0.008*B113,4)</f>
        <v>0.86519999999999997</v>
      </c>
      <c r="E117" s="1028">
        <f t="shared" si="34"/>
        <v>0.86519999999999997</v>
      </c>
      <c r="F117" s="1028">
        <f t="shared" si="34"/>
        <v>0.86519999999999997</v>
      </c>
      <c r="G117" s="1028">
        <f t="shared" si="34"/>
        <v>0.86519999999999997</v>
      </c>
      <c r="H117" s="1028">
        <f t="shared" si="34"/>
        <v>0.86519999999999997</v>
      </c>
      <c r="I117" s="1028">
        <f>ROUND(0.7412-0.0095*B113,4)</f>
        <v>0.7298</v>
      </c>
      <c r="J117" s="1028">
        <f t="shared" si="33"/>
        <v>0.7298</v>
      </c>
      <c r="K117" s="1028">
        <f t="shared" si="33"/>
        <v>0.7298</v>
      </c>
      <c r="L117" s="1028">
        <f t="shared" si="33"/>
        <v>0.7298</v>
      </c>
      <c r="M117" s="1029">
        <f t="shared" si="33"/>
        <v>0.7298</v>
      </c>
    </row>
    <row r="118" spans="1:13" ht="13.5" thickBot="1">
      <c r="A118" s="1031" t="s">
        <v>903</v>
      </c>
      <c r="B118" s="1032">
        <f>ROUND(0.7275-0.01*B113,4)</f>
        <v>0.71550000000000002</v>
      </c>
      <c r="C118" s="1032">
        <f>B118</f>
        <v>0.71550000000000002</v>
      </c>
      <c r="D118" s="1032">
        <f>ROUND(0.7043-0.012*B113,4)</f>
        <v>0.68989999999999996</v>
      </c>
      <c r="E118" s="1032">
        <f>D118</f>
        <v>0.68989999999999996</v>
      </c>
      <c r="F118" s="1032">
        <f>E118</f>
        <v>0.68989999999999996</v>
      </c>
      <c r="G118" s="1032">
        <f>ROUND(0.6299-0.0122*B113,4)</f>
        <v>0.61529999999999996</v>
      </c>
      <c r="H118" s="1032">
        <f>G118</f>
        <v>0.61529999999999996</v>
      </c>
      <c r="I118" s="1032">
        <f>ROUND(0.5667-0.0136*B113,4)</f>
        <v>0.5504</v>
      </c>
      <c r="J118" s="1032">
        <f t="shared" si="33"/>
        <v>0.5504</v>
      </c>
      <c r="K118" s="1032">
        <f t="shared" si="33"/>
        <v>0.5504</v>
      </c>
      <c r="L118" s="1032">
        <f t="shared" si="33"/>
        <v>0.5504</v>
      </c>
      <c r="M118" s="1033">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28" t="s">
        <v>1008</v>
      </c>
      <c r="B18" s="1152" t="s">
        <v>1447</v>
      </c>
      <c r="C18" s="1129" t="s">
        <v>1448</v>
      </c>
      <c r="D18" s="1130"/>
      <c r="E18" s="1152">
        <v>1</v>
      </c>
      <c r="F18" s="1131" t="s">
        <v>1449</v>
      </c>
      <c r="G18" s="1132"/>
      <c r="H18" s="1103"/>
      <c r="I18" s="1103"/>
    </row>
    <row r="19" spans="1:9" s="1597" customFormat="1" ht="19.5" customHeight="1">
      <c r="A19" s="3428"/>
      <c r="B19" s="3428" t="s">
        <v>1450</v>
      </c>
      <c r="C19" s="1129" t="s">
        <v>1451</v>
      </c>
      <c r="D19" s="1130"/>
      <c r="E19" s="1152">
        <v>0.9</v>
      </c>
      <c r="F19" s="1131" t="s">
        <v>1452</v>
      </c>
      <c r="G19" s="1132"/>
      <c r="H19" s="1103"/>
      <c r="I19" s="1103"/>
    </row>
    <row r="20" spans="1:9" s="1597" customFormat="1" ht="19.5" customHeight="1">
      <c r="A20" s="3428"/>
      <c r="B20" s="3428"/>
      <c r="C20" s="1129" t="s">
        <v>1453</v>
      </c>
      <c r="D20" s="1130"/>
      <c r="E20" s="1152">
        <v>1.1000000000000001</v>
      </c>
      <c r="F20" s="1131" t="s">
        <v>1454</v>
      </c>
      <c r="G20" s="1132"/>
      <c r="H20" s="1103"/>
      <c r="I20" s="1103"/>
    </row>
    <row r="21" spans="1:9" s="1597" customFormat="1" ht="19.5" customHeight="1">
      <c r="A21" s="3428"/>
      <c r="B21" s="3428"/>
      <c r="C21" s="1129" t="s">
        <v>1455</v>
      </c>
      <c r="D21" s="1130"/>
      <c r="E21" s="1152">
        <v>0.8</v>
      </c>
      <c r="F21" s="1131" t="s">
        <v>1456</v>
      </c>
      <c r="G21" s="1132"/>
      <c r="H21" s="1103"/>
      <c r="I21" s="1103"/>
    </row>
    <row r="22" spans="1:9" s="1597" customFormat="1" ht="19.5" customHeight="1">
      <c r="A22" s="3428"/>
      <c r="B22" s="3428"/>
      <c r="C22" s="1129" t="s">
        <v>1457</v>
      </c>
      <c r="D22" s="1130"/>
      <c r="E22" s="1152">
        <v>0.5</v>
      </c>
      <c r="F22" s="1131"/>
      <c r="G22" s="1132"/>
      <c r="H22" s="1103"/>
      <c r="I22" s="1103"/>
    </row>
    <row r="23" spans="1:9" s="1597" customFormat="1" ht="19.5" customHeight="1">
      <c r="A23" s="3428" t="s">
        <v>1030</v>
      </c>
      <c r="B23" s="1152" t="s">
        <v>1447</v>
      </c>
      <c r="C23" s="1129" t="s">
        <v>1458</v>
      </c>
      <c r="D23" s="1130"/>
      <c r="E23" s="1152">
        <v>1</v>
      </c>
      <c r="F23" s="1131" t="s">
        <v>1459</v>
      </c>
      <c r="G23" s="1132"/>
      <c r="H23" s="1103"/>
      <c r="I23" s="1103"/>
    </row>
    <row r="24" spans="1:9" s="1597" customFormat="1" ht="19.5" customHeight="1">
      <c r="A24" s="3428"/>
      <c r="B24" s="3428" t="s">
        <v>1450</v>
      </c>
      <c r="C24" s="1129" t="s">
        <v>1460</v>
      </c>
      <c r="D24" s="1130"/>
      <c r="E24" s="1152">
        <v>0.5</v>
      </c>
      <c r="F24" s="1131"/>
      <c r="G24" s="1132"/>
      <c r="H24" s="1103"/>
      <c r="I24" s="1103"/>
    </row>
    <row r="25" spans="1:9" s="1597" customFormat="1" ht="19.5" customHeight="1">
      <c r="A25" s="3428"/>
      <c r="B25" s="3428"/>
      <c r="C25" s="1129" t="s">
        <v>1461</v>
      </c>
      <c r="D25" s="1130"/>
      <c r="E25" s="1152">
        <v>1.1000000000000001</v>
      </c>
      <c r="F25" s="1131"/>
      <c r="G25" s="1132"/>
      <c r="H25" s="1103"/>
      <c r="I25" s="1103"/>
    </row>
    <row r="26" spans="1:9" s="1597" customFormat="1" ht="19.5" customHeight="1">
      <c r="A26" s="3428"/>
      <c r="B26" s="3428"/>
      <c r="C26" s="1129" t="s">
        <v>1462</v>
      </c>
      <c r="D26" s="1130"/>
      <c r="E26" s="1152">
        <v>1.1000000000000001</v>
      </c>
      <c r="F26" s="1131"/>
      <c r="G26" s="1132"/>
      <c r="H26" s="1103"/>
      <c r="I26" s="1103"/>
    </row>
    <row r="27" spans="1:9" s="1597" customFormat="1" ht="19.5" customHeight="1">
      <c r="A27" s="3428"/>
      <c r="B27" s="3428"/>
      <c r="C27" s="1129" t="s">
        <v>1463</v>
      </c>
      <c r="D27" s="1130"/>
      <c r="E27" s="1152">
        <v>0.9</v>
      </c>
      <c r="F27" s="1131" t="s">
        <v>1464</v>
      </c>
      <c r="G27" s="1132"/>
      <c r="H27" s="1103"/>
      <c r="I27" s="1103"/>
    </row>
    <row r="28" spans="1:9" s="1597" customFormat="1" ht="19.5" customHeight="1">
      <c r="A28" s="3428"/>
      <c r="B28" s="3428"/>
      <c r="C28" s="1129" t="s">
        <v>1465</v>
      </c>
      <c r="D28" s="1130"/>
      <c r="E28" s="1152">
        <v>0.9</v>
      </c>
      <c r="F28" s="1131" t="s">
        <v>1466</v>
      </c>
      <c r="G28" s="1132"/>
      <c r="H28" s="1103"/>
      <c r="I28" s="1103"/>
    </row>
    <row r="29" spans="1:9" s="1597" customFormat="1" ht="19.5" customHeight="1">
      <c r="A29" s="3428"/>
      <c r="B29" s="3428"/>
      <c r="C29" s="1129" t="s">
        <v>1467</v>
      </c>
      <c r="D29" s="1130"/>
      <c r="E29" s="1152">
        <v>0.9</v>
      </c>
      <c r="F29" s="1131" t="s">
        <v>1468</v>
      </c>
      <c r="G29" s="1132"/>
      <c r="H29" s="1103"/>
      <c r="I29" s="1103"/>
    </row>
    <row r="30" spans="1:9" s="1597" customFormat="1" ht="19.5" customHeight="1">
      <c r="A30" s="3428"/>
      <c r="B30" s="3428"/>
      <c r="C30" s="1129" t="s">
        <v>1469</v>
      </c>
      <c r="D30" s="1130"/>
      <c r="E30" s="1152">
        <v>0.9</v>
      </c>
      <c r="F30" s="1131" t="s">
        <v>1470</v>
      </c>
      <c r="G30" s="1132"/>
      <c r="H30" s="1103"/>
      <c r="I30" s="1103"/>
    </row>
    <row r="31" spans="1:9" s="1597" customFormat="1" ht="19.5" customHeight="1">
      <c r="A31" s="3428"/>
      <c r="B31" s="3428"/>
      <c r="C31" s="1129" t="s">
        <v>1471</v>
      </c>
      <c r="D31" s="1130"/>
      <c r="E31" s="1152">
        <v>0.8</v>
      </c>
      <c r="F31" s="1131" t="s">
        <v>1472</v>
      </c>
      <c r="G31" s="1132"/>
      <c r="H31" s="1103"/>
      <c r="I31" s="1103"/>
    </row>
    <row r="32" spans="1:9" s="1597" customFormat="1" ht="19.5" customHeight="1">
      <c r="A32" s="3428"/>
      <c r="B32" s="3428"/>
      <c r="C32" s="1129" t="s">
        <v>1473</v>
      </c>
      <c r="D32" s="1130"/>
      <c r="E32" s="1152">
        <v>0.8</v>
      </c>
      <c r="F32" s="1131" t="s">
        <v>1474</v>
      </c>
      <c r="G32" s="1132"/>
      <c r="H32" s="1103"/>
      <c r="I32" s="1103"/>
    </row>
    <row r="33" spans="1:9" s="1597" customFormat="1" ht="19.5" customHeight="1">
      <c r="A33" s="3428" t="s">
        <v>1475</v>
      </c>
      <c r="B33" s="1152" t="s">
        <v>1447</v>
      </c>
      <c r="C33" s="1129" t="s">
        <v>1476</v>
      </c>
      <c r="D33" s="1130"/>
      <c r="E33" s="1152">
        <v>1</v>
      </c>
      <c r="F33" s="1131" t="s">
        <v>1477</v>
      </c>
      <c r="G33" s="1132"/>
      <c r="H33" s="1103"/>
      <c r="I33" s="1103"/>
    </row>
    <row r="34" spans="1:9" s="1597" customFormat="1" ht="19.5" customHeight="1">
      <c r="A34" s="3428"/>
      <c r="B34" s="1152" t="s">
        <v>1450</v>
      </c>
      <c r="C34" s="1129" t="s">
        <v>1478</v>
      </c>
      <c r="D34" s="1130"/>
      <c r="E34" s="1152">
        <v>1.5</v>
      </c>
      <c r="F34" s="1131" t="s">
        <v>1479</v>
      </c>
      <c r="G34" s="1132"/>
      <c r="H34" s="1103"/>
      <c r="I34" s="1103"/>
    </row>
    <row r="35" spans="1:9" s="1597" customFormat="1" ht="19.5" customHeight="1">
      <c r="A35" s="3428" t="s">
        <v>1433</v>
      </c>
      <c r="B35" s="1152" t="s">
        <v>1447</v>
      </c>
      <c r="C35" s="1129" t="s">
        <v>1480</v>
      </c>
      <c r="D35" s="1130"/>
      <c r="E35" s="1152">
        <v>1</v>
      </c>
      <c r="F35" s="1131" t="s">
        <v>1481</v>
      </c>
      <c r="G35" s="1132"/>
      <c r="H35" s="1103"/>
      <c r="I35" s="1103"/>
    </row>
    <row r="36" spans="1:9" s="1597" customFormat="1" ht="19.5" customHeight="1">
      <c r="A36" s="3428"/>
      <c r="B36" s="3428" t="s">
        <v>1450</v>
      </c>
      <c r="C36" s="1129" t="s">
        <v>1482</v>
      </c>
      <c r="D36" s="1130"/>
      <c r="E36" s="1152">
        <v>1</v>
      </c>
      <c r="F36" s="1131" t="s">
        <v>1483</v>
      </c>
      <c r="G36" s="1132"/>
      <c r="H36" s="1103"/>
      <c r="I36" s="1103"/>
    </row>
    <row r="37" spans="1:9" s="1597" customFormat="1" ht="19.5" customHeight="1">
      <c r="A37" s="3428"/>
      <c r="B37" s="3428"/>
      <c r="C37" s="1129" t="s">
        <v>1484</v>
      </c>
      <c r="D37" s="1130"/>
      <c r="E37" s="1152">
        <v>1.5</v>
      </c>
      <c r="F37" s="1131" t="s">
        <v>1485</v>
      </c>
      <c r="G37" s="1132"/>
      <c r="H37" s="1103"/>
      <c r="I37" s="1103"/>
    </row>
    <row r="38" spans="1:9" s="1597" customFormat="1" ht="19.5" customHeight="1">
      <c r="A38" s="3428"/>
      <c r="B38" s="3428"/>
      <c r="C38" s="1129" t="s">
        <v>1486</v>
      </c>
      <c r="D38" s="1130"/>
      <c r="E38" s="1152">
        <v>1</v>
      </c>
      <c r="F38" s="1131" t="s">
        <v>1487</v>
      </c>
      <c r="G38" s="1132"/>
      <c r="H38" s="1103"/>
      <c r="I38" s="1103"/>
    </row>
    <row r="39" spans="1:9" s="1597" customFormat="1" ht="19.5" customHeight="1">
      <c r="A39" s="3428"/>
      <c r="B39" s="3428"/>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28" t="s">
        <v>1502</v>
      </c>
      <c r="C61" s="1066" t="s">
        <v>1503</v>
      </c>
      <c r="D61" s="1066" t="s">
        <v>1504</v>
      </c>
      <c r="E61" s="1137">
        <v>0.5</v>
      </c>
      <c r="F61" s="1152">
        <v>80</v>
      </c>
      <c r="H61" s="1103">
        <f>SUMIF(C59:C119,基准地价!C8,E59:E119)</f>
        <v>0</v>
      </c>
    </row>
    <row r="62" spans="1:8" s="1103" customFormat="1" ht="24">
      <c r="A62" s="1152">
        <v>2</v>
      </c>
      <c r="B62" s="3428"/>
      <c r="C62" s="1066" t="s">
        <v>1505</v>
      </c>
      <c r="D62" s="1066" t="s">
        <v>1506</v>
      </c>
      <c r="E62" s="1137">
        <v>0.5</v>
      </c>
      <c r="F62" s="1152">
        <v>80</v>
      </c>
    </row>
    <row r="63" spans="1:8" s="1103" customFormat="1" ht="36">
      <c r="A63" s="1152">
        <v>3</v>
      </c>
      <c r="B63" s="3428"/>
      <c r="C63" s="1066" t="s">
        <v>1507</v>
      </c>
      <c r="D63" s="1066" t="s">
        <v>1508</v>
      </c>
      <c r="E63" s="1137">
        <v>0.5</v>
      </c>
      <c r="F63" s="1152">
        <v>80</v>
      </c>
    </row>
    <row r="64" spans="1:8" s="1103" customFormat="1" ht="36">
      <c r="A64" s="1152">
        <v>4</v>
      </c>
      <c r="B64" s="3428"/>
      <c r="C64" s="1066" t="s">
        <v>1509</v>
      </c>
      <c r="D64" s="1066" t="s">
        <v>1510</v>
      </c>
      <c r="E64" s="1137">
        <v>0.4</v>
      </c>
      <c r="F64" s="1152">
        <v>60</v>
      </c>
    </row>
    <row r="65" spans="1:6" s="1103" customFormat="1" ht="36">
      <c r="A65" s="1152">
        <v>5</v>
      </c>
      <c r="B65" s="3428"/>
      <c r="C65" s="1066" t="s">
        <v>1511</v>
      </c>
      <c r="D65" s="1066" t="s">
        <v>1512</v>
      </c>
      <c r="E65" s="1137">
        <v>0.2</v>
      </c>
      <c r="F65" s="1152">
        <v>30</v>
      </c>
    </row>
    <row r="66" spans="1:6" s="1103" customFormat="1" ht="36">
      <c r="A66" s="1152">
        <v>6</v>
      </c>
      <c r="B66" s="3428"/>
      <c r="C66" s="1066" t="s">
        <v>1513</v>
      </c>
      <c r="D66" s="1066" t="s">
        <v>1514</v>
      </c>
      <c r="E66" s="1137">
        <v>0.3</v>
      </c>
      <c r="F66" s="1152">
        <v>50</v>
      </c>
    </row>
    <row r="67" spans="1:6" s="1103" customFormat="1" ht="36">
      <c r="A67" s="1152">
        <v>7</v>
      </c>
      <c r="B67" s="3428"/>
      <c r="C67" s="1066" t="s">
        <v>1515</v>
      </c>
      <c r="D67" s="1066" t="s">
        <v>1516</v>
      </c>
      <c r="E67" s="1137">
        <v>0.2</v>
      </c>
      <c r="F67" s="1152">
        <v>30</v>
      </c>
    </row>
    <row r="68" spans="1:6" s="1103" customFormat="1" ht="36">
      <c r="A68" s="1152">
        <v>8</v>
      </c>
      <c r="B68" s="3428"/>
      <c r="C68" s="1066" t="s">
        <v>1517</v>
      </c>
      <c r="D68" s="1066" t="s">
        <v>1518</v>
      </c>
      <c r="E68" s="1137">
        <v>0.2</v>
      </c>
      <c r="F68" s="1152">
        <v>30</v>
      </c>
    </row>
    <row r="69" spans="1:6" s="1103" customFormat="1" ht="36">
      <c r="A69" s="1152">
        <v>9</v>
      </c>
      <c r="B69" s="3428"/>
      <c r="C69" s="1066" t="s">
        <v>1519</v>
      </c>
      <c r="D69" s="1066" t="s">
        <v>1520</v>
      </c>
      <c r="E69" s="1137">
        <v>0.2</v>
      </c>
      <c r="F69" s="1152">
        <v>30</v>
      </c>
    </row>
    <row r="70" spans="1:6" s="1103" customFormat="1" ht="48">
      <c r="A70" s="1152">
        <v>10</v>
      </c>
      <c r="B70" s="3428"/>
      <c r="C70" s="1066" t="s">
        <v>1521</v>
      </c>
      <c r="D70" s="1066" t="s">
        <v>1522</v>
      </c>
      <c r="E70" s="1137">
        <v>0.2</v>
      </c>
      <c r="F70" s="1152">
        <v>30</v>
      </c>
    </row>
    <row r="71" spans="1:6" s="1103" customFormat="1" ht="48">
      <c r="A71" s="1152">
        <v>11</v>
      </c>
      <c r="B71" s="3428"/>
      <c r="C71" s="1066" t="s">
        <v>1523</v>
      </c>
      <c r="D71" s="1066" t="s">
        <v>1524</v>
      </c>
      <c r="E71" s="1137">
        <v>0.2</v>
      </c>
      <c r="F71" s="1152">
        <v>30</v>
      </c>
    </row>
    <row r="72" spans="1:6" s="1103" customFormat="1" ht="36">
      <c r="A72" s="1152">
        <v>12</v>
      </c>
      <c r="B72" s="3428"/>
      <c r="C72" s="1066" t="s">
        <v>1525</v>
      </c>
      <c r="D72" s="1066" t="s">
        <v>1526</v>
      </c>
      <c r="E72" s="1137">
        <v>0.5</v>
      </c>
      <c r="F72" s="1152">
        <v>80</v>
      </c>
    </row>
    <row r="73" spans="1:6" s="1103" customFormat="1" ht="24">
      <c r="A73" s="1152">
        <v>13</v>
      </c>
      <c r="B73" s="3428"/>
      <c r="C73" s="1066" t="s">
        <v>1527</v>
      </c>
      <c r="D73" s="1066" t="s">
        <v>1528</v>
      </c>
      <c r="E73" s="1137">
        <v>0.4</v>
      </c>
      <c r="F73" s="1152">
        <v>60</v>
      </c>
    </row>
    <row r="74" spans="1:6" s="1103" customFormat="1" ht="24">
      <c r="A74" s="1152">
        <v>14</v>
      </c>
      <c r="B74" s="3428"/>
      <c r="C74" s="1066" t="s">
        <v>1529</v>
      </c>
      <c r="D74" s="1066" t="s">
        <v>1530</v>
      </c>
      <c r="E74" s="1137">
        <v>0.2</v>
      </c>
      <c r="F74" s="1152">
        <v>30</v>
      </c>
    </row>
    <row r="75" spans="1:6" s="1103" customFormat="1" ht="24">
      <c r="A75" s="1152">
        <v>15</v>
      </c>
      <c r="B75" s="3428"/>
      <c r="C75" s="1066" t="s">
        <v>1531</v>
      </c>
      <c r="D75" s="1066" t="s">
        <v>1532</v>
      </c>
      <c r="E75" s="1137">
        <v>0.2</v>
      </c>
      <c r="F75" s="1152">
        <v>30</v>
      </c>
    </row>
    <row r="76" spans="1:6" s="1103" customFormat="1" ht="24">
      <c r="A76" s="1152">
        <v>16</v>
      </c>
      <c r="B76" s="3428" t="s">
        <v>1533</v>
      </c>
      <c r="C76" s="1066" t="s">
        <v>1534</v>
      </c>
      <c r="D76" s="1066" t="s">
        <v>1535</v>
      </c>
      <c r="E76" s="1137">
        <v>0.5</v>
      </c>
      <c r="F76" s="1152">
        <v>80</v>
      </c>
    </row>
    <row r="77" spans="1:6" s="1103" customFormat="1" ht="24">
      <c r="A77" s="1152">
        <v>17</v>
      </c>
      <c r="B77" s="3428"/>
      <c r="C77" s="1066" t="s">
        <v>1536</v>
      </c>
      <c r="D77" s="1066" t="s">
        <v>1537</v>
      </c>
      <c r="E77" s="1137">
        <v>0.5</v>
      </c>
      <c r="F77" s="1152">
        <v>80</v>
      </c>
    </row>
    <row r="78" spans="1:6" s="1103" customFormat="1" ht="24">
      <c r="A78" s="1152">
        <v>18</v>
      </c>
      <c r="B78" s="3428"/>
      <c r="C78" s="1066" t="s">
        <v>1538</v>
      </c>
      <c r="D78" s="1066" t="s">
        <v>1539</v>
      </c>
      <c r="E78" s="1137">
        <v>0.2</v>
      </c>
      <c r="F78" s="1152">
        <v>30</v>
      </c>
    </row>
    <row r="79" spans="1:6" s="1103" customFormat="1" ht="24">
      <c r="A79" s="1152">
        <v>19</v>
      </c>
      <c r="B79" s="3428"/>
      <c r="C79" s="1066" t="s">
        <v>1540</v>
      </c>
      <c r="D79" s="1066" t="s">
        <v>1541</v>
      </c>
      <c r="E79" s="1137">
        <v>0.5</v>
      </c>
      <c r="F79" s="1152">
        <v>80</v>
      </c>
    </row>
    <row r="80" spans="1:6" s="1103" customFormat="1" ht="36">
      <c r="A80" s="1152">
        <v>20</v>
      </c>
      <c r="B80" s="3428"/>
      <c r="C80" s="1066" t="s">
        <v>1542</v>
      </c>
      <c r="D80" s="1066" t="s">
        <v>1543</v>
      </c>
      <c r="E80" s="1137">
        <v>0.2</v>
      </c>
      <c r="F80" s="1152">
        <v>30</v>
      </c>
    </row>
    <row r="81" spans="1:6" s="1103" customFormat="1" ht="36">
      <c r="A81" s="1152">
        <v>21</v>
      </c>
      <c r="B81" s="3428"/>
      <c r="C81" s="1066" t="s">
        <v>1544</v>
      </c>
      <c r="D81" s="1066" t="s">
        <v>1545</v>
      </c>
      <c r="E81" s="1137">
        <v>0.2</v>
      </c>
      <c r="F81" s="1152">
        <v>30</v>
      </c>
    </row>
    <row r="82" spans="1:6" s="1103" customFormat="1" ht="48">
      <c r="A82" s="1152">
        <v>22</v>
      </c>
      <c r="B82" s="3428"/>
      <c r="C82" s="1066" t="s">
        <v>1546</v>
      </c>
      <c r="D82" s="1066" t="s">
        <v>1547</v>
      </c>
      <c r="E82" s="1137">
        <v>0.2</v>
      </c>
      <c r="F82" s="1152">
        <v>30</v>
      </c>
    </row>
    <row r="83" spans="1:6" s="1103" customFormat="1" ht="48">
      <c r="A83" s="1152">
        <v>23</v>
      </c>
      <c r="B83" s="3428"/>
      <c r="C83" s="1066" t="s">
        <v>1548</v>
      </c>
      <c r="D83" s="1066" t="s">
        <v>1549</v>
      </c>
      <c r="E83" s="1137">
        <v>0.2</v>
      </c>
      <c r="F83" s="1152">
        <v>30</v>
      </c>
    </row>
    <row r="84" spans="1:6" s="1103" customFormat="1" ht="36">
      <c r="A84" s="1152">
        <v>24</v>
      </c>
      <c r="B84" s="3428"/>
      <c r="C84" s="1066" t="s">
        <v>1550</v>
      </c>
      <c r="D84" s="1066" t="s">
        <v>1551</v>
      </c>
      <c r="E84" s="1137">
        <v>0.2</v>
      </c>
      <c r="F84" s="1152">
        <v>30</v>
      </c>
    </row>
    <row r="85" spans="1:6" s="1103" customFormat="1" ht="36">
      <c r="A85" s="1152">
        <v>25</v>
      </c>
      <c r="B85" s="3428"/>
      <c r="C85" s="1066" t="s">
        <v>1552</v>
      </c>
      <c r="D85" s="1066" t="s">
        <v>1553</v>
      </c>
      <c r="E85" s="1137">
        <v>0.5</v>
      </c>
      <c r="F85" s="1152">
        <v>80</v>
      </c>
    </row>
    <row r="86" spans="1:6" s="1103" customFormat="1" ht="36">
      <c r="A86" s="1152">
        <v>26</v>
      </c>
      <c r="B86" s="3428"/>
      <c r="C86" s="1066" t="s">
        <v>1554</v>
      </c>
      <c r="D86" s="1066" t="s">
        <v>1555</v>
      </c>
      <c r="E86" s="1137">
        <v>0.2</v>
      </c>
      <c r="F86" s="1152">
        <v>30</v>
      </c>
    </row>
    <row r="87" spans="1:6" s="1103" customFormat="1" ht="36">
      <c r="A87" s="1152">
        <v>27</v>
      </c>
      <c r="B87" s="3428"/>
      <c r="C87" s="1066" t="s">
        <v>1556</v>
      </c>
      <c r="D87" s="1066" t="s">
        <v>1557</v>
      </c>
      <c r="E87" s="1137">
        <v>0.2</v>
      </c>
      <c r="F87" s="1152">
        <v>30</v>
      </c>
    </row>
    <row r="88" spans="1:6" s="1103" customFormat="1" ht="36">
      <c r="A88" s="1152">
        <v>28</v>
      </c>
      <c r="B88" s="3428"/>
      <c r="C88" s="1066" t="s">
        <v>1558</v>
      </c>
      <c r="D88" s="1066" t="s">
        <v>1559</v>
      </c>
      <c r="E88" s="1137">
        <v>0.2</v>
      </c>
      <c r="F88" s="1152">
        <v>30</v>
      </c>
    </row>
    <row r="89" spans="1:6" s="1103" customFormat="1" ht="24">
      <c r="A89" s="1152">
        <v>29</v>
      </c>
      <c r="B89" s="3428"/>
      <c r="C89" s="1066" t="s">
        <v>1560</v>
      </c>
      <c r="D89" s="1066" t="s">
        <v>1561</v>
      </c>
      <c r="E89" s="1137">
        <v>0.2</v>
      </c>
      <c r="F89" s="1152">
        <v>30</v>
      </c>
    </row>
    <row r="90" spans="1:6" s="1103" customFormat="1" ht="24">
      <c r="A90" s="1152">
        <v>30</v>
      </c>
      <c r="B90" s="3428"/>
      <c r="C90" s="1066" t="s">
        <v>1562</v>
      </c>
      <c r="D90" s="1066" t="s">
        <v>1563</v>
      </c>
      <c r="E90" s="1137">
        <v>0.2</v>
      </c>
      <c r="F90" s="1152">
        <v>30</v>
      </c>
    </row>
    <row r="91" spans="1:6" s="1103" customFormat="1" ht="36">
      <c r="A91" s="1152">
        <v>31</v>
      </c>
      <c r="B91" s="3428"/>
      <c r="C91" s="1066" t="s">
        <v>1564</v>
      </c>
      <c r="D91" s="1066" t="s">
        <v>1565</v>
      </c>
      <c r="E91" s="1137">
        <v>0.2</v>
      </c>
      <c r="F91" s="1152">
        <v>30</v>
      </c>
    </row>
    <row r="92" spans="1:6" s="1103" customFormat="1" ht="24">
      <c r="A92" s="1152">
        <v>32</v>
      </c>
      <c r="B92" s="3428" t="s">
        <v>1566</v>
      </c>
      <c r="C92" s="1152" t="s">
        <v>1567</v>
      </c>
      <c r="D92" s="1066" t="s">
        <v>1568</v>
      </c>
      <c r="E92" s="1137">
        <v>0.2</v>
      </c>
      <c r="F92" s="1152">
        <v>30</v>
      </c>
    </row>
    <row r="93" spans="1:6" s="1103" customFormat="1" ht="36">
      <c r="A93" s="1152">
        <v>33</v>
      </c>
      <c r="B93" s="3428"/>
      <c r="C93" s="1152" t="s">
        <v>1569</v>
      </c>
      <c r="D93" s="1066" t="s">
        <v>1570</v>
      </c>
      <c r="E93" s="1137">
        <v>0.2</v>
      </c>
      <c r="F93" s="1152">
        <v>30</v>
      </c>
    </row>
    <row r="94" spans="1:6" s="1103" customFormat="1" ht="48">
      <c r="A94" s="1152">
        <v>34</v>
      </c>
      <c r="B94" s="3428"/>
      <c r="C94" s="1152" t="s">
        <v>1571</v>
      </c>
      <c r="D94" s="1066" t="s">
        <v>1572</v>
      </c>
      <c r="E94" s="1137">
        <v>0.2</v>
      </c>
      <c r="F94" s="1152">
        <v>30</v>
      </c>
    </row>
    <row r="95" spans="1:6" s="1103" customFormat="1" ht="36">
      <c r="A95" s="1152">
        <v>35</v>
      </c>
      <c r="B95" s="3428"/>
      <c r="C95" s="1152" t="s">
        <v>1573</v>
      </c>
      <c r="D95" s="1066" t="s">
        <v>1574</v>
      </c>
      <c r="E95" s="1137">
        <v>0.2</v>
      </c>
      <c r="F95" s="1152">
        <v>30</v>
      </c>
    </row>
    <row r="96" spans="1:6" s="1103" customFormat="1" ht="48">
      <c r="A96" s="1152">
        <v>36</v>
      </c>
      <c r="B96" s="3428"/>
      <c r="C96" s="1066" t="s">
        <v>1575</v>
      </c>
      <c r="D96" s="1066" t="s">
        <v>1576</v>
      </c>
      <c r="E96" s="1137">
        <v>0.2</v>
      </c>
      <c r="F96" s="1152">
        <v>30</v>
      </c>
    </row>
    <row r="97" spans="1:6" s="1103" customFormat="1" ht="36">
      <c r="A97" s="1152">
        <v>37</v>
      </c>
      <c r="B97" s="3428"/>
      <c r="C97" s="1152" t="s">
        <v>1577</v>
      </c>
      <c r="D97" s="1066" t="s">
        <v>1578</v>
      </c>
      <c r="E97" s="1137">
        <v>0.2</v>
      </c>
      <c r="F97" s="1152">
        <v>30</v>
      </c>
    </row>
    <row r="98" spans="1:6" s="1103" customFormat="1" ht="36">
      <c r="A98" s="1152">
        <v>38</v>
      </c>
      <c r="B98" s="3428"/>
      <c r="C98" s="1152" t="s">
        <v>1579</v>
      </c>
      <c r="D98" s="1066" t="s">
        <v>1580</v>
      </c>
      <c r="E98" s="1137">
        <v>0.2</v>
      </c>
      <c r="F98" s="1152">
        <v>30</v>
      </c>
    </row>
    <row r="99" spans="1:6" s="1103" customFormat="1" ht="36">
      <c r="A99" s="1152">
        <v>39</v>
      </c>
      <c r="B99" s="3428" t="s">
        <v>1581</v>
      </c>
      <c r="C99" s="1152" t="s">
        <v>1582</v>
      </c>
      <c r="D99" s="1066" t="s">
        <v>1583</v>
      </c>
      <c r="E99" s="1137">
        <v>0.3</v>
      </c>
      <c r="F99" s="1152">
        <v>50</v>
      </c>
    </row>
    <row r="100" spans="1:6" s="1103" customFormat="1" ht="24">
      <c r="A100" s="1152">
        <v>40</v>
      </c>
      <c r="B100" s="3428"/>
      <c r="C100" s="1152" t="s">
        <v>1584</v>
      </c>
      <c r="D100" s="1066" t="s">
        <v>1585</v>
      </c>
      <c r="E100" s="1137">
        <v>0.2</v>
      </c>
      <c r="F100" s="1152">
        <v>30</v>
      </c>
    </row>
    <row r="101" spans="1:6" s="1103" customFormat="1" ht="36">
      <c r="A101" s="1152">
        <v>41</v>
      </c>
      <c r="B101" s="3428"/>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28" t="s">
        <v>1596</v>
      </c>
      <c r="C105" s="1152" t="s">
        <v>1597</v>
      </c>
      <c r="D105" s="1066" t="s">
        <v>1598</v>
      </c>
      <c r="E105" s="1137">
        <v>0.2</v>
      </c>
      <c r="F105" s="1152">
        <v>30</v>
      </c>
    </row>
    <row r="106" spans="1:6" s="1103" customFormat="1" ht="36">
      <c r="A106" s="1152">
        <v>46</v>
      </c>
      <c r="B106" s="3428"/>
      <c r="C106" s="1152" t="s">
        <v>1599</v>
      </c>
      <c r="D106" s="1066" t="s">
        <v>1600</v>
      </c>
      <c r="E106" s="1137">
        <v>0.2</v>
      </c>
      <c r="F106" s="1152">
        <v>30</v>
      </c>
    </row>
    <row r="107" spans="1:6" s="1103" customFormat="1" ht="36">
      <c r="A107" s="1152">
        <v>47</v>
      </c>
      <c r="B107" s="3428" t="s">
        <v>1601</v>
      </c>
      <c r="C107" s="1152" t="s">
        <v>1602</v>
      </c>
      <c r="D107" s="1066" t="s">
        <v>1603</v>
      </c>
      <c r="E107" s="1137">
        <v>0.3</v>
      </c>
      <c r="F107" s="1152">
        <v>50</v>
      </c>
    </row>
    <row r="108" spans="1:6" s="1103" customFormat="1" ht="36">
      <c r="A108" s="1152">
        <v>48</v>
      </c>
      <c r="B108" s="342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28" t="s">
        <v>1612</v>
      </c>
      <c r="C111" s="1152" t="s">
        <v>1613</v>
      </c>
      <c r="D111" s="1066" t="s">
        <v>1614</v>
      </c>
      <c r="E111" s="1137">
        <v>0.2</v>
      </c>
      <c r="F111" s="1152">
        <v>30</v>
      </c>
    </row>
    <row r="112" spans="1:6" s="1103" customFormat="1" ht="24">
      <c r="A112" s="1152">
        <v>52</v>
      </c>
      <c r="B112" s="3428"/>
      <c r="C112" s="1152" t="s">
        <v>1615</v>
      </c>
      <c r="D112" s="1066" t="s">
        <v>1616</v>
      </c>
      <c r="E112" s="1137">
        <v>0.2</v>
      </c>
      <c r="F112" s="1152">
        <v>30</v>
      </c>
    </row>
    <row r="113" spans="1:14" s="1103" customFormat="1" ht="24">
      <c r="A113" s="1152">
        <v>53</v>
      </c>
      <c r="B113" s="3428"/>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28" t="s">
        <v>1625</v>
      </c>
      <c r="C116" s="1152" t="s">
        <v>1626</v>
      </c>
      <c r="D116" s="1066" t="s">
        <v>1627</v>
      </c>
      <c r="E116" s="1137">
        <v>0.2</v>
      </c>
      <c r="F116" s="1152">
        <v>30</v>
      </c>
    </row>
    <row r="117" spans="1:14" ht="36">
      <c r="A117" s="1152">
        <v>57</v>
      </c>
      <c r="B117" s="342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27" t="s">
        <v>1634</v>
      </c>
      <c r="B121" s="3427"/>
      <c r="C121" s="3427"/>
      <c r="D121" s="3427"/>
      <c r="E121" s="3427"/>
      <c r="F121" s="3427"/>
      <c r="G121" s="3427"/>
      <c r="H121" s="3427"/>
      <c r="I121" s="3427"/>
      <c r="J121" s="342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2" t="s">
        <v>1040</v>
      </c>
      <c r="B1" s="3432"/>
      <c r="C1" s="3432"/>
      <c r="D1" s="3432"/>
      <c r="E1" s="3432"/>
      <c r="F1" s="343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33" t="s">
        <v>1053</v>
      </c>
      <c r="B2" s="3433"/>
      <c r="C2" s="3433"/>
      <c r="D2" s="3433"/>
      <c r="E2" s="3433"/>
      <c r="F2" s="343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36" t="s">
        <v>2080</v>
      </c>
      <c r="B1" s="3436"/>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2079</v>
      </c>
      <c r="D3" s="3103" t="s">
        <v>2941</v>
      </c>
      <c r="E3" s="3104">
        <f ca="1">SUMIF(E7:E14,"&lt;&gt;#ref!",E7:E14)</f>
        <v>0</v>
      </c>
      <c r="F3" s="3102"/>
    </row>
    <row r="4" spans="1:6" ht="14.25">
      <c r="A4" s="3103" t="s">
        <v>2948</v>
      </c>
      <c r="B4" s="3104" t="e">
        <f ca="1">ROUND(B2*10000/E4,0)</f>
        <v>#DIV/0!</v>
      </c>
      <c r="C4" s="3103" t="s">
        <v>2079</v>
      </c>
      <c r="D4" s="3103" t="s">
        <v>2949</v>
      </c>
      <c r="E4" s="3104">
        <f ca="1">SUMIF(F7:F14,"&lt;&gt;#ref!",F7:F14)</f>
        <v>0</v>
      </c>
      <c r="F4" s="3102"/>
    </row>
    <row r="5" spans="1:6" ht="14.25">
      <c r="A5" s="3105"/>
      <c r="B5" s="1879"/>
      <c r="C5" s="1879"/>
      <c r="D5" s="1879"/>
      <c r="E5" s="1879"/>
      <c r="F5" s="3102"/>
    </row>
    <row r="6" spans="1:6" ht="28.5">
      <c r="A6" s="3106" t="s">
        <v>2945</v>
      </c>
      <c r="B6" s="3103" t="s">
        <v>2942</v>
      </c>
      <c r="C6" s="3104"/>
      <c r="D6" s="1879"/>
      <c r="E6" s="3103" t="s">
        <v>2943</v>
      </c>
      <c r="F6" s="3103" t="s">
        <v>2947</v>
      </c>
    </row>
    <row r="7" spans="1:6" ht="14.25">
      <c r="A7" s="258" t="s">
        <v>2946</v>
      </c>
      <c r="B7" s="3107" t="e">
        <f ca="1">SUMIF(INDIRECT("'"&amp;A7&amp;"'"&amp;"!A:A"),"总价",INDIRECT("'"&amp;A7&amp;"'"&amp;"!B:B"))</f>
        <v>#DIV/0!</v>
      </c>
      <c r="C7" s="3103" t="s">
        <v>2940</v>
      </c>
      <c r="D7" s="1879"/>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2940</v>
      </c>
      <c r="D8" s="1879"/>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2940</v>
      </c>
      <c r="D9" s="1879"/>
      <c r="E9" s="3108" t="e">
        <f t="shared" ca="1" si="1"/>
        <v>#REF!</v>
      </c>
      <c r="F9" s="3108" t="e">
        <f t="shared" ca="1" si="2"/>
        <v>#REF!</v>
      </c>
    </row>
    <row r="10" spans="1:6" ht="14.25">
      <c r="A10" s="258"/>
      <c r="B10" s="3107" t="e">
        <f t="shared" ca="1" si="0"/>
        <v>#REF!</v>
      </c>
      <c r="C10" s="3103" t="s">
        <v>2940</v>
      </c>
      <c r="D10" s="1879"/>
      <c r="E10" s="3108" t="e">
        <f t="shared" ca="1" si="1"/>
        <v>#REF!</v>
      </c>
      <c r="F10" s="3108" t="e">
        <f t="shared" ca="1" si="2"/>
        <v>#REF!</v>
      </c>
    </row>
    <row r="11" spans="1:6" ht="14.25">
      <c r="A11" s="258"/>
      <c r="B11" s="3107" t="e">
        <f t="shared" ca="1" si="0"/>
        <v>#REF!</v>
      </c>
      <c r="C11" s="3103" t="s">
        <v>2940</v>
      </c>
      <c r="D11" s="1879"/>
      <c r="E11" s="3108" t="e">
        <f t="shared" ca="1" si="1"/>
        <v>#REF!</v>
      </c>
      <c r="F11" s="3108" t="e">
        <f t="shared" ca="1" si="2"/>
        <v>#REF!</v>
      </c>
    </row>
    <row r="12" spans="1:6" ht="14.25">
      <c r="A12" s="258"/>
      <c r="B12" s="3107" t="e">
        <f t="shared" ca="1" si="0"/>
        <v>#REF!</v>
      </c>
      <c r="C12" s="3103" t="s">
        <v>2940</v>
      </c>
      <c r="D12" s="1879"/>
      <c r="E12" s="3108" t="e">
        <f t="shared" ca="1" si="1"/>
        <v>#REF!</v>
      </c>
      <c r="F12" s="3108" t="e">
        <f t="shared" ca="1" si="2"/>
        <v>#REF!</v>
      </c>
    </row>
    <row r="13" spans="1:6" ht="14.25">
      <c r="A13" s="258"/>
      <c r="B13" s="3107" t="e">
        <f t="shared" ca="1" si="0"/>
        <v>#REF!</v>
      </c>
      <c r="C13" s="3103" t="s">
        <v>2940</v>
      </c>
      <c r="D13" s="1879"/>
      <c r="E13" s="3108" t="e">
        <f t="shared" ca="1" si="1"/>
        <v>#REF!</v>
      </c>
      <c r="F13" s="3108" t="e">
        <f t="shared" ca="1" si="2"/>
        <v>#REF!</v>
      </c>
    </row>
    <row r="14" spans="1:6" ht="14.25">
      <c r="A14" s="3101"/>
      <c r="B14" s="3107" t="e">
        <f t="shared" ca="1" si="0"/>
        <v>#REF!</v>
      </c>
      <c r="C14" s="3103" t="s">
        <v>2940</v>
      </c>
      <c r="D14" s="1879"/>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85" t="s">
        <v>2375</v>
      </c>
      <c r="F1" s="2386">
        <f ca="1">J54</f>
        <v>-3</v>
      </c>
      <c r="G1" s="772">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2" t="s">
        <v>629</v>
      </c>
      <c r="B2" s="773">
        <f ca="1">IF(ISERROR(C45+J31),0,C45+J31)</f>
        <v>0</v>
      </c>
      <c r="C2" s="1349"/>
      <c r="D2" s="2053"/>
      <c r="E2" s="2054"/>
      <c r="F2" s="2054"/>
      <c r="G2" s="1588"/>
      <c r="H2" s="1361"/>
      <c r="I2" s="2055"/>
      <c r="J2" s="2055"/>
      <c r="K2" s="2056"/>
      <c r="L2" s="2055"/>
      <c r="M2" s="2055"/>
    </row>
    <row r="3" spans="1:25" ht="18" customHeight="1">
      <c r="A3" s="1643" t="s">
        <v>1687</v>
      </c>
      <c r="B3" s="1389">
        <f ca="1">ROUND(B2*10000/'数据-汇总表'!E3,0)</f>
        <v>0</v>
      </c>
      <c r="C3" s="1349"/>
      <c r="D3" s="2053"/>
      <c r="E3" s="2054"/>
      <c r="F3" s="2054"/>
      <c r="G3" s="1588"/>
      <c r="H3" s="774" t="s">
        <v>695</v>
      </c>
      <c r="I3" s="2055"/>
      <c r="J3" s="2055"/>
      <c r="K3" s="2056"/>
      <c r="L3" s="2055"/>
      <c r="M3" s="2055"/>
    </row>
    <row r="4" spans="1:25" ht="18" customHeight="1">
      <c r="A4" s="1644" t="s">
        <v>696</v>
      </c>
      <c r="B4" s="1350">
        <f ca="1">ROUND(B2*10000/'数据-汇总表'!D3,0)</f>
        <v>0</v>
      </c>
      <c r="C4" s="426"/>
      <c r="D4" s="2053"/>
      <c r="E4" s="2054"/>
      <c r="F4" s="2054"/>
      <c r="G4" s="1588"/>
      <c r="H4" s="774"/>
      <c r="I4" s="2055"/>
      <c r="J4" s="2055"/>
      <c r="K4" s="2056"/>
      <c r="L4" s="2055"/>
      <c r="M4" s="2055"/>
    </row>
    <row r="5" spans="1:25" ht="18" customHeight="1" thickBot="1">
      <c r="A5" s="1645"/>
      <c r="B5" s="428">
        <f ca="1">ROUND(B2/('数据-汇总表'!D3/666.67),0)</f>
        <v>0</v>
      </c>
      <c r="C5" s="429" t="s">
        <v>697</v>
      </c>
      <c r="D5" s="2053"/>
      <c r="E5" s="2054"/>
      <c r="F5" s="2054"/>
      <c r="G5" s="1588"/>
      <c r="H5" s="774"/>
      <c r="I5" s="2055"/>
      <c r="J5" s="2055"/>
      <c r="K5" s="2056"/>
      <c r="L5" s="2055"/>
      <c r="M5" s="2055"/>
    </row>
    <row r="6" spans="1:25" ht="18" customHeight="1">
      <c r="A6" s="1826" t="s">
        <v>698</v>
      </c>
      <c r="B6" s="1818" t="s">
        <v>699</v>
      </c>
      <c r="C6" s="1818" t="s">
        <v>632</v>
      </c>
      <c r="D6" s="1818" t="s">
        <v>633</v>
      </c>
      <c r="E6" s="777" t="s">
        <v>634</v>
      </c>
      <c r="F6" s="778"/>
      <c r="G6" s="1590"/>
      <c r="H6" s="1826" t="s">
        <v>630</v>
      </c>
      <c r="I6" s="1818" t="s">
        <v>631</v>
      </c>
      <c r="J6" s="1818" t="s">
        <v>632</v>
      </c>
      <c r="K6" s="1818" t="s">
        <v>633</v>
      </c>
      <c r="L6" s="777" t="s">
        <v>634</v>
      </c>
      <c r="M6" s="778"/>
    </row>
    <row r="7" spans="1:25" ht="18" customHeight="1">
      <c r="A7" s="779">
        <v>1</v>
      </c>
      <c r="B7" s="780" t="s">
        <v>2459</v>
      </c>
      <c r="C7" s="53">
        <f ca="1">C8+C12+C14</f>
        <v>0</v>
      </c>
      <c r="D7" s="2494" t="s">
        <v>2462</v>
      </c>
      <c r="E7" s="2488"/>
      <c r="F7" s="2489"/>
      <c r="G7" s="1590"/>
      <c r="H7" s="779">
        <v>1</v>
      </c>
      <c r="I7" s="780" t="s">
        <v>2459</v>
      </c>
      <c r="J7" s="53">
        <f ca="1">J8+J12+J14</f>
        <v>0</v>
      </c>
      <c r="K7" s="2494" t="s">
        <v>2462</v>
      </c>
      <c r="L7" s="2488"/>
      <c r="M7" s="2489"/>
    </row>
    <row r="8" spans="1:25" ht="18" customHeight="1">
      <c r="A8" s="1828" t="s">
        <v>1825</v>
      </c>
      <c r="B8" s="3438" t="s">
        <v>2464</v>
      </c>
      <c r="C8" s="1823">
        <f ca="1">ROUND(F8*F10*F9*(1-F11)/10000,0)</f>
        <v>0</v>
      </c>
      <c r="D8" s="1820" t="s">
        <v>2535</v>
      </c>
      <c r="E8" s="61" t="s">
        <v>637</v>
      </c>
      <c r="F8" s="783">
        <f ca="1">INDIRECT("'数据-取费表'!u"&amp;$G$1)</f>
        <v>0</v>
      </c>
      <c r="G8" s="1590"/>
      <c r="H8" s="2502" t="s">
        <v>1825</v>
      </c>
      <c r="I8" s="3438" t="s">
        <v>2464</v>
      </c>
      <c r="J8" s="781">
        <f ca="1">ROUND(M8*M10*M9*(1-M11)/10000,0)</f>
        <v>0</v>
      </c>
      <c r="K8" s="339" t="s">
        <v>2535</v>
      </c>
      <c r="L8" s="782" t="s">
        <v>1739</v>
      </c>
      <c r="M8" s="783">
        <f ca="1">INDIRECT("'数据-取费表'!z"&amp;$G$1)</f>
        <v>0</v>
      </c>
    </row>
    <row r="9" spans="1:25" ht="18" customHeight="1">
      <c r="A9" s="2498"/>
      <c r="B9" s="3439"/>
      <c r="C9" s="1824"/>
      <c r="D9" s="1821"/>
      <c r="E9" s="61" t="s">
        <v>638</v>
      </c>
      <c r="F9" s="783">
        <f ca="1">IF(INDIRECT("'数据-取费表'!ah"&amp;$G$1)="",INDIRECT("'数据-取费表'!k"&amp;$G$1),INDIRECT("'数据-取费表'!ah"&amp;$G$1))</f>
        <v>0</v>
      </c>
      <c r="G9" s="1590"/>
      <c r="H9" s="2487"/>
      <c r="I9" s="3439"/>
      <c r="J9" s="786"/>
      <c r="K9" s="787"/>
      <c r="L9" s="782" t="s">
        <v>1740</v>
      </c>
      <c r="M9" s="783">
        <f ca="1">F9</f>
        <v>0</v>
      </c>
    </row>
    <row r="10" spans="1:25" ht="18" customHeight="1">
      <c r="A10" s="2491"/>
      <c r="B10" s="3440"/>
      <c r="C10" s="1824"/>
      <c r="D10" s="1821"/>
      <c r="E10" s="61" t="s">
        <v>639</v>
      </c>
      <c r="F10" s="783">
        <f ca="1">INDIRECT("'数据-取费表'!ai"&amp;$G$1)</f>
        <v>0</v>
      </c>
      <c r="G10" s="1590"/>
      <c r="H10" s="2487"/>
      <c r="I10" s="3440"/>
      <c r="J10" s="786"/>
      <c r="K10" s="787"/>
      <c r="L10" s="782" t="s">
        <v>1741</v>
      </c>
      <c r="M10" s="783">
        <f ca="1">INDIRECT("'数据-取费表'!ai"&amp;$G$1)</f>
        <v>0</v>
      </c>
    </row>
    <row r="11" spans="1:25" ht="18" customHeight="1">
      <c r="A11" s="784"/>
      <c r="B11" s="3441"/>
      <c r="C11" s="1824"/>
      <c r="D11" s="1821"/>
      <c r="E11" s="61" t="s">
        <v>640</v>
      </c>
      <c r="F11" s="792">
        <f ca="1">INDIRECT("'数据-取费表'!w"&amp;$G$1)</f>
        <v>0</v>
      </c>
      <c r="G11" s="1590"/>
      <c r="H11" s="2503"/>
      <c r="I11" s="3440"/>
      <c r="J11" s="786"/>
      <c r="K11" s="787"/>
      <c r="L11" s="793" t="s">
        <v>1742</v>
      </c>
      <c r="M11" s="794">
        <f ca="1">INDIRECT("'数据-取费表'!ab"&amp;$G$1)</f>
        <v>0</v>
      </c>
    </row>
    <row r="12" spans="1:25" ht="18" customHeight="1">
      <c r="A12" s="1828" t="s">
        <v>1826</v>
      </c>
      <c r="B12" s="2492" t="s">
        <v>2460</v>
      </c>
      <c r="C12" s="797">
        <f ca="1">ROUND(IF(F12="押一",C8/12*F13,IF(F12="押二",C8/12*2*F13,IF(F12="押三",C8/12*3*F13,C13*F13))),0)</f>
        <v>0</v>
      </c>
      <c r="D12" s="2499" t="s">
        <v>2969</v>
      </c>
      <c r="E12" s="2496" t="s">
        <v>2465</v>
      </c>
      <c r="F12" s="2619"/>
      <c r="G12" s="1590"/>
      <c r="H12" s="2559" t="s">
        <v>1826</v>
      </c>
      <c r="I12" s="2564" t="s">
        <v>2460</v>
      </c>
      <c r="J12" s="781">
        <f ca="1">ROUND(IF(M12="押一",J8/12*M13,IF(M12="押二",J8/12*2*M13,IF(M12="押三",J8/12*3*M13,J13*M13))),0)</f>
        <v>0</v>
      </c>
      <c r="K12" s="2499" t="s">
        <v>2969</v>
      </c>
      <c r="L12" s="2496" t="s">
        <v>2465</v>
      </c>
      <c r="M12" s="2619"/>
    </row>
    <row r="13" spans="1:25" ht="18" customHeight="1">
      <c r="A13" s="788"/>
      <c r="B13" s="2493" t="s">
        <v>2574</v>
      </c>
      <c r="C13" s="2497"/>
      <c r="D13" s="787"/>
      <c r="E13" s="2496" t="s">
        <v>2457</v>
      </c>
      <c r="F13" s="794">
        <f ca="1">'数据-取费表'!B39</f>
        <v>1.4999999999999999E-2</v>
      </c>
      <c r="G13" s="1590"/>
      <c r="H13" s="2560"/>
      <c r="I13" s="2493" t="s">
        <v>2574</v>
      </c>
      <c r="J13" s="2497"/>
      <c r="K13" s="2561"/>
      <c r="L13" s="2496" t="s">
        <v>2457</v>
      </c>
      <c r="M13" s="2490">
        <f ca="1">'数据-取费表'!B39</f>
        <v>1.4999999999999999E-2</v>
      </c>
    </row>
    <row r="14" spans="1:25" ht="18" customHeight="1" thickBot="1">
      <c r="A14" s="2535" t="s">
        <v>2468</v>
      </c>
      <c r="B14" s="2536" t="s">
        <v>2461</v>
      </c>
      <c r="C14" s="2537"/>
      <c r="D14" s="2538"/>
      <c r="E14" s="2539"/>
      <c r="F14" s="2540"/>
      <c r="G14" s="1590"/>
      <c r="H14" s="2549" t="s">
        <v>2468</v>
      </c>
      <c r="I14" s="2562" t="s">
        <v>2461</v>
      </c>
      <c r="J14" s="2563"/>
      <c r="K14" s="2538"/>
      <c r="L14" s="2539"/>
      <c r="M14" s="2552"/>
    </row>
    <row r="15" spans="1:25" ht="18" customHeight="1" thickTop="1">
      <c r="A15" s="1827" t="s">
        <v>1875</v>
      </c>
      <c r="B15" s="1825" t="s">
        <v>641</v>
      </c>
      <c r="C15" s="790">
        <f ca="1">ROUND(C31*F15,0)</f>
        <v>0</v>
      </c>
      <c r="D15" s="1832" t="s">
        <v>642</v>
      </c>
      <c r="E15" s="793" t="s">
        <v>643</v>
      </c>
      <c r="F15" s="798">
        <f ca="1">INDIRECT("'数据-取费表'!y"&amp;$G$1)</f>
        <v>0</v>
      </c>
      <c r="G15" s="1590"/>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90"/>
      <c r="H16" s="801" t="s">
        <v>2070</v>
      </c>
      <c r="I16" s="2229" t="s">
        <v>2826</v>
      </c>
      <c r="J16" s="53">
        <f ca="1">C31</f>
        <v>0</v>
      </c>
      <c r="K16" s="26"/>
      <c r="L16" s="799"/>
      <c r="M16" s="800"/>
    </row>
    <row r="17" spans="1:25" s="2062" customFormat="1" ht="18" customHeight="1">
      <c r="A17" s="801" t="s">
        <v>1850</v>
      </c>
      <c r="B17" s="782" t="s">
        <v>647</v>
      </c>
      <c r="C17" s="53">
        <f ca="1">ROUND(C16*F17,0)</f>
        <v>0</v>
      </c>
      <c r="D17" s="804" t="s">
        <v>648</v>
      </c>
      <c r="E17" s="804" t="s">
        <v>649</v>
      </c>
      <c r="F17" s="805">
        <f>'数据-取费表'!B33</f>
        <v>0.03</v>
      </c>
      <c r="G17" s="1591"/>
      <c r="H17" s="801" t="s">
        <v>2071</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6" t="s">
        <v>652</v>
      </c>
      <c r="L18" s="1980"/>
      <c r="M18" s="56"/>
    </row>
    <row r="19" spans="1:25" s="2062" customFormat="1" ht="18" customHeight="1">
      <c r="A19" s="801" t="s">
        <v>1852</v>
      </c>
      <c r="B19" s="782" t="s">
        <v>653</v>
      </c>
      <c r="C19" s="53">
        <f ca="1">ROUND(F19*(INDIRECT("'数据-取费表'!k"&amp;$G$1)+INDIRECT("'数据-取费表'!S"&amp;$G$1))/10000,0)</f>
        <v>0</v>
      </c>
      <c r="D19" s="782" t="s">
        <v>654</v>
      </c>
      <c r="E19" s="782" t="s">
        <v>655</v>
      </c>
      <c r="F19" s="56">
        <f>'数据-取费表'!B35</f>
        <v>200</v>
      </c>
      <c r="G19" s="1591"/>
      <c r="H19" s="801" t="s">
        <v>2070</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3">
        <f ca="1">ROUND(C16*F20,0)</f>
        <v>0</v>
      </c>
      <c r="D20" s="782" t="s">
        <v>648</v>
      </c>
      <c r="E20" s="782" t="s">
        <v>649</v>
      </c>
      <c r="F20" s="807">
        <f>'数据-取费表'!B36</f>
        <v>1.4999999999999999E-2</v>
      </c>
      <c r="G20" s="1591"/>
      <c r="H20" s="801" t="s">
        <v>1832</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1877</v>
      </c>
      <c r="B21" s="782" t="s">
        <v>662</v>
      </c>
      <c r="C21" s="53">
        <f ca="1">SUM(C16:C20)</f>
        <v>0</v>
      </c>
      <c r="D21" s="259" t="s">
        <v>663</v>
      </c>
      <c r="E21" s="1980"/>
      <c r="F21" s="56"/>
      <c r="G21" s="1590"/>
      <c r="H21" s="1828" t="s">
        <v>1850</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3">
        <f ca="1">ROUND(C21*F22,0)</f>
        <v>0</v>
      </c>
      <c r="D22" s="810" t="s">
        <v>667</v>
      </c>
      <c r="E22" s="782" t="s">
        <v>649</v>
      </c>
      <c r="F22" s="807">
        <f>'数据-取费表'!B37</f>
        <v>0.01</v>
      </c>
      <c r="G22" s="1591"/>
      <c r="H22" s="1830" t="s">
        <v>1851</v>
      </c>
      <c r="I22" s="1820" t="s">
        <v>668</v>
      </c>
      <c r="J22" s="54">
        <f ca="1">ROUND(M22*M23/10000,0)</f>
        <v>0</v>
      </c>
      <c r="K22" s="812" t="s">
        <v>669</v>
      </c>
      <c r="L22" s="782" t="s">
        <v>670</v>
      </c>
      <c r="M22" s="638">
        <f>'数据-取费表'!B52</f>
        <v>1.5</v>
      </c>
      <c r="N22" s="2061"/>
      <c r="O22" s="2061"/>
      <c r="P22" s="2061"/>
      <c r="Q22" s="2061"/>
      <c r="R22" s="2061"/>
      <c r="S22" s="2061"/>
      <c r="T22" s="2061"/>
      <c r="U22" s="2061"/>
      <c r="V22" s="2061"/>
      <c r="W22" s="2061"/>
      <c r="X22" s="2061"/>
      <c r="Y22" s="2061"/>
    </row>
    <row r="23" spans="1:25" s="2062" customFormat="1" ht="18" customHeight="1">
      <c r="A23" s="801" t="s">
        <v>1879</v>
      </c>
      <c r="B23" s="782" t="s">
        <v>671</v>
      </c>
      <c r="C23" s="53" t="s">
        <v>1</v>
      </c>
      <c r="D23" s="810" t="s">
        <v>672</v>
      </c>
      <c r="E23" s="782" t="s">
        <v>673</v>
      </c>
      <c r="F23" s="807">
        <f>'数据-取费表'!B38</f>
        <v>0.01</v>
      </c>
      <c r="G23" s="1591"/>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3"/>
      <c r="D24" s="2570" t="str">
        <f>IF(F25&lt;=1,"单利计息。","复利计息。")&amp;"建造成本、管理费用、销售费用产生的利息。"</f>
        <v>复利计息。建造成本、管理费用、销售费用产生的利息。</v>
      </c>
      <c r="E24" s="1980"/>
      <c r="F24" s="56"/>
      <c r="G24" s="1590"/>
      <c r="H24" s="1829" t="s">
        <v>2071</v>
      </c>
      <c r="I24" s="782" t="s">
        <v>676</v>
      </c>
      <c r="J24" s="53">
        <f ca="1">ROUND(J16*M24,0)</f>
        <v>0</v>
      </c>
      <c r="K24" s="1975" t="s">
        <v>677</v>
      </c>
      <c r="L24" s="782" t="s">
        <v>649</v>
      </c>
      <c r="M24" s="815">
        <f ca="1">INDIRECT("'数据-取费表'!Ak"&amp;$G$1)</f>
        <v>0</v>
      </c>
    </row>
    <row r="25" spans="1:25" s="2062" customFormat="1" ht="18" customHeight="1">
      <c r="A25" s="801" t="s">
        <v>1876</v>
      </c>
      <c r="B25" s="782" t="s">
        <v>2438</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3</v>
      </c>
      <c r="G25" s="1591"/>
      <c r="H25" s="801" t="s">
        <v>1879</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3">
        <f ca="1">ROUND(IF('数据-取费表'!B22&lt;=1,F23*F26*F25/2,F23*(POWER((1+F26),F25/2)-1)),4)</f>
        <v>6.9999999999999999E-4</v>
      </c>
      <c r="D26" s="2569" t="str">
        <f>IF(F25&lt;=1,"销售费用×利率×(建设周期÷2)","销售费用×((1+利率)^(建设周期÷2)-1)")</f>
        <v>销售费用×((1+利率)^(建设周期÷2)-1)</v>
      </c>
      <c r="E26" s="782" t="s">
        <v>682</v>
      </c>
      <c r="F26" s="817">
        <f ca="1">'数据-取费表'!B40</f>
        <v>4.7500000000000001E-2</v>
      </c>
      <c r="G26" s="1591"/>
      <c r="H26" s="801" t="s">
        <v>1880</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3"/>
      <c r="D27" s="259" t="s">
        <v>685</v>
      </c>
      <c r="E27" s="1980"/>
      <c r="F27" s="56"/>
      <c r="G27" s="1590"/>
      <c r="H27" s="795" t="s">
        <v>1829</v>
      </c>
      <c r="I27" s="3008" t="s">
        <v>2823</v>
      </c>
      <c r="J27" s="797">
        <f ca="1">J7-J18</f>
        <v>0</v>
      </c>
      <c r="K27" s="1977" t="s">
        <v>700</v>
      </c>
      <c r="L27" s="1979"/>
      <c r="M27" s="818"/>
    </row>
    <row r="28" spans="1:25" ht="18" customHeight="1">
      <c r="A28" s="801" t="s">
        <v>1876</v>
      </c>
      <c r="B28" s="782" t="s">
        <v>2439</v>
      </c>
      <c r="C28" s="53">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0"/>
      <c r="H29" s="784"/>
      <c r="I29" s="785"/>
      <c r="J29" s="786"/>
      <c r="K29" s="819" t="s">
        <v>707</v>
      </c>
      <c r="L29" s="782" t="s">
        <v>708</v>
      </c>
      <c r="M29" s="820">
        <f ca="1">INDIRECT("'数据-取费表'!ag"&amp;$G$1)</f>
        <v>0</v>
      </c>
    </row>
    <row r="30" spans="1:25" s="2062" customFormat="1" ht="18" customHeight="1">
      <c r="A30" s="801" t="s">
        <v>1883</v>
      </c>
      <c r="B30" s="782" t="s">
        <v>687</v>
      </c>
      <c r="C30" s="53">
        <f>ROUND(F30/(1+'数据-取费表'!C42),4)</f>
        <v>5.2400000000000002E-2</v>
      </c>
      <c r="D30" s="810" t="s">
        <v>709</v>
      </c>
      <c r="E30" s="782" t="s">
        <v>649</v>
      </c>
      <c r="F30" s="807">
        <f>'数据-取费表'!B41</f>
        <v>5.5000000000000007E-2</v>
      </c>
      <c r="G30" s="1591"/>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2824</v>
      </c>
      <c r="C31" s="2542">
        <f ca="1">ROUND((C21+C22+C25+C28)/(1-F23-C26-C29-C30),0)</f>
        <v>0</v>
      </c>
      <c r="D31" s="2543"/>
      <c r="E31" s="2544"/>
      <c r="F31" s="2545"/>
      <c r="G31" s="1591"/>
      <c r="H31" s="821" t="s">
        <v>1873</v>
      </c>
      <c r="I31" s="3009"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85"/>
      <c r="F32" s="2489"/>
      <c r="G32" s="2060"/>
      <c r="H32" s="2063"/>
      <c r="I32" s="2064"/>
      <c r="J32" s="2065"/>
      <c r="K32" s="2066"/>
      <c r="L32" s="2067"/>
      <c r="M32" s="2068"/>
    </row>
    <row r="33" spans="1:18" ht="18" customHeight="1">
      <c r="A33" s="801" t="s">
        <v>1877</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4">
        <f ca="1">ROUND(F36*F37/10000,1)</f>
        <v>0</v>
      </c>
      <c r="D36" s="812" t="s">
        <v>669</v>
      </c>
      <c r="E36" s="782" t="s">
        <v>670</v>
      </c>
      <c r="F36" s="638">
        <f>'数据-取费表'!B52</f>
        <v>1.5</v>
      </c>
      <c r="G36" s="2060"/>
      <c r="H36" s="2063"/>
      <c r="I36" s="3437"/>
      <c r="J36" s="2077"/>
      <c r="K36" s="2078"/>
      <c r="L36" s="2077"/>
      <c r="M36" s="2077"/>
    </row>
    <row r="37" spans="1:18" ht="18" customHeight="1">
      <c r="A37" s="813"/>
      <c r="B37" s="791"/>
      <c r="C37" s="69"/>
      <c r="D37" s="814"/>
      <c r="E37" s="782" t="s">
        <v>674</v>
      </c>
      <c r="F37" s="783">
        <f ca="1">INDIRECT("'数据-取费表'!r"&amp;$G$1)</f>
        <v>0</v>
      </c>
      <c r="G37" s="2060"/>
      <c r="H37" s="2063"/>
      <c r="I37" s="3437"/>
      <c r="J37" s="2075"/>
      <c r="K37" s="2076"/>
      <c r="L37" s="2075"/>
      <c r="M37" s="2075"/>
    </row>
    <row r="38" spans="1:18" ht="18" customHeight="1">
      <c r="A38" s="801" t="s">
        <v>1878</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4" t="s">
        <v>712</v>
      </c>
      <c r="E43" s="3119" t="s">
        <v>2957</v>
      </c>
      <c r="F43" s="3120">
        <f ca="1">INDIRECT("'数据-取费表'!j"&amp;$G$1)</f>
        <v>0</v>
      </c>
      <c r="G43" s="2060"/>
      <c r="H43" s="2060"/>
      <c r="I43" s="2060"/>
      <c r="J43" s="2060"/>
      <c r="K43" s="2081"/>
      <c r="L43" s="2060"/>
      <c r="M43" s="2060"/>
    </row>
    <row r="44" spans="1:18" ht="18" customHeight="1">
      <c r="A44" s="801" t="s">
        <v>1879</v>
      </c>
      <c r="B44" s="833" t="s">
        <v>713</v>
      </c>
      <c r="C44" s="1355">
        <f ca="1">C42-C43</f>
        <v>0</v>
      </c>
      <c r="D44" s="461" t="s">
        <v>714</v>
      </c>
      <c r="E44" s="462"/>
      <c r="F44" s="463"/>
      <c r="G44" s="2060"/>
      <c r="H44" s="2060"/>
      <c r="I44" s="2060"/>
      <c r="J44" s="2060"/>
      <c r="K44" s="2081"/>
      <c r="L44" s="2060"/>
      <c r="M44" s="2060"/>
    </row>
    <row r="45" spans="1:18" ht="18" customHeight="1">
      <c r="A45" s="801" t="s">
        <v>1880</v>
      </c>
      <c r="B45" s="1354" t="s">
        <v>715</v>
      </c>
      <c r="C45" s="3034">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21" t="s">
        <v>2960</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2344</v>
      </c>
      <c r="J47" s="2377"/>
      <c r="K47" s="2378"/>
      <c r="L47" s="3157" t="str">
        <f ca="1">IF(M48="住宅",0,IF(L49&gt;J52,L61,J61))</f>
        <v>0</v>
      </c>
      <c r="O47" s="2392" t="s">
        <v>2411</v>
      </c>
      <c r="P47" s="1590"/>
      <c r="Q47" s="1602"/>
      <c r="R47" s="1590"/>
    </row>
    <row r="48" spans="1:18" s="2057" customFormat="1" ht="18" customHeight="1" thickBot="1">
      <c r="A48" s="2082"/>
      <c r="C48" s="2085"/>
      <c r="D48" s="2086"/>
      <c r="E48" s="2086"/>
      <c r="F48" s="2087"/>
      <c r="G48" s="2088"/>
      <c r="I48" s="3147" t="s">
        <v>2345</v>
      </c>
      <c r="J48" s="2379"/>
      <c r="K48" s="3154" t="s">
        <v>2350</v>
      </c>
      <c r="L48" s="3158">
        <f ca="1">INDIRECT("'数据-取费表'!d"&amp;$G$1)</f>
        <v>0</v>
      </c>
      <c r="M48" s="3118" t="str">
        <f>IF(ISNUMBER(FIND("住宅",C1)),"住宅","非住宅")</f>
        <v>非住宅</v>
      </c>
      <c r="O48" s="2393" t="s">
        <v>2376</v>
      </c>
      <c r="P48" s="2394" t="s">
        <v>2377</v>
      </c>
      <c r="Q48" s="2395" t="s">
        <v>2378</v>
      </c>
      <c r="R48" s="2394" t="s">
        <v>2379</v>
      </c>
    </row>
    <row r="49" spans="1:18" s="2057" customFormat="1" ht="18" customHeight="1" thickBot="1">
      <c r="A49" s="2082"/>
      <c r="D49" s="2089"/>
      <c r="E49" s="2090"/>
      <c r="F49" s="2087"/>
      <c r="G49" s="2088"/>
      <c r="H49" s="2091"/>
      <c r="I49" s="3123" t="s">
        <v>2346</v>
      </c>
      <c r="J49" s="2380"/>
      <c r="K49" s="3155" t="s">
        <v>2352</v>
      </c>
      <c r="L49" s="1906">
        <f ca="1">INDIRECT("'数据-取费表'!f"&amp;$G$1)</f>
        <v>0</v>
      </c>
      <c r="O49" s="2396" t="s">
        <v>2380</v>
      </c>
      <c r="P49" s="2397" t="s">
        <v>2406</v>
      </c>
      <c r="Q49" s="2398">
        <f ca="1">C41+J31</f>
        <v>0</v>
      </c>
      <c r="R49" s="2397" t="s">
        <v>2381</v>
      </c>
    </row>
    <row r="50" spans="1:18" s="2057" customFormat="1" ht="18" customHeight="1" thickBot="1">
      <c r="A50" s="2082"/>
      <c r="D50" s="2092"/>
      <c r="E50" s="2092"/>
      <c r="F50" s="2086"/>
      <c r="G50" s="2093"/>
      <c r="H50" s="2091"/>
      <c r="I50" s="3123" t="s">
        <v>2347</v>
      </c>
      <c r="J50" s="2381"/>
      <c r="K50" s="3156" t="s">
        <v>2353</v>
      </c>
      <c r="L50" s="2382"/>
      <c r="O50" s="2396" t="s">
        <v>2382</v>
      </c>
      <c r="P50" s="2397" t="s">
        <v>2407</v>
      </c>
      <c r="Q50" s="2398" t="str">
        <f ca="1">J61</f>
        <v>0</v>
      </c>
      <c r="R50" s="2397" t="s">
        <v>2383</v>
      </c>
    </row>
    <row r="51" spans="1:18" s="2057" customFormat="1" ht="18" customHeight="1" thickBot="1">
      <c r="A51" s="2094"/>
      <c r="D51" s="2092"/>
      <c r="E51" s="2092"/>
      <c r="F51" s="2083"/>
      <c r="H51" s="2091"/>
      <c r="I51" s="3123" t="s">
        <v>2348</v>
      </c>
      <c r="J51" s="3151">
        <f>SUMPRODUCT((I64:I66=J48)*(J63:L63=J49)*(J64:L66))</f>
        <v>0</v>
      </c>
      <c r="K51" s="3156" t="s">
        <v>2354</v>
      </c>
      <c r="L51" s="2382"/>
      <c r="O51" s="2399" t="s">
        <v>2384</v>
      </c>
      <c r="P51" s="2397" t="s">
        <v>2408</v>
      </c>
      <c r="Q51" s="2398">
        <f ca="1">C31</f>
        <v>0</v>
      </c>
      <c r="R51" s="2397" t="s">
        <v>2381</v>
      </c>
    </row>
    <row r="52" spans="1:18" s="2057" customFormat="1" ht="18" customHeight="1" thickBot="1">
      <c r="A52" s="2094"/>
      <c r="F52" s="2083"/>
      <c r="I52" s="3148" t="s">
        <v>2349</v>
      </c>
      <c r="J52" s="3152">
        <f>IF(J50="",J51,J50+J51-YEAR('数据-取费表'!B3))</f>
        <v>0</v>
      </c>
      <c r="K52" s="3123" t="s">
        <v>2355</v>
      </c>
      <c r="L52" s="3159">
        <f ca="1">ROUND(-PV(INDIRECT("'数据-取费表'!h"&amp;$G$1),L49,(C40-C14*J36),0),0)</f>
        <v>0</v>
      </c>
      <c r="O52" s="2399" t="s">
        <v>2385</v>
      </c>
      <c r="P52" s="2397" t="s">
        <v>2386</v>
      </c>
      <c r="Q52" s="2400" t="e">
        <f ca="1">J59</f>
        <v>#VALUE!</v>
      </c>
      <c r="R52" s="2401"/>
    </row>
    <row r="53" spans="1:18" s="2057" customFormat="1" ht="18" customHeight="1" thickBot="1">
      <c r="A53" s="2094"/>
      <c r="F53" s="2083"/>
      <c r="I53" s="3149" t="s">
        <v>2422</v>
      </c>
      <c r="J53" s="2383"/>
      <c r="K53" s="3149" t="s">
        <v>2421</v>
      </c>
      <c r="L53" s="2383"/>
      <c r="O53" s="2399" t="s">
        <v>2387</v>
      </c>
      <c r="P53" s="2397" t="s">
        <v>2388</v>
      </c>
      <c r="Q53" s="2400">
        <f>J53</f>
        <v>0</v>
      </c>
      <c r="R53" s="2401"/>
    </row>
    <row r="54" spans="1:18" s="2057" customFormat="1" ht="29.25" thickBot="1">
      <c r="A54" s="2094"/>
      <c r="I54" s="3150" t="s">
        <v>2974</v>
      </c>
      <c r="J54" s="3153">
        <f ca="1">IF(M48="住宅",MAX(J52,L49-'数据-取费表'!B20),MIN(J52,L49-'数据-取费表'!B20))</f>
        <v>-3</v>
      </c>
      <c r="K54" s="3442"/>
      <c r="L54" s="3443"/>
      <c r="O54" s="2399" t="s">
        <v>2389</v>
      </c>
      <c r="P54" s="2397" t="s">
        <v>2390</v>
      </c>
      <c r="Q54" s="2398">
        <f ca="1">J54</f>
        <v>-3</v>
      </c>
      <c r="R54" s="2397" t="s">
        <v>2391</v>
      </c>
    </row>
    <row r="55" spans="1:18" s="2057" customFormat="1" ht="18" customHeight="1" thickBot="1">
      <c r="A55" s="2094"/>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6" t="s">
        <v>2392</v>
      </c>
      <c r="P55" s="2397" t="s">
        <v>2409</v>
      </c>
      <c r="Q55" s="2398">
        <f ca="1">Q49+Q50</f>
        <v>0</v>
      </c>
      <c r="R55" s="2401" t="s">
        <v>2393</v>
      </c>
    </row>
    <row r="56" spans="1:18" s="2057" customFormat="1" ht="16.5" thickBot="1">
      <c r="A56" s="2094"/>
      <c r="B56" s="2095"/>
      <c r="C56" s="2095"/>
      <c r="I56" s="3162" t="s">
        <v>2356</v>
      </c>
      <c r="J56" s="3098" t="e">
        <f ca="1">ROUND(IF(J48="钢混",J58/J51,1-(1-2%)*(J51-J58)/J51),3)</f>
        <v>#VALUE!</v>
      </c>
      <c r="K56" s="3163" t="s">
        <v>2357</v>
      </c>
      <c r="L56" s="2384"/>
      <c r="O56" s="2402" t="s">
        <v>2412</v>
      </c>
      <c r="P56" s="1590"/>
      <c r="Q56" s="1602"/>
      <c r="R56" s="1590"/>
    </row>
    <row r="57" spans="1:18" s="2057" customFormat="1" ht="43.5" thickBot="1">
      <c r="A57" s="2094"/>
      <c r="B57" s="2095"/>
      <c r="C57" s="2095"/>
      <c r="I57" s="3164" t="s">
        <v>2358</v>
      </c>
      <c r="J57" s="3174" t="s">
        <v>1679</v>
      </c>
      <c r="K57" s="3123" t="s">
        <v>2363</v>
      </c>
      <c r="L57" s="1906">
        <f ca="1">IF(L49&lt;J52,"——",L49-J52)</f>
        <v>0</v>
      </c>
      <c r="O57" s="2393" t="s">
        <v>2376</v>
      </c>
      <c r="P57" s="2394" t="s">
        <v>2377</v>
      </c>
      <c r="Q57" s="2395" t="s">
        <v>2378</v>
      </c>
      <c r="R57" s="2394" t="s">
        <v>2379</v>
      </c>
    </row>
    <row r="58" spans="1:18" s="2057" customFormat="1" ht="29.25" thickBot="1">
      <c r="A58" s="2094"/>
      <c r="B58" s="2095"/>
      <c r="C58" s="2095"/>
      <c r="I58" s="3165" t="s">
        <v>2359</v>
      </c>
      <c r="J58" s="3166" t="str">
        <f ca="1">IF(OR(M48="住宅",J52&lt;L49,J57="是"),"——",J52-L49)</f>
        <v>——</v>
      </c>
      <c r="K58" s="3123" t="s">
        <v>2364</v>
      </c>
      <c r="L58" s="1906">
        <f ca="1">IF(L49&lt;J52,"——",IF(L56="比较法",L50,IF(L56="基准地价",L51,L52)))</f>
        <v>0</v>
      </c>
      <c r="O58" s="2396" t="s">
        <v>2380</v>
      </c>
      <c r="P58" s="2397" t="s">
        <v>2406</v>
      </c>
      <c r="Q58" s="2398">
        <f ca="1">C41+J31</f>
        <v>0</v>
      </c>
      <c r="R58" s="2397" t="s">
        <v>2381</v>
      </c>
    </row>
    <row r="59" spans="1:18" s="2057" customFormat="1" ht="29.25" thickBot="1">
      <c r="A59" s="2094"/>
      <c r="B59" s="2095"/>
      <c r="C59" s="2095"/>
      <c r="I59" s="3165" t="s">
        <v>2360</v>
      </c>
      <c r="J59" s="3099" t="e">
        <f ca="1">IF(J56&lt;0.4,0.4,J56)</f>
        <v>#VALUE!</v>
      </c>
      <c r="K59" s="3123" t="s">
        <v>2365</v>
      </c>
      <c r="L59" s="1906">
        <f ca="1">IF(ISERROR(POWER(1+L53,L48-L49)*(POWER(1+L53,L49)-1)/(POWER(1+L53,L48)-1)),0,POWER(1+L53,L48-L49)*(POWER(1+L53,L49)-1)/(POWER(1+L53,L48)-1))</f>
        <v>0</v>
      </c>
      <c r="O59" s="2396" t="s">
        <v>2382</v>
      </c>
      <c r="P59" s="2397" t="s">
        <v>2413</v>
      </c>
      <c r="Q59" s="2398" t="e">
        <f ca="1">L61</f>
        <v>#DIV/0!</v>
      </c>
      <c r="R59" s="2401" t="s">
        <v>2415</v>
      </c>
    </row>
    <row r="60" spans="1:18" s="2057" customFormat="1" ht="29.25" thickBot="1">
      <c r="A60" s="2094"/>
      <c r="B60" s="2095"/>
      <c r="C60" s="2095"/>
      <c r="I60" s="3165" t="s">
        <v>2361</v>
      </c>
      <c r="J60" s="3166" t="str">
        <f ca="1">IF(OR(M48="住宅",J52&lt;L49,J57="是"),"——",ROUND(C30*J59,0))</f>
        <v>——</v>
      </c>
      <c r="K60" s="3123" t="s">
        <v>2366</v>
      </c>
      <c r="L60" s="1906">
        <f ca="1">IF(ISERROR(POWER(1+L53,L48-J52)*(POWER(1+L53,J52)-1)/(POWER(1+L53,L48)-1)),0,POWER(1+L53,L48-J52)*(POWER(1+L53,J52)-1)/(POWER(1+L53,L48)-1))</f>
        <v>0</v>
      </c>
      <c r="O60" s="2399" t="s">
        <v>2384</v>
      </c>
      <c r="P60" s="2397" t="s">
        <v>2414</v>
      </c>
      <c r="Q60" s="2398">
        <f>IF(L56="比较法",L50,IF(L56="基准地价",L51,0))</f>
        <v>0</v>
      </c>
      <c r="R60" s="2397" t="s">
        <v>2381</v>
      </c>
    </row>
    <row r="61" spans="1:18" s="2057" customFormat="1" ht="15.75" thickBot="1">
      <c r="A61" s="2094"/>
      <c r="B61" s="2095"/>
      <c r="C61" s="2095"/>
      <c r="I61" s="3167" t="s">
        <v>2362</v>
      </c>
      <c r="J61" s="3168" t="str">
        <f ca="1">IF(OR(M48="住宅",J52&lt;L49,J57="是"),"0",ROUND(J60/(1+J53)^J54,0))</f>
        <v>0</v>
      </c>
      <c r="K61" s="3169" t="s">
        <v>2367</v>
      </c>
      <c r="L61" s="3168" t="e">
        <f ca="1">IF(OR(M48="住宅",L49&lt;J52),0,ROUND(L58*(L59/L60-1),0))</f>
        <v>#DIV/0!</v>
      </c>
      <c r="O61" s="2399" t="s">
        <v>2385</v>
      </c>
      <c r="P61" s="2397" t="s">
        <v>2394</v>
      </c>
      <c r="Q61" s="2400">
        <f>L53</f>
        <v>0</v>
      </c>
      <c r="R61" s="2401"/>
    </row>
    <row r="62" spans="1:18" s="2057" customFormat="1" ht="20.25" thickBot="1">
      <c r="A62" s="2094"/>
      <c r="B62" s="2095"/>
      <c r="C62" s="2095"/>
      <c r="K62" s="2084"/>
      <c r="O62" s="2399" t="s">
        <v>2387</v>
      </c>
      <c r="P62" s="2397" t="s">
        <v>2395</v>
      </c>
      <c r="Q62" s="2398">
        <f ca="1">L59</f>
        <v>0</v>
      </c>
      <c r="R62" s="2401" t="s">
        <v>2396</v>
      </c>
    </row>
    <row r="63" spans="1:18" s="2057" customFormat="1" ht="20.25" thickBot="1">
      <c r="A63" s="2094"/>
      <c r="B63" s="2095"/>
      <c r="C63" s="2095"/>
      <c r="I63" s="3170" t="s">
        <v>2368</v>
      </c>
      <c r="J63" s="3171" t="s">
        <v>2369</v>
      </c>
      <c r="K63" s="3171" t="s">
        <v>2370</v>
      </c>
      <c r="L63" s="3171" t="s">
        <v>2351</v>
      </c>
      <c r="M63" s="3172" t="s">
        <v>2937</v>
      </c>
      <c r="O63" s="2399" t="s">
        <v>2389</v>
      </c>
      <c r="P63" s="2397" t="s">
        <v>2397</v>
      </c>
      <c r="Q63" s="2398">
        <f ca="1">L60</f>
        <v>0</v>
      </c>
      <c r="R63" s="2401" t="s">
        <v>2398</v>
      </c>
    </row>
    <row r="64" spans="1:18" s="2057" customFormat="1" ht="15.75" thickBot="1">
      <c r="A64" s="2094"/>
      <c r="B64" s="2095"/>
      <c r="C64" s="2095"/>
      <c r="I64" s="3170" t="s">
        <v>2371</v>
      </c>
      <c r="J64" s="3171">
        <v>70</v>
      </c>
      <c r="K64" s="3171">
        <v>50</v>
      </c>
      <c r="L64" s="3171">
        <v>80</v>
      </c>
      <c r="M64" s="3173">
        <v>0.02</v>
      </c>
      <c r="O64" s="2396" t="s">
        <v>2392</v>
      </c>
      <c r="P64" s="2397" t="s">
        <v>2409</v>
      </c>
      <c r="Q64" s="2398" t="e">
        <f ca="1">Q58+Q59</f>
        <v>#DIV/0!</v>
      </c>
      <c r="R64" s="2401" t="s">
        <v>2393</v>
      </c>
    </row>
    <row r="65" spans="1:18" s="2057" customFormat="1" ht="16.5" thickBot="1">
      <c r="A65" s="2094"/>
      <c r="B65" s="2095"/>
      <c r="C65" s="2095"/>
      <c r="I65" s="3170" t="s">
        <v>2372</v>
      </c>
      <c r="J65" s="3171">
        <v>50</v>
      </c>
      <c r="K65" s="3171">
        <v>35</v>
      </c>
      <c r="L65" s="3171">
        <v>60</v>
      </c>
      <c r="M65" s="844">
        <v>0</v>
      </c>
      <c r="O65" s="2402" t="s">
        <v>2416</v>
      </c>
      <c r="P65" s="1590"/>
      <c r="Q65" s="1602"/>
      <c r="R65" s="1590"/>
    </row>
    <row r="66" spans="1:18" s="2057" customFormat="1" ht="15.75" thickBot="1">
      <c r="A66" s="2094"/>
      <c r="B66" s="2095"/>
      <c r="C66" s="2095"/>
      <c r="I66" s="3170" t="s">
        <v>2373</v>
      </c>
      <c r="J66" s="3171">
        <v>40</v>
      </c>
      <c r="K66" s="3171">
        <v>30</v>
      </c>
      <c r="L66" s="3171">
        <v>50</v>
      </c>
      <c r="M66" s="3173">
        <v>0.02</v>
      </c>
      <c r="O66" s="2393" t="s">
        <v>2376</v>
      </c>
      <c r="P66" s="2394" t="s">
        <v>2377</v>
      </c>
      <c r="Q66" s="2395" t="s">
        <v>2378</v>
      </c>
      <c r="R66" s="2394" t="s">
        <v>2379</v>
      </c>
    </row>
    <row r="67" spans="1:18" s="2057" customFormat="1" ht="15.75" thickBot="1">
      <c r="A67" s="2094"/>
      <c r="B67" s="2095"/>
      <c r="C67" s="2095"/>
      <c r="K67" s="2084"/>
      <c r="O67" s="2396" t="s">
        <v>2380</v>
      </c>
      <c r="P67" s="2397" t="s">
        <v>2406</v>
      </c>
      <c r="Q67" s="2398">
        <f ca="1">C41+J31</f>
        <v>0</v>
      </c>
      <c r="R67" s="2397" t="s">
        <v>2381</v>
      </c>
    </row>
    <row r="68" spans="1:18" s="2057" customFormat="1" ht="20.25" thickBot="1">
      <c r="A68" s="2094"/>
      <c r="B68" s="2095"/>
      <c r="C68" s="2095"/>
      <c r="K68" s="2084"/>
      <c r="O68" s="2396" t="s">
        <v>2382</v>
      </c>
      <c r="P68" s="2397" t="s">
        <v>2413</v>
      </c>
      <c r="Q68" s="2398" t="e">
        <f ca="1">L61</f>
        <v>#DIV/0!</v>
      </c>
      <c r="R68" s="2401" t="s">
        <v>2415</v>
      </c>
    </row>
    <row r="69" spans="1:18" s="2057" customFormat="1" ht="21.75" thickBot="1">
      <c r="A69" s="2094"/>
      <c r="B69" s="2095"/>
      <c r="C69" s="2095"/>
      <c r="K69" s="2084"/>
      <c r="O69" s="2399" t="s">
        <v>2384</v>
      </c>
      <c r="P69" s="2397" t="s">
        <v>2414</v>
      </c>
      <c r="Q69" s="2403">
        <f ca="1">L52</f>
        <v>0</v>
      </c>
      <c r="R69" s="2404" t="s">
        <v>2417</v>
      </c>
    </row>
    <row r="70" spans="1:18" s="2057" customFormat="1" ht="20.25" thickBot="1">
      <c r="A70" s="2094"/>
      <c r="B70" s="2095"/>
      <c r="C70" s="2095"/>
      <c r="K70" s="2084"/>
      <c r="O70" s="2399" t="s">
        <v>2385</v>
      </c>
      <c r="P70" s="2405" t="s">
        <v>2399</v>
      </c>
      <c r="Q70" s="2398">
        <f ca="1">ROUND(Q71-Q72*Q73,0)</f>
        <v>0</v>
      </c>
      <c r="R70" s="2401"/>
    </row>
    <row r="71" spans="1:18" s="2057" customFormat="1" ht="15.75" thickBot="1">
      <c r="A71" s="2094"/>
      <c r="B71" s="2095"/>
      <c r="C71" s="2095"/>
      <c r="K71" s="2084"/>
      <c r="O71" s="2399" t="s">
        <v>2400</v>
      </c>
      <c r="P71" s="2405" t="s">
        <v>2401</v>
      </c>
      <c r="Q71" s="2398">
        <f ca="1">C42</f>
        <v>0</v>
      </c>
      <c r="R71" s="2397" t="s">
        <v>2381</v>
      </c>
    </row>
    <row r="72" spans="1:18" s="2057" customFormat="1" ht="15.75" thickBot="1">
      <c r="A72" s="2094"/>
      <c r="B72" s="2095"/>
      <c r="C72" s="2095"/>
      <c r="K72" s="2084"/>
      <c r="O72" s="2399" t="s">
        <v>2402</v>
      </c>
      <c r="P72" s="2405" t="s">
        <v>2403</v>
      </c>
      <c r="Q72" s="2398">
        <f ca="1">C15</f>
        <v>0</v>
      </c>
      <c r="R72" s="2397" t="s">
        <v>2381</v>
      </c>
    </row>
    <row r="73" spans="1:18" s="2057" customFormat="1" ht="15.75" thickBot="1">
      <c r="A73" s="2094"/>
      <c r="B73" s="2095"/>
      <c r="C73" s="2095"/>
      <c r="K73" s="2084"/>
      <c r="O73" s="2399" t="s">
        <v>2404</v>
      </c>
      <c r="P73" s="2405" t="s">
        <v>2405</v>
      </c>
      <c r="Q73" s="2400">
        <f ca="1">F43</f>
        <v>0</v>
      </c>
      <c r="R73" s="2401"/>
    </row>
    <row r="74" spans="1:18" s="2057" customFormat="1" ht="15.75" thickBot="1">
      <c r="A74" s="2094"/>
      <c r="B74" s="2095"/>
      <c r="C74" s="2095"/>
      <c r="K74" s="2084"/>
      <c r="O74" s="2399" t="s">
        <v>2387</v>
      </c>
      <c r="P74" s="2397" t="s">
        <v>2394</v>
      </c>
      <c r="Q74" s="2400">
        <f>L53</f>
        <v>0</v>
      </c>
      <c r="R74" s="2401"/>
    </row>
    <row r="75" spans="1:18" s="2057" customFormat="1" ht="20.25" thickBot="1">
      <c r="A75" s="2094"/>
      <c r="B75" s="2095"/>
      <c r="C75" s="2095"/>
      <c r="K75" s="2084"/>
      <c r="O75" s="2399" t="s">
        <v>2389</v>
      </c>
      <c r="P75" s="2397" t="s">
        <v>2395</v>
      </c>
      <c r="Q75" s="2398">
        <f ca="1">L59</f>
        <v>0</v>
      </c>
      <c r="R75" s="2401" t="s">
        <v>2396</v>
      </c>
    </row>
    <row r="76" spans="1:18" s="2057" customFormat="1" ht="20.25" thickBot="1">
      <c r="A76" s="2094"/>
      <c r="B76" s="2095"/>
      <c r="C76" s="2095"/>
      <c r="K76" s="2084"/>
      <c r="O76" s="2399" t="s">
        <v>2418</v>
      </c>
      <c r="P76" s="2397" t="s">
        <v>2397</v>
      </c>
      <c r="Q76" s="2398">
        <f ca="1">L60</f>
        <v>0</v>
      </c>
      <c r="R76" s="2401" t="s">
        <v>2398</v>
      </c>
    </row>
    <row r="77" spans="1:18" s="2057" customFormat="1" ht="15.75" thickBot="1">
      <c r="A77" s="2094"/>
      <c r="B77" s="2095"/>
      <c r="C77" s="2095"/>
      <c r="K77" s="2084"/>
      <c r="O77" s="2396" t="s">
        <v>2392</v>
      </c>
      <c r="P77" s="2397" t="s">
        <v>2409</v>
      </c>
      <c r="Q77" s="2398" t="e">
        <f ca="1">Q67+Q68</f>
        <v>#DIV/0!</v>
      </c>
      <c r="R77" s="2401"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50" t="s">
        <v>2577</v>
      </c>
      <c r="C1" s="3450"/>
      <c r="D1" s="3450"/>
      <c r="E1" s="3450"/>
      <c r="F1" s="3450"/>
      <c r="G1" s="3449" t="s">
        <v>2578</v>
      </c>
      <c r="H1" s="3449"/>
      <c r="I1" s="3449"/>
      <c r="J1" s="3449"/>
      <c r="K1" s="3449"/>
      <c r="L1" s="3449"/>
      <c r="N1" s="3449" t="s">
        <v>2579</v>
      </c>
      <c r="O1" s="3449"/>
      <c r="P1" s="3449"/>
      <c r="Q1" s="3449"/>
      <c r="R1" s="2652"/>
      <c r="S1" s="3449" t="s">
        <v>2580</v>
      </c>
      <c r="T1" s="3449"/>
      <c r="U1" s="3449"/>
      <c r="V1" s="3449"/>
      <c r="X1" s="3448" t="s">
        <v>2640</v>
      </c>
      <c r="Y1" s="3449"/>
      <c r="Z1" s="3449"/>
      <c r="AA1" s="3449"/>
      <c r="AB1" s="3449"/>
      <c r="AD1" s="3448" t="s">
        <v>2644</v>
      </c>
      <c r="AE1" s="3449"/>
      <c r="AF1" s="3449"/>
      <c r="AG1" s="3449"/>
      <c r="AH1" s="3449"/>
    </row>
    <row r="2" spans="1:34" s="2754" customFormat="1" ht="14.25" thickBot="1">
      <c r="B2" s="2762" t="s">
        <v>2581</v>
      </c>
      <c r="C2" s="2762" t="s">
        <v>2642</v>
      </c>
      <c r="D2" s="2755" t="s">
        <v>1645</v>
      </c>
      <c r="E2" s="2755" t="s">
        <v>1952</v>
      </c>
      <c r="F2" s="2762" t="s">
        <v>2643</v>
      </c>
      <c r="G2" s="2758"/>
      <c r="H2" s="2757"/>
      <c r="I2" s="2762" t="s">
        <v>2951</v>
      </c>
      <c r="J2" s="2755" t="s">
        <v>2953</v>
      </c>
      <c r="K2" s="2755" t="s">
        <v>2954</v>
      </c>
      <c r="L2" s="2762" t="s">
        <v>2955</v>
      </c>
      <c r="N2" s="2762" t="s">
        <v>2581</v>
      </c>
      <c r="O2" s="2755" t="s">
        <v>2952</v>
      </c>
      <c r="P2" s="2755" t="s">
        <v>1952</v>
      </c>
      <c r="Q2" s="2762" t="s">
        <v>2643</v>
      </c>
      <c r="R2" s="2756"/>
      <c r="S2" s="2762" t="s">
        <v>2581</v>
      </c>
      <c r="T2" s="2755" t="s">
        <v>2952</v>
      </c>
      <c r="U2" s="2755" t="s">
        <v>1952</v>
      </c>
      <c r="V2" s="2762" t="s">
        <v>2643</v>
      </c>
      <c r="X2" s="2762" t="s">
        <v>2581</v>
      </c>
      <c r="Y2" s="2762" t="s">
        <v>2642</v>
      </c>
      <c r="Z2" s="2755" t="s">
        <v>1645</v>
      </c>
      <c r="AA2" s="2755" t="s">
        <v>1952</v>
      </c>
      <c r="AB2" s="2762" t="s">
        <v>2643</v>
      </c>
      <c r="AD2" s="2762" t="s">
        <v>2581</v>
      </c>
      <c r="AE2" s="2762" t="s">
        <v>2642</v>
      </c>
      <c r="AF2" s="2755" t="s">
        <v>1645</v>
      </c>
      <c r="AG2" s="2755" t="s">
        <v>1952</v>
      </c>
      <c r="AH2" s="2762" t="s">
        <v>2643</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7" customFormat="1" ht="14.25">
      <c r="B4" s="2748"/>
      <c r="C4" s="2748"/>
      <c r="D4" s="2749"/>
      <c r="E4" s="2749"/>
      <c r="F4" s="2748"/>
      <c r="G4" s="2753"/>
      <c r="H4" s="2750"/>
      <c r="I4" s="3124"/>
      <c r="J4" s="3124"/>
      <c r="K4" s="3124"/>
      <c r="L4" s="3124"/>
      <c r="N4" s="2753"/>
      <c r="O4" s="2751"/>
      <c r="P4" s="2751"/>
      <c r="Q4" s="2751"/>
      <c r="R4" s="2751"/>
      <c r="S4" s="2753"/>
      <c r="T4" s="2751"/>
      <c r="U4" s="2751"/>
      <c r="V4" s="2751"/>
      <c r="W4" s="3140"/>
      <c r="X4" s="2752"/>
      <c r="Y4" s="2752"/>
      <c r="Z4" s="2752"/>
      <c r="AA4" s="2752"/>
      <c r="AB4" s="2752"/>
      <c r="AD4" s="2672"/>
      <c r="AE4" s="2672"/>
      <c r="AF4" s="2672"/>
      <c r="AG4" s="2672"/>
      <c r="AH4" s="2672"/>
    </row>
    <row r="5" spans="1:34" s="3112" customFormat="1">
      <c r="A5" s="3110" t="s">
        <v>2975</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1">
        <v>3</v>
      </c>
      <c r="I5" s="3125">
        <v>1.49</v>
      </c>
      <c r="J5" s="3125">
        <v>0.96</v>
      </c>
      <c r="K5" s="3125">
        <v>1.58</v>
      </c>
      <c r="L5" s="3125">
        <v>2.44</v>
      </c>
      <c r="N5" s="2760">
        <f t="shared" ref="N5" si="6">I5/100</f>
        <v>1.49E-2</v>
      </c>
      <c r="O5" s="2760">
        <f t="shared" ref="O5" si="7">J5/100</f>
        <v>9.5999999999999992E-3</v>
      </c>
      <c r="P5" s="2760">
        <f t="shared" ref="P5" si="8">K5/100</f>
        <v>1.5800000000000002E-2</v>
      </c>
      <c r="Q5" s="2760">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59" customFormat="1" ht="13.5" thickBot="1">
      <c r="A6" s="2653" t="s">
        <v>2976</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0"/>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2971</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0"/>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2962</v>
      </c>
      <c r="B8" s="3145">
        <v>439</v>
      </c>
      <c r="C8" s="3145">
        <v>327</v>
      </c>
      <c r="D8" s="3145">
        <f t="shared" si="23"/>
        <v>327</v>
      </c>
      <c r="E8" s="3145">
        <v>627</v>
      </c>
      <c r="F8" s="3146">
        <v>283</v>
      </c>
      <c r="G8" s="3128">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2966</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0"/>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2582</v>
      </c>
      <c r="B10" s="2667">
        <f t="shared" si="35"/>
        <v>419.31181600000002</v>
      </c>
      <c r="C10" s="2667">
        <f t="shared" si="35"/>
        <v>313.95436800000004</v>
      </c>
      <c r="D10" s="2667">
        <f t="shared" si="23"/>
        <v>313.95436800000004</v>
      </c>
      <c r="E10" s="2667">
        <f t="shared" si="36"/>
        <v>596.63028431999999</v>
      </c>
      <c r="F10" s="2667">
        <f t="shared" si="36"/>
        <v>274.74220703999998</v>
      </c>
      <c r="G10" s="3129"/>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2583</v>
      </c>
      <c r="B11" s="2667">
        <f t="shared" si="35"/>
        <v>405.524</v>
      </c>
      <c r="C11" s="2667">
        <f t="shared" si="35"/>
        <v>307.79840000000002</v>
      </c>
      <c r="D11" s="2667">
        <f t="shared" si="23"/>
        <v>307.79840000000002</v>
      </c>
      <c r="E11" s="2667">
        <f t="shared" si="36"/>
        <v>574.67759999999998</v>
      </c>
      <c r="F11" s="2667">
        <f t="shared" si="36"/>
        <v>270.20280000000002</v>
      </c>
      <c r="G11" s="3130"/>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447">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45"/>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445"/>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446"/>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444">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45"/>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445"/>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446"/>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444">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45"/>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445"/>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446"/>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2641</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3" t="s">
        <v>2584</v>
      </c>
      <c r="B24" s="2659">
        <v>299</v>
      </c>
      <c r="C24" s="2659">
        <v>252</v>
      </c>
      <c r="D24" s="2659">
        <f t="shared" si="45"/>
        <v>252</v>
      </c>
      <c r="E24" s="2659">
        <v>409</v>
      </c>
      <c r="F24" s="2660">
        <v>227</v>
      </c>
      <c r="G24" s="3451">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2585</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52"/>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2586</v>
      </c>
      <c r="B26" s="2667">
        <f t="shared" si="54"/>
        <v>288.2649053828776</v>
      </c>
      <c r="C26" s="2667">
        <f t="shared" si="54"/>
        <v>243.64564425013293</v>
      </c>
      <c r="D26" s="2667">
        <f t="shared" si="45"/>
        <v>243.64564425013293</v>
      </c>
      <c r="E26" s="2667">
        <f t="shared" si="55"/>
        <v>393.31080825986544</v>
      </c>
      <c r="F26" s="2667">
        <f t="shared" si="55"/>
        <v>223.07903790551154</v>
      </c>
      <c r="G26" s="3452"/>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2587</v>
      </c>
      <c r="B27" s="2667">
        <f t="shared" si="54"/>
        <v>282.50186729015837</v>
      </c>
      <c r="C27" s="2667">
        <f t="shared" si="54"/>
        <v>238.09796174155468</v>
      </c>
      <c r="D27" s="2667">
        <f t="shared" si="45"/>
        <v>238.09796174155468</v>
      </c>
      <c r="E27" s="2667">
        <f t="shared" si="55"/>
        <v>385.33438646014054</v>
      </c>
      <c r="F27" s="2667">
        <f t="shared" si="55"/>
        <v>221.55034055567739</v>
      </c>
      <c r="G27" s="3453"/>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2588</v>
      </c>
      <c r="B28" s="2697">
        <v>278</v>
      </c>
      <c r="C28" s="2697">
        <v>234</v>
      </c>
      <c r="D28" s="2697">
        <f t="shared" si="45"/>
        <v>234</v>
      </c>
      <c r="E28" s="2697">
        <v>379</v>
      </c>
      <c r="F28" s="2698">
        <v>220</v>
      </c>
      <c r="G28" s="3444">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2589</v>
      </c>
      <c r="B29" s="2667">
        <f>B28/(1+N28)</f>
        <v>275.49301357645425</v>
      </c>
      <c r="C29" s="2667">
        <f>C28/(1+O28)</f>
        <v>232.41954707985698</v>
      </c>
      <c r="D29" s="2667">
        <f t="shared" si="45"/>
        <v>232.41954707985698</v>
      </c>
      <c r="E29" s="2667">
        <f t="shared" ref="E29:F31" si="56">E28/(1+P28)</f>
        <v>375.32184591008121</v>
      </c>
      <c r="F29" s="2667">
        <f t="shared" si="56"/>
        <v>218.03766105054513</v>
      </c>
      <c r="G29" s="3445"/>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2590</v>
      </c>
      <c r="B30" s="2667">
        <f>B29/(1+N29)</f>
        <v>275.24529281292263</v>
      </c>
      <c r="C30" s="2667">
        <f>C29/(1+O29)</f>
        <v>231.74747938962707</v>
      </c>
      <c r="D30" s="2667">
        <f t="shared" si="45"/>
        <v>231.74747938962707</v>
      </c>
      <c r="E30" s="2667">
        <f t="shared" si="56"/>
        <v>375.35938184826603</v>
      </c>
      <c r="F30" s="2667">
        <f t="shared" si="56"/>
        <v>216.78033510692495</v>
      </c>
      <c r="G30" s="3445"/>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2591</v>
      </c>
      <c r="B31" s="2667">
        <f>B30/(1+N30)</f>
        <v>275.19025476197027</v>
      </c>
      <c r="C31" s="2699">
        <v>232</v>
      </c>
      <c r="D31" s="2699">
        <f t="shared" si="45"/>
        <v>232</v>
      </c>
      <c r="E31" s="2667">
        <f t="shared" si="56"/>
        <v>375.65990977608692</v>
      </c>
      <c r="F31" s="2667">
        <f t="shared" si="56"/>
        <v>214.12518283971252</v>
      </c>
      <c r="G31" s="3446"/>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2592</v>
      </c>
      <c r="B32" s="2659">
        <v>275</v>
      </c>
      <c r="C32" s="2659">
        <v>232</v>
      </c>
      <c r="D32" s="2659">
        <f t="shared" si="45"/>
        <v>232</v>
      </c>
      <c r="E32" s="2659">
        <v>376</v>
      </c>
      <c r="F32" s="2660">
        <v>213</v>
      </c>
      <c r="G32" s="3444">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2593</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45">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2594</v>
      </c>
      <c r="B34" s="2667">
        <f t="shared" si="57"/>
        <v>275.19335084830601</v>
      </c>
      <c r="C34" s="2667">
        <f t="shared" si="57"/>
        <v>230.18088050139744</v>
      </c>
      <c r="D34" s="2667">
        <f t="shared" si="45"/>
        <v>230.18088050139744</v>
      </c>
      <c r="E34" s="2667">
        <f t="shared" si="58"/>
        <v>377.58482925212331</v>
      </c>
      <c r="F34" s="2667">
        <f t="shared" si="58"/>
        <v>210.90687997847917</v>
      </c>
      <c r="G34" s="3445">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2595</v>
      </c>
      <c r="B35" s="2667">
        <f t="shared" si="57"/>
        <v>276.29854502841971</v>
      </c>
      <c r="C35" s="2667">
        <f t="shared" si="57"/>
        <v>229.79023709833027</v>
      </c>
      <c r="D35" s="2667">
        <f t="shared" si="45"/>
        <v>229.79023709833027</v>
      </c>
      <c r="E35" s="2667">
        <f t="shared" si="58"/>
        <v>379.78759731655936</v>
      </c>
      <c r="F35" s="2667">
        <f t="shared" si="58"/>
        <v>211.32953905659235</v>
      </c>
      <c r="G35" s="3446">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2596</v>
      </c>
      <c r="B36" s="2659">
        <v>269</v>
      </c>
      <c r="C36" s="2659">
        <v>221</v>
      </c>
      <c r="D36" s="2659">
        <f t="shared" si="45"/>
        <v>221</v>
      </c>
      <c r="E36" s="2659">
        <v>373</v>
      </c>
      <c r="F36" s="2660">
        <v>196</v>
      </c>
      <c r="G36" s="3444">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2597</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45">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2598</v>
      </c>
      <c r="B38" s="2667">
        <f t="shared" si="59"/>
        <v>242.95398227588385</v>
      </c>
      <c r="C38" s="2667">
        <f t="shared" si="59"/>
        <v>199.59137053614126</v>
      </c>
      <c r="D38" s="2667">
        <f t="shared" si="45"/>
        <v>199.59137053614126</v>
      </c>
      <c r="E38" s="2667">
        <f t="shared" si="60"/>
        <v>335.92189522342125</v>
      </c>
      <c r="F38" s="2667">
        <f t="shared" si="60"/>
        <v>183.10139991109489</v>
      </c>
      <c r="G38" s="3445">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2599</v>
      </c>
      <c r="B39" s="2667">
        <f t="shared" si="59"/>
        <v>232.06990378821649</v>
      </c>
      <c r="C39" s="2667">
        <f t="shared" si="59"/>
        <v>192.74878854286936</v>
      </c>
      <c r="D39" s="2667">
        <f t="shared" si="45"/>
        <v>192.74878854286936</v>
      </c>
      <c r="E39" s="2667">
        <f t="shared" si="60"/>
        <v>319.71247284992984</v>
      </c>
      <c r="F39" s="2667">
        <f t="shared" si="60"/>
        <v>175.67053622862409</v>
      </c>
      <c r="G39" s="3446">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2600</v>
      </c>
      <c r="B40" s="2659">
        <v>220</v>
      </c>
      <c r="C40" s="2659">
        <v>187</v>
      </c>
      <c r="D40" s="2659">
        <f t="shared" si="45"/>
        <v>187</v>
      </c>
      <c r="E40" s="2659">
        <v>301</v>
      </c>
      <c r="F40" s="2660">
        <v>168</v>
      </c>
      <c r="G40" s="3444">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2601</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45">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2602</v>
      </c>
      <c r="B42" s="2667">
        <f t="shared" si="61"/>
        <v>210.630522469011</v>
      </c>
      <c r="C42" s="2667">
        <f t="shared" si="61"/>
        <v>181.69567812247232</v>
      </c>
      <c r="D42" s="2667">
        <f t="shared" si="45"/>
        <v>181.69567812247232</v>
      </c>
      <c r="E42" s="2667">
        <f t="shared" si="62"/>
        <v>286.13517466736738</v>
      </c>
      <c r="F42" s="2667">
        <f t="shared" si="62"/>
        <v>165.47535084591149</v>
      </c>
      <c r="G42" s="3445">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2603</v>
      </c>
      <c r="B43" s="2667">
        <f t="shared" si="61"/>
        <v>208.83454537875372</v>
      </c>
      <c r="C43" s="2667">
        <f t="shared" si="61"/>
        <v>183.77230517090351</v>
      </c>
      <c r="D43" s="2667">
        <f t="shared" si="45"/>
        <v>183.77230517090351</v>
      </c>
      <c r="E43" s="2667">
        <f t="shared" si="62"/>
        <v>281.10342338870947</v>
      </c>
      <c r="F43" s="2667">
        <f t="shared" si="62"/>
        <v>168.97309388942256</v>
      </c>
      <c r="G43" s="3446">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2604</v>
      </c>
      <c r="B44" s="2697">
        <v>214</v>
      </c>
      <c r="C44" s="2697">
        <v>188</v>
      </c>
      <c r="D44" s="2697">
        <f t="shared" si="45"/>
        <v>188</v>
      </c>
      <c r="E44" s="2697">
        <v>289</v>
      </c>
      <c r="F44" s="2698">
        <v>166</v>
      </c>
      <c r="G44" s="3444">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2605</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45">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2606</v>
      </c>
      <c r="B46" s="2667">
        <f t="shared" si="63"/>
        <v>206.31694671589116</v>
      </c>
      <c r="C46" s="2667">
        <f t="shared" si="63"/>
        <v>183.61041121036101</v>
      </c>
      <c r="D46" s="2667">
        <f t="shared" si="45"/>
        <v>183.61041121036101</v>
      </c>
      <c r="E46" s="2667">
        <f t="shared" si="64"/>
        <v>276.66850301795557</v>
      </c>
      <c r="F46" s="2667">
        <f t="shared" si="64"/>
        <v>165.1360938278614</v>
      </c>
      <c r="G46" s="3445">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2607</v>
      </c>
      <c r="B47" s="2700">
        <f t="shared" si="63"/>
        <v>196.62341248059772</v>
      </c>
      <c r="C47" s="2700">
        <f t="shared" si="63"/>
        <v>170.99125648199012</v>
      </c>
      <c r="D47" s="2700">
        <f t="shared" si="45"/>
        <v>170.99125648199012</v>
      </c>
      <c r="E47" s="2700">
        <f t="shared" si="64"/>
        <v>266.07857570490052</v>
      </c>
      <c r="F47" s="2700">
        <f t="shared" si="64"/>
        <v>154.53499328828505</v>
      </c>
      <c r="G47" s="3446">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2608</v>
      </c>
      <c r="B48" s="2659">
        <v>188</v>
      </c>
      <c r="C48" s="2659">
        <v>165</v>
      </c>
      <c r="D48" s="2659">
        <f t="shared" si="45"/>
        <v>165</v>
      </c>
      <c r="E48" s="2659">
        <v>254</v>
      </c>
      <c r="F48" s="2660">
        <v>148</v>
      </c>
      <c r="G48" s="3444">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2609</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45">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2610</v>
      </c>
      <c r="B50" s="2667">
        <f t="shared" si="67"/>
        <v>168.82017748715555</v>
      </c>
      <c r="C50" s="2667">
        <f t="shared" si="67"/>
        <v>148.06267029972753</v>
      </c>
      <c r="D50" s="2667">
        <f t="shared" si="45"/>
        <v>148.06267029972753</v>
      </c>
      <c r="E50" s="2667">
        <f t="shared" si="68"/>
        <v>216.46288379323747</v>
      </c>
      <c r="F50" s="2667">
        <f t="shared" si="68"/>
        <v>134.23529411764704</v>
      </c>
      <c r="G50" s="3445">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2611</v>
      </c>
      <c r="B51" s="2667">
        <f t="shared" si="67"/>
        <v>163.84913591779542</v>
      </c>
      <c r="C51" s="2667">
        <f t="shared" si="67"/>
        <v>145.0283378746594</v>
      </c>
      <c r="D51" s="2667">
        <f t="shared" si="45"/>
        <v>145.0283378746594</v>
      </c>
      <c r="E51" s="2667">
        <f t="shared" si="68"/>
        <v>204.95180722891567</v>
      </c>
      <c r="F51" s="2667">
        <f t="shared" si="68"/>
        <v>125.95920303605313</v>
      </c>
      <c r="G51" s="3446">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2612</v>
      </c>
      <c r="B52" s="2681">
        <v>159</v>
      </c>
      <c r="C52" s="2681">
        <v>141</v>
      </c>
      <c r="D52" s="2681">
        <f t="shared" si="45"/>
        <v>141</v>
      </c>
      <c r="E52" s="2681">
        <v>195</v>
      </c>
      <c r="F52" s="2682">
        <v>122</v>
      </c>
      <c r="G52" s="3444">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2613</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45">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2614</v>
      </c>
      <c r="B54" s="2667">
        <f t="shared" si="71"/>
        <v>146.57412060301507</v>
      </c>
      <c r="C54" s="2667">
        <f t="shared" si="71"/>
        <v>136.46831955922866</v>
      </c>
      <c r="D54" s="2667">
        <f t="shared" si="45"/>
        <v>136.46831955922866</v>
      </c>
      <c r="E54" s="2667">
        <f t="shared" si="72"/>
        <v>166.73864894795128</v>
      </c>
      <c r="F54" s="2667">
        <f t="shared" si="72"/>
        <v>115.05882352941177</v>
      </c>
      <c r="G54" s="3445">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2615</v>
      </c>
      <c r="B55" s="2667">
        <f t="shared" si="71"/>
        <v>144.04145728643215</v>
      </c>
      <c r="C55" s="2667">
        <f t="shared" si="71"/>
        <v>136.12396694214877</v>
      </c>
      <c r="D55" s="2667">
        <f t="shared" si="45"/>
        <v>136.12396694214877</v>
      </c>
      <c r="E55" s="2667">
        <f t="shared" si="72"/>
        <v>158.32225913621264</v>
      </c>
      <c r="F55" s="2667">
        <f t="shared" si="72"/>
        <v>114.04278074866311</v>
      </c>
      <c r="G55" s="3446">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2616</v>
      </c>
      <c r="B56" s="2681">
        <v>138</v>
      </c>
      <c r="C56" s="2681">
        <v>131</v>
      </c>
      <c r="D56" s="2681">
        <f t="shared" si="45"/>
        <v>131</v>
      </c>
      <c r="E56" s="2681">
        <v>155</v>
      </c>
      <c r="F56" s="2682">
        <v>114</v>
      </c>
      <c r="G56" s="3444">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2617</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45">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2618</v>
      </c>
      <c r="B58" s="2667">
        <f t="shared" si="75"/>
        <v>124.29032258064517</v>
      </c>
      <c r="C58" s="2667">
        <f t="shared" si="75"/>
        <v>123.8968609865471</v>
      </c>
      <c r="D58" s="2667">
        <f t="shared" si="45"/>
        <v>123.8968609865471</v>
      </c>
      <c r="E58" s="2667">
        <f t="shared" si="76"/>
        <v>138.00507614213197</v>
      </c>
      <c r="F58" s="2667">
        <f t="shared" si="76"/>
        <v>107.96106557377048</v>
      </c>
      <c r="G58" s="3445">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2619</v>
      </c>
      <c r="B59" s="2667">
        <f t="shared" si="75"/>
        <v>122.57204301075269</v>
      </c>
      <c r="C59" s="2667">
        <f t="shared" si="75"/>
        <v>123.4932735426009</v>
      </c>
      <c r="D59" s="2667">
        <f t="shared" si="45"/>
        <v>123.4932735426009</v>
      </c>
      <c r="E59" s="2667">
        <f t="shared" si="76"/>
        <v>129.82233502538071</v>
      </c>
      <c r="F59" s="2667">
        <f t="shared" si="76"/>
        <v>107.39446721311475</v>
      </c>
      <c r="G59" s="3446">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2620</v>
      </c>
      <c r="B60" s="2697">
        <v>121</v>
      </c>
      <c r="C60" s="2697">
        <v>122</v>
      </c>
      <c r="D60" s="2697">
        <f t="shared" si="45"/>
        <v>122</v>
      </c>
      <c r="E60" s="2697">
        <v>124</v>
      </c>
      <c r="F60" s="2698">
        <v>107</v>
      </c>
      <c r="G60" s="3444">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2621</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45">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2622</v>
      </c>
      <c r="B62" s="2667">
        <f t="shared" si="79"/>
        <v>116.99099099099099</v>
      </c>
      <c r="C62" s="2667">
        <f t="shared" si="79"/>
        <v>118.84848484848486</v>
      </c>
      <c r="D62" s="2667">
        <f t="shared" si="45"/>
        <v>118.84848484848486</v>
      </c>
      <c r="E62" s="2667">
        <f t="shared" si="80"/>
        <v>117.60960960960961</v>
      </c>
      <c r="F62" s="2667">
        <f t="shared" si="80"/>
        <v>104</v>
      </c>
      <c r="G62" s="3445">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2623</v>
      </c>
      <c r="B63" s="2700">
        <f t="shared" si="79"/>
        <v>112.48648648648648</v>
      </c>
      <c r="C63" s="2700">
        <f t="shared" si="79"/>
        <v>115.21212121212122</v>
      </c>
      <c r="D63" s="2700">
        <f t="shared" si="45"/>
        <v>115.21212121212122</v>
      </c>
      <c r="E63" s="2700">
        <f t="shared" si="80"/>
        <v>110.4024024024024</v>
      </c>
      <c r="F63" s="2700">
        <f t="shared" si="80"/>
        <v>104</v>
      </c>
      <c r="G63" s="3446">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2624</v>
      </c>
      <c r="B64" s="2718">
        <v>111</v>
      </c>
      <c r="C64" s="2718">
        <v>114</v>
      </c>
      <c r="D64" s="2718">
        <f t="shared" si="45"/>
        <v>114</v>
      </c>
      <c r="E64" s="2718">
        <v>108</v>
      </c>
      <c r="F64" s="2719">
        <v>104</v>
      </c>
      <c r="G64" s="3444">
        <v>2003</v>
      </c>
      <c r="H64" s="2708">
        <v>4</v>
      </c>
      <c r="I64" s="2720"/>
      <c r="J64" s="2720"/>
      <c r="K64" s="2720"/>
      <c r="L64" s="2720"/>
      <c r="N64" s="2721"/>
      <c r="O64" s="2720"/>
      <c r="P64" s="2720"/>
      <c r="Q64" s="2720"/>
      <c r="S64" s="2721"/>
      <c r="T64" s="2720"/>
      <c r="U64" s="2720"/>
      <c r="V64" s="2720"/>
      <c r="X64" s="2712"/>
      <c r="Y64" s="2712"/>
      <c r="Z64" s="2712"/>
    </row>
    <row r="65" spans="1:26">
      <c r="A65" s="2653" t="s">
        <v>2625</v>
      </c>
      <c r="B65" s="2722">
        <f t="shared" ref="B65:C67" si="81">B66+(B$64-B$68)/4</f>
        <v>109.75</v>
      </c>
      <c r="C65" s="2722">
        <f t="shared" si="81"/>
        <v>112.25</v>
      </c>
      <c r="D65" s="2722">
        <f t="shared" si="45"/>
        <v>112.25</v>
      </c>
      <c r="E65" s="2722">
        <f t="shared" ref="E65:F67" si="82">E66+(E$64-E$68)/4</f>
        <v>107.25</v>
      </c>
      <c r="F65" s="2722">
        <f t="shared" si="82"/>
        <v>103.5</v>
      </c>
      <c r="G65" s="3445">
        <v>2003</v>
      </c>
      <c r="H65" s="2678">
        <v>3</v>
      </c>
      <c r="I65" s="2720"/>
      <c r="J65" s="2720"/>
      <c r="K65" s="2720"/>
      <c r="L65" s="2720"/>
      <c r="X65" s="2712"/>
      <c r="Y65" s="2712"/>
      <c r="Z65" s="2712"/>
    </row>
    <row r="66" spans="1:26">
      <c r="A66" s="2653" t="s">
        <v>2626</v>
      </c>
      <c r="B66" s="2722">
        <f t="shared" si="81"/>
        <v>108.5</v>
      </c>
      <c r="C66" s="2722">
        <f t="shared" si="81"/>
        <v>110.5</v>
      </c>
      <c r="D66" s="2722">
        <f t="shared" si="45"/>
        <v>110.5</v>
      </c>
      <c r="E66" s="2722">
        <f t="shared" si="82"/>
        <v>106.5</v>
      </c>
      <c r="F66" s="2722">
        <f t="shared" si="82"/>
        <v>103</v>
      </c>
      <c r="G66" s="3445">
        <v>2003</v>
      </c>
      <c r="H66" s="2658">
        <v>2</v>
      </c>
      <c r="I66" s="2720"/>
      <c r="J66" s="2720"/>
      <c r="K66" s="2720"/>
      <c r="L66" s="2720"/>
      <c r="X66" s="2712"/>
      <c r="Y66" s="2712"/>
      <c r="Z66" s="2712"/>
    </row>
    <row r="67" spans="1:26" ht="13.5" thickBot="1">
      <c r="A67" s="2653" t="s">
        <v>2627</v>
      </c>
      <c r="B67" s="2722">
        <f t="shared" si="81"/>
        <v>107.25</v>
      </c>
      <c r="C67" s="2722">
        <f t="shared" si="81"/>
        <v>108.75</v>
      </c>
      <c r="D67" s="2722">
        <f t="shared" si="45"/>
        <v>108.75</v>
      </c>
      <c r="E67" s="2722">
        <f t="shared" si="82"/>
        <v>105.75</v>
      </c>
      <c r="F67" s="2722">
        <f t="shared" si="82"/>
        <v>102.5</v>
      </c>
      <c r="G67" s="3446">
        <v>2003</v>
      </c>
      <c r="H67" s="2723">
        <v>1</v>
      </c>
      <c r="I67" s="2720"/>
      <c r="J67" s="2720"/>
      <c r="K67" s="2720"/>
      <c r="L67" s="2720"/>
      <c r="S67" s="2662"/>
      <c r="T67" s="2663"/>
      <c r="U67" s="2663"/>
      <c r="X67" s="2712"/>
      <c r="Y67" s="2712"/>
      <c r="Z67" s="2712"/>
    </row>
    <row r="68" spans="1:26" ht="13.5" thickBot="1">
      <c r="A68" s="2653" t="s">
        <v>2628</v>
      </c>
      <c r="B68" s="2724">
        <v>106</v>
      </c>
      <c r="C68" s="2724">
        <v>107</v>
      </c>
      <c r="D68" s="2724">
        <f t="shared" si="45"/>
        <v>107</v>
      </c>
      <c r="E68" s="2724">
        <v>105</v>
      </c>
      <c r="F68" s="2725">
        <v>102</v>
      </c>
      <c r="G68" s="3444">
        <v>2002</v>
      </c>
      <c r="H68" s="2673">
        <v>4</v>
      </c>
      <c r="I68" s="2720"/>
      <c r="J68" s="2720"/>
      <c r="K68" s="2720"/>
      <c r="L68" s="2720"/>
      <c r="N68" s="2721"/>
      <c r="O68" s="2720"/>
      <c r="P68" s="2720"/>
      <c r="Q68" s="2720"/>
      <c r="S68" s="2721"/>
      <c r="T68" s="2720"/>
      <c r="U68" s="2720"/>
      <c r="V68" s="2720"/>
      <c r="X68" s="2712"/>
      <c r="Y68" s="2712"/>
      <c r="Z68" s="2712"/>
    </row>
    <row r="69" spans="1:26">
      <c r="A69" s="2653" t="s">
        <v>2629</v>
      </c>
      <c r="B69" s="2722">
        <f t="shared" ref="B69:C71" si="83">B70+(B$68-B$72)/4</f>
        <v>105</v>
      </c>
      <c r="C69" s="2722">
        <f t="shared" si="83"/>
        <v>106</v>
      </c>
      <c r="D69" s="2722">
        <f t="shared" si="45"/>
        <v>106</v>
      </c>
      <c r="E69" s="2722">
        <f t="shared" ref="E69:F71" si="84">E70+(E$68-E$72)/4</f>
        <v>104.5</v>
      </c>
      <c r="F69" s="2722">
        <f t="shared" si="84"/>
        <v>101.5</v>
      </c>
      <c r="G69" s="3445">
        <v>2002</v>
      </c>
      <c r="H69" s="2678">
        <v>3</v>
      </c>
      <c r="I69" s="2720"/>
      <c r="J69" s="2720"/>
      <c r="K69" s="2720"/>
      <c r="L69" s="2720"/>
      <c r="X69" s="2712"/>
      <c r="Y69" s="2712"/>
      <c r="Z69" s="2712"/>
    </row>
    <row r="70" spans="1:26">
      <c r="A70" s="2653" t="s">
        <v>2630</v>
      </c>
      <c r="B70" s="2722">
        <f t="shared" si="83"/>
        <v>104</v>
      </c>
      <c r="C70" s="2722">
        <f t="shared" si="83"/>
        <v>105</v>
      </c>
      <c r="D70" s="2722">
        <f t="shared" si="45"/>
        <v>105</v>
      </c>
      <c r="E70" s="2722">
        <f t="shared" si="84"/>
        <v>104</v>
      </c>
      <c r="F70" s="2722">
        <f t="shared" si="84"/>
        <v>101</v>
      </c>
      <c r="G70" s="3445">
        <v>2002</v>
      </c>
      <c r="H70" s="2658">
        <v>2</v>
      </c>
      <c r="I70" s="2720"/>
      <c r="J70" s="2720"/>
      <c r="K70" s="2720"/>
      <c r="L70" s="2720"/>
      <c r="X70" s="2712"/>
      <c r="Y70" s="2712"/>
      <c r="Z70" s="2712"/>
    </row>
    <row r="71" spans="1:26" s="2689" customFormat="1" ht="13.5" thickBot="1">
      <c r="A71" s="2685" t="s">
        <v>2631</v>
      </c>
      <c r="B71" s="2726">
        <f t="shared" si="83"/>
        <v>103</v>
      </c>
      <c r="C71" s="2726">
        <f t="shared" si="83"/>
        <v>104</v>
      </c>
      <c r="D71" s="2726">
        <f t="shared" si="45"/>
        <v>104</v>
      </c>
      <c r="E71" s="2726">
        <f t="shared" si="84"/>
        <v>103.5</v>
      </c>
      <c r="F71" s="2726">
        <f t="shared" si="84"/>
        <v>100.5</v>
      </c>
      <c r="G71" s="3446">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2632</v>
      </c>
      <c r="G74" s="2736"/>
      <c r="N74" s="2736"/>
      <c r="S74" s="2736"/>
    </row>
    <row r="75" spans="1:26" s="2735" customFormat="1">
      <c r="A75" s="2735" t="s">
        <v>2633</v>
      </c>
      <c r="G75" s="2736"/>
      <c r="N75" s="2736"/>
      <c r="S75" s="2736"/>
    </row>
    <row r="76" spans="1:26" s="2735" customFormat="1">
      <c r="A76" s="2735" t="s">
        <v>2634</v>
      </c>
      <c r="G76" s="2736"/>
      <c r="I76" s="2737"/>
      <c r="J76" s="2737"/>
      <c r="K76" s="2737"/>
      <c r="L76" s="2737"/>
      <c r="N76" s="2738"/>
      <c r="O76" s="2737"/>
      <c r="P76" s="2737"/>
      <c r="Q76" s="2737"/>
      <c r="S76" s="2738"/>
      <c r="T76" s="2737"/>
      <c r="U76" s="2737"/>
      <c r="V76" s="2737"/>
    </row>
    <row r="77" spans="1:26" s="2735" customFormat="1">
      <c r="A77" s="2735" t="s">
        <v>2635</v>
      </c>
      <c r="G77" s="2736"/>
      <c r="N77" s="2736"/>
      <c r="S77" s="2736"/>
    </row>
    <row r="84" spans="7:22" ht="13.5" thickBot="1"/>
    <row r="85" spans="7:22">
      <c r="G85" s="2661"/>
      <c r="S85" s="2739" t="s">
        <v>2636</v>
      </c>
      <c r="T85" s="2740" t="s">
        <v>2637</v>
      </c>
      <c r="U85" s="2740" t="s">
        <v>2638</v>
      </c>
      <c r="V85" s="2740" t="s">
        <v>2639</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北京房地钧洋房地产开发有限公司：</v>
      </c>
    </row>
    <row r="4" spans="1:4" ht="37.5">
      <c r="A4" s="1789" t="str">
        <f>"受贵公司委托，我公司对"&amp;项目基本情况!K2&amp;项目基本情况!B9&amp;"进行了预评估。"</f>
        <v>受贵公司委托，我公司对北京市通州区西集镇西集村TZ07-0103-0029地块二类居住用地出让国有建设用地使用权抵押价格进行了预评估。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房地钧洋房地产开发有限公司使用的、位于北京市通州区西集镇西集村TZ07-0103-0029地块二类居住用地出让国有建设用地使用权。根据《国有土地使用证》[]，估价对象（分摊）出让国有建设用地使用权面积为81664.26平方米。根据《建设工程规划许可证》[]、《出让合同》[]，估价对象规划建筑面积为165129.68平方米。</v>
      </c>
    </row>
    <row r="7" spans="1:4" ht="56.25">
      <c r="A7" s="1793" t="s">
        <v>2748</v>
      </c>
    </row>
    <row r="8" spans="1:4" ht="18.75">
      <c r="A8" s="1792" t="s">
        <v>1907</v>
      </c>
    </row>
    <row r="9" spans="1:4" ht="56.25">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2018年8月15日（评估专业人员勘察现场之日）</v>
      </c>
    </row>
    <row r="12" spans="1:4" ht="18.75">
      <c r="A12" s="1795" t="s">
        <v>2026</v>
      </c>
    </row>
    <row r="13" spans="1:4" ht="18.75">
      <c r="A13" s="1789" t="s">
        <v>2936</v>
      </c>
    </row>
    <row r="14" spans="1:4" ht="37.5">
      <c r="A14" s="1789" t="str">
        <f>"根据"&amp;项目基本情况!F12&amp;"，本次评估估价对象证载（地类）用途为"&amp;项目基本情况!B12&amp;"。"</f>
        <v>根据《国有土地使用证》[]，本次评估估价对象证载（地类）用途为住宅、商业。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根据《国有土地使用证》[]，估价对象（分摊）出让国有建设用地使用权面积为81664.26平方米。根据《建设工程规划许可证》[]、《出让合同》[]，估价对象规划建筑面积为165129.68平方米。</v>
      </c>
    </row>
    <row r="21" spans="1:1" ht="18.75">
      <c r="A21" s="1789" t="s">
        <v>2075</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7日、商业2057年11月7日地下车库2067年11月7日、地下仓储2067年11月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8月15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9" sqref="D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2988</v>
      </c>
      <c r="D1" s="3122" t="s">
        <v>3005</v>
      </c>
      <c r="E1" s="2385" t="s">
        <v>2375</v>
      </c>
      <c r="F1" s="2386">
        <f ca="1">J53</f>
        <v>36.25</v>
      </c>
      <c r="G1" s="772">
        <f>MATCH(C1,'数据-取费表'!A6:A16,0)+5</f>
        <v>7</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14713</v>
      </c>
      <c r="C2" s="2055"/>
      <c r="D2" s="2053"/>
      <c r="E2" s="2054"/>
      <c r="F2" s="2054"/>
      <c r="G2" s="1588"/>
      <c r="H2" s="2055"/>
      <c r="I2" s="2055"/>
      <c r="J2" s="2055"/>
      <c r="K2" s="2056"/>
      <c r="L2" s="2055"/>
      <c r="M2" s="2055"/>
    </row>
    <row r="3" spans="1:33" ht="18" customHeight="1" thickBot="1">
      <c r="A3" s="831" t="s">
        <v>1728</v>
      </c>
      <c r="B3" s="832">
        <f ca="1">IF(ISERROR(B2*10000/F43),0,ROUND(B2*10000/F43,0))</f>
        <v>19749</v>
      </c>
      <c r="C3" s="2055"/>
      <c r="D3" s="2053"/>
      <c r="E3" s="2054"/>
      <c r="F3" s="2054"/>
      <c r="G3" s="1588"/>
      <c r="H3" s="774" t="s">
        <v>695</v>
      </c>
      <c r="I3" s="1361"/>
      <c r="J3" s="1361"/>
      <c r="K3" s="1589"/>
      <c r="L3" s="1361"/>
      <c r="M3" s="1361"/>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2459</v>
      </c>
      <c r="C5" s="55">
        <f ca="1">C6+C10+C12</f>
        <v>725</v>
      </c>
      <c r="D5" s="2494" t="s">
        <v>2462</v>
      </c>
      <c r="E5" s="2488"/>
      <c r="F5" s="2489"/>
      <c r="G5" s="1590"/>
      <c r="H5" s="779">
        <v>1</v>
      </c>
      <c r="I5" s="780" t="s">
        <v>2459</v>
      </c>
      <c r="J5" s="55">
        <f ca="1">J6+J10+J12</f>
        <v>0</v>
      </c>
      <c r="K5" s="2494" t="s">
        <v>2462</v>
      </c>
      <c r="L5" s="2488"/>
      <c r="M5" s="2489"/>
    </row>
    <row r="6" spans="1:33" ht="18" customHeight="1">
      <c r="A6" s="1828" t="s">
        <v>1825</v>
      </c>
      <c r="B6" s="3438" t="s">
        <v>2464</v>
      </c>
      <c r="C6" s="781">
        <f ca="1">ROUND(F6*F8*F7*(1-F9)/10000,0)</f>
        <v>723</v>
      </c>
      <c r="D6" s="2495" t="s">
        <v>2463</v>
      </c>
      <c r="E6" s="782" t="s">
        <v>1739</v>
      </c>
      <c r="F6" s="783">
        <f ca="1">INDIRECT("'数据-取费表'!u"&amp;$G$1)</f>
        <v>2.8</v>
      </c>
      <c r="G6" s="1590"/>
      <c r="H6" s="2502" t="s">
        <v>2469</v>
      </c>
      <c r="I6" s="3438" t="s">
        <v>2464</v>
      </c>
      <c r="J6" s="781">
        <f ca="1">ROUND(M6*M8*M7*(1-M9)/10000,0)</f>
        <v>0</v>
      </c>
      <c r="K6" s="339" t="s">
        <v>1738</v>
      </c>
      <c r="L6" s="782" t="s">
        <v>1739</v>
      </c>
      <c r="M6" s="783">
        <f ca="1">INDIRECT("'数据-取费表'!z"&amp;$G$1)</f>
        <v>0</v>
      </c>
    </row>
    <row r="7" spans="1:33" ht="18" customHeight="1">
      <c r="A7" s="2498"/>
      <c r="B7" s="3439"/>
      <c r="C7" s="786"/>
      <c r="D7" s="787"/>
      <c r="E7" s="782" t="s">
        <v>1740</v>
      </c>
      <c r="F7" s="783">
        <f ca="1">IF(INDIRECT("'数据-取费表'!ah"&amp;$G$1)="",INDIRECT("'数据-取费表'!k"&amp;$G$1),INDIRECT("'数据-取费表'!ah"&amp;$G$1))</f>
        <v>7450</v>
      </c>
      <c r="G7" s="1590"/>
      <c r="H7" s="2487"/>
      <c r="I7" s="3439"/>
      <c r="J7" s="786"/>
      <c r="K7" s="787"/>
      <c r="L7" s="782" t="s">
        <v>1740</v>
      </c>
      <c r="M7" s="783">
        <f ca="1">F7</f>
        <v>7450</v>
      </c>
    </row>
    <row r="8" spans="1:33" ht="18" customHeight="1">
      <c r="A8" s="2491"/>
      <c r="B8" s="3440"/>
      <c r="C8" s="786"/>
      <c r="D8" s="787"/>
      <c r="E8" s="782" t="s">
        <v>1741</v>
      </c>
      <c r="F8" s="783">
        <f ca="1">INDIRECT("'数据-取费表'!ai"&amp;$G$1)</f>
        <v>365</v>
      </c>
      <c r="G8" s="1590"/>
      <c r="H8" s="2487"/>
      <c r="I8" s="3440"/>
      <c r="J8" s="786"/>
      <c r="K8" s="787"/>
      <c r="L8" s="782" t="s">
        <v>1741</v>
      </c>
      <c r="M8" s="783">
        <f ca="1">INDIRECT("'数据-取费表'!ai"&amp;$G$1)</f>
        <v>365</v>
      </c>
    </row>
    <row r="9" spans="1:33" ht="18" customHeight="1">
      <c r="A9" s="784"/>
      <c r="B9" s="3441"/>
      <c r="C9" s="786"/>
      <c r="D9" s="787"/>
      <c r="E9" s="782" t="s">
        <v>1742</v>
      </c>
      <c r="F9" s="792">
        <f ca="1">INDIRECT("'数据-取费表'!w"&amp;$G$1)</f>
        <v>0.05</v>
      </c>
      <c r="G9" s="1590"/>
      <c r="H9" s="2503"/>
      <c r="I9" s="3440"/>
      <c r="J9" s="786"/>
      <c r="K9" s="787"/>
      <c r="L9" s="793" t="s">
        <v>1742</v>
      </c>
      <c r="M9" s="794">
        <f ca="1">INDIRECT("'数据-取费表'!ab"&amp;$G$1)</f>
        <v>0</v>
      </c>
    </row>
    <row r="10" spans="1:33" ht="18" customHeight="1">
      <c r="A10" s="1828" t="s">
        <v>2467</v>
      </c>
      <c r="B10" s="2492" t="s">
        <v>2460</v>
      </c>
      <c r="C10" s="797">
        <f ca="1">ROUND(IF(F10="押一",C6/12*F11,IF(F10="押二",C6/12*2*F11,IF(F10="押三",C6/12*3*F11,C11*F11))),0)</f>
        <v>2</v>
      </c>
      <c r="D10" s="2499" t="s">
        <v>2969</v>
      </c>
      <c r="E10" s="2496" t="s">
        <v>2465</v>
      </c>
      <c r="F10" s="3490" t="s">
        <v>3076</v>
      </c>
      <c r="G10" s="1590"/>
      <c r="H10" s="2559" t="s">
        <v>2470</v>
      </c>
      <c r="I10" s="2564" t="s">
        <v>2460</v>
      </c>
      <c r="J10" s="781">
        <f ca="1">ROUND(IF(M10="押一",J6/12*M11,IF(M10="押二",J6/12*2*M11,IF(M10="押三",J6/12*3*M11,J11*M11))),0)</f>
        <v>0</v>
      </c>
      <c r="K10" s="2499" t="s">
        <v>2969</v>
      </c>
      <c r="L10" s="2496" t="s">
        <v>2465</v>
      </c>
      <c r="M10" s="2619"/>
    </row>
    <row r="11" spans="1:33" ht="18" customHeight="1">
      <c r="A11" s="788"/>
      <c r="B11" s="2493" t="s">
        <v>2574</v>
      </c>
      <c r="C11" s="2497"/>
      <c r="D11" s="787"/>
      <c r="E11" s="2496" t="s">
        <v>2466</v>
      </c>
      <c r="F11" s="794">
        <f ca="1">'数据-取费表'!B39</f>
        <v>1.4999999999999999E-2</v>
      </c>
      <c r="G11" s="1590"/>
      <c r="H11" s="2560"/>
      <c r="I11" s="2493" t="s">
        <v>2574</v>
      </c>
      <c r="J11" s="2497"/>
      <c r="K11" s="2561"/>
      <c r="L11" s="2496" t="s">
        <v>2466</v>
      </c>
      <c r="M11" s="2490">
        <f ca="1">'数据-取费表'!B39</f>
        <v>1.4999999999999999E-2</v>
      </c>
    </row>
    <row r="12" spans="1:33" ht="18" customHeight="1" thickBot="1">
      <c r="A12" s="2535" t="s">
        <v>2468</v>
      </c>
      <c r="B12" s="2536" t="s">
        <v>2461</v>
      </c>
      <c r="C12" s="2537"/>
      <c r="D12" s="2538"/>
      <c r="E12" s="2539"/>
      <c r="F12" s="2540"/>
      <c r="G12" s="1590"/>
      <c r="H12" s="2549" t="s">
        <v>2471</v>
      </c>
      <c r="I12" s="2562" t="s">
        <v>2461</v>
      </c>
      <c r="J12" s="2563"/>
      <c r="K12" s="2538"/>
      <c r="L12" s="2539"/>
      <c r="M12" s="2552"/>
    </row>
    <row r="13" spans="1:33" ht="18" customHeight="1" thickTop="1">
      <c r="A13" s="1827">
        <v>2</v>
      </c>
      <c r="B13" s="1825" t="s">
        <v>1743</v>
      </c>
      <c r="C13" s="790">
        <f ca="1">ROUND(C29*F13,0)</f>
        <v>2867</v>
      </c>
      <c r="D13" s="1832" t="s">
        <v>2298</v>
      </c>
      <c r="E13" s="1832" t="s">
        <v>1745</v>
      </c>
      <c r="F13" s="2534">
        <f ca="1">INDIRECT("'数据-取费表'!y"&amp;$G$1)</f>
        <v>1</v>
      </c>
      <c r="G13" s="1590"/>
      <c r="H13" s="1827">
        <v>2</v>
      </c>
      <c r="I13" s="1825" t="s">
        <v>1743</v>
      </c>
      <c r="J13" s="1817">
        <f ca="1">ROUND(J14*J15,0)</f>
        <v>0</v>
      </c>
      <c r="K13" s="1819" t="s">
        <v>1744</v>
      </c>
      <c r="L13" s="2550"/>
      <c r="M13" s="2551"/>
    </row>
    <row r="14" spans="1:33" ht="18" customHeight="1">
      <c r="A14" s="1646" t="s">
        <v>1885</v>
      </c>
      <c r="B14" s="782" t="s">
        <v>645</v>
      </c>
      <c r="C14" s="802">
        <f ca="1">INDIRECT("'数据-取费表'!m"&amp;$G$1)+INDIRECT("'数据-取费表'!t"&amp;$G$1)</f>
        <v>2012</v>
      </c>
      <c r="D14" s="1977" t="s">
        <v>1746</v>
      </c>
      <c r="E14" s="1978"/>
      <c r="F14" s="803"/>
      <c r="G14" s="1590"/>
      <c r="H14" s="1647" t="s">
        <v>1831</v>
      </c>
      <c r="I14" s="2229" t="s">
        <v>2827</v>
      </c>
      <c r="J14" s="53">
        <f ca="1">C29</f>
        <v>2867</v>
      </c>
      <c r="K14" s="26"/>
      <c r="L14" s="799"/>
      <c r="M14" s="800"/>
    </row>
    <row r="15" spans="1:33" s="2062" customFormat="1" ht="18" customHeight="1" thickBot="1">
      <c r="A15" s="1646" t="s">
        <v>1886</v>
      </c>
      <c r="B15" s="782" t="s">
        <v>647</v>
      </c>
      <c r="C15" s="53">
        <f ca="1">ROUND(C14*F15,0)</f>
        <v>60</v>
      </c>
      <c r="D15" s="804" t="s">
        <v>1747</v>
      </c>
      <c r="E15" s="804" t="s">
        <v>1748</v>
      </c>
      <c r="F15" s="805">
        <f>'数据-取费表'!B33</f>
        <v>0.03</v>
      </c>
      <c r="G15" s="1591"/>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2" t="s">
        <v>650</v>
      </c>
      <c r="C16" s="53">
        <f ca="1">ROUND(INDIRECT("'数据-取费表'!m"&amp;$G$1)*F16,0)</f>
        <v>0</v>
      </c>
      <c r="D16" s="782" t="s">
        <v>1747</v>
      </c>
      <c r="E16" s="782" t="s">
        <v>1748</v>
      </c>
      <c r="F16" s="807">
        <f ca="1">IF(INDIRECT("'数据-取费表'!c"&amp;$G$1)="住宅",'数据-取费表'!B34,0)</f>
        <v>0</v>
      </c>
      <c r="G16" s="1590"/>
      <c r="H16" s="1827" t="s">
        <v>1749</v>
      </c>
      <c r="I16" s="1825" t="s">
        <v>1750</v>
      </c>
      <c r="J16" s="790">
        <f ca="1">ROUND(J17+J22+J23+J24,0)</f>
        <v>285</v>
      </c>
      <c r="K16" s="1819" t="s">
        <v>1751</v>
      </c>
      <c r="L16" s="2484"/>
      <c r="M16" s="2489"/>
    </row>
    <row r="17" spans="1:33" s="2062" customFormat="1" ht="18" customHeight="1">
      <c r="A17" s="1646" t="s">
        <v>1888</v>
      </c>
      <c r="B17" s="782" t="s">
        <v>653</v>
      </c>
      <c r="C17" s="53">
        <f ca="1">ROUND(F17*(F43+INDIRECT("'数据-取费表'!S"&amp;$G$1))/10000,0)</f>
        <v>164</v>
      </c>
      <c r="D17" s="782" t="s">
        <v>1752</v>
      </c>
      <c r="E17" s="782" t="s">
        <v>1753</v>
      </c>
      <c r="F17" s="56">
        <f>'数据-取费表'!B35</f>
        <v>200</v>
      </c>
      <c r="G17" s="1591"/>
      <c r="H17" s="1647" t="s">
        <v>1831</v>
      </c>
      <c r="I17" s="782" t="s">
        <v>656</v>
      </c>
      <c r="J17" s="53">
        <f ca="1">ROUND(IF(项目基本情况!B11="自然人",J5*M17,J18+J19+J20),0)</f>
        <v>242</v>
      </c>
      <c r="K17" s="2483" t="s">
        <v>1754</v>
      </c>
      <c r="L17" s="2482"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30</v>
      </c>
      <c r="D18" s="782" t="s">
        <v>1747</v>
      </c>
      <c r="E18" s="782" t="s">
        <v>1748</v>
      </c>
      <c r="F18" s="807">
        <f>'数据-取费表'!B36</f>
        <v>1.4999999999999999E-2</v>
      </c>
      <c r="G18" s="1591"/>
      <c r="H18" s="1646" t="s">
        <v>1885</v>
      </c>
      <c r="I18" s="782" t="s">
        <v>1756</v>
      </c>
      <c r="J18" s="53">
        <f ca="1">ROUND(J5*M18/1.05,1)</f>
        <v>0</v>
      </c>
      <c r="K18" s="2482" t="s">
        <v>1757</v>
      </c>
      <c r="L18" s="782" t="s">
        <v>1748</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2" t="s">
        <v>662</v>
      </c>
      <c r="C19" s="53">
        <f ca="1">SUM(C14:C18)</f>
        <v>2266</v>
      </c>
      <c r="D19" s="259" t="s">
        <v>1758</v>
      </c>
      <c r="E19" s="1980"/>
      <c r="F19" s="56"/>
      <c r="G19" s="1590"/>
      <c r="H19" s="1646" t="s">
        <v>1886</v>
      </c>
      <c r="I19" s="782" t="s">
        <v>1759</v>
      </c>
      <c r="J19" s="53">
        <f ca="1">IF(K19="按租金收入计税",ROUND(J5*M19,1),ROUND(C29*F33*0.7,1))</f>
        <v>240.8</v>
      </c>
      <c r="K19" s="809" t="s">
        <v>665</v>
      </c>
      <c r="L19" s="782" t="s">
        <v>1748</v>
      </c>
      <c r="M19" s="807">
        <f>IF(K19="按租金收入计税",'数据-取费表'!B51,'数据-取费表'!B50)</f>
        <v>1.2E-2</v>
      </c>
    </row>
    <row r="20" spans="1:33" s="2062" customFormat="1" ht="18" customHeight="1">
      <c r="A20" s="1647" t="s">
        <v>1890</v>
      </c>
      <c r="B20" s="782" t="s">
        <v>666</v>
      </c>
      <c r="C20" s="53">
        <f ca="1">ROUND(C19*F20,0)</f>
        <v>23</v>
      </c>
      <c r="D20" s="810" t="s">
        <v>1760</v>
      </c>
      <c r="E20" s="782" t="s">
        <v>1748</v>
      </c>
      <c r="F20" s="807">
        <f>'数据-取费表'!B37</f>
        <v>0.01</v>
      </c>
      <c r="G20" s="1591"/>
      <c r="H20" s="1649" t="s">
        <v>1881</v>
      </c>
      <c r="I20" s="339" t="s">
        <v>1761</v>
      </c>
      <c r="J20" s="54">
        <f ca="1">ROUND(M20*M21/10000,0)</f>
        <v>1</v>
      </c>
      <c r="K20" s="812" t="s">
        <v>1762</v>
      </c>
      <c r="L20" s="782" t="s">
        <v>1763</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1764</v>
      </c>
      <c r="C21" s="53" t="s">
        <v>1765</v>
      </c>
      <c r="D21" s="810" t="s">
        <v>2299</v>
      </c>
      <c r="E21" s="782" t="s">
        <v>1766</v>
      </c>
      <c r="F21" s="807">
        <f>'数据-取费表'!B38</f>
        <v>0.01</v>
      </c>
      <c r="G21" s="1591"/>
      <c r="H21" s="2504"/>
      <c r="I21" s="791"/>
      <c r="J21" s="69"/>
      <c r="K21" s="814"/>
      <c r="L21" s="782" t="s">
        <v>1767</v>
      </c>
      <c r="M21" s="783">
        <f ca="1">INDIRECT("'数据-取费表'!r"&amp;$G$1)</f>
        <v>4052.0099999999998</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1768</v>
      </c>
      <c r="C22" s="53"/>
      <c r="D22" s="2570" t="str">
        <f>IF(F23&lt;=1,"单利计息。","复利计息。")&amp;"建造成本、管理费用、销售费用产生的利息。"</f>
        <v>复利计息。建造成本、管理费用、销售费用产生的利息。</v>
      </c>
      <c r="E22" s="1980"/>
      <c r="F22" s="56"/>
      <c r="G22" s="1590"/>
      <c r="H22" s="1647" t="s">
        <v>1890</v>
      </c>
      <c r="I22" s="782" t="s">
        <v>1769</v>
      </c>
      <c r="J22" s="53">
        <f ca="1">ROUND(J14*M22,0)</f>
        <v>43</v>
      </c>
      <c r="K22" s="2482" t="s">
        <v>1770</v>
      </c>
      <c r="L22" s="782" t="s">
        <v>1748</v>
      </c>
      <c r="M22" s="815">
        <f ca="1">INDIRECT("'数据-取费表'!Ak"&amp;$G$1)</f>
        <v>1.4999999999999999E-2</v>
      </c>
    </row>
    <row r="23" spans="1:33" s="2062" customFormat="1" ht="18" customHeight="1">
      <c r="A23" s="1646" t="s">
        <v>1832</v>
      </c>
      <c r="B23" s="782" t="s">
        <v>2536</v>
      </c>
      <c r="C23" s="53">
        <f ca="1">ROUND(IF('数据-取费表'!B22&lt;=1,(C19+C20)*F24*F23/2,(C19+C20)*(POWER((1+F24),F23/2)-1)),0)</f>
        <v>165</v>
      </c>
      <c r="D23" s="2569" t="str">
        <f>IF(F23&lt;=1,"(建造成本+管理费用)×利率×(建设周期÷2)","(建造成本+管理费用)×((1+利率)^(建设周期÷2)-1)")</f>
        <v>(建造成本+管理费用)×((1+利率)^(建设周期÷2)-1)</v>
      </c>
      <c r="E23" s="782" t="s">
        <v>1771</v>
      </c>
      <c r="F23" s="638">
        <f>'数据-取费表'!B20</f>
        <v>3</v>
      </c>
      <c r="G23" s="1591"/>
      <c r="H23" s="1647" t="s">
        <v>1891</v>
      </c>
      <c r="I23" s="782" t="s">
        <v>679</v>
      </c>
      <c r="J23" s="53">
        <f ca="1">ROUND(J13*M23,0)</f>
        <v>0</v>
      </c>
      <c r="K23" s="2482"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1773</v>
      </c>
      <c r="C24" s="53">
        <f ca="1">ROUND(IF('数据-取费表'!B22&lt;=1,F21*F24*F23/2,F21*(POWER((1+F24),F23/2)-1)),4)</f>
        <v>6.9999999999999999E-4</v>
      </c>
      <c r="D24" s="2569" t="str">
        <f>IF(F23&lt;=1,"销售费用×利率×(建设周期÷2)","销售费用×((1+利率)^(建设周期÷2)-1)")</f>
        <v>销售费用×((1+利率)^(建设周期÷2)-1)</v>
      </c>
      <c r="E24" s="782" t="s">
        <v>1774</v>
      </c>
      <c r="F24" s="817">
        <f ca="1">'数据-取费表'!B40</f>
        <v>4.7500000000000001E-2</v>
      </c>
      <c r="G24" s="1591"/>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1776</v>
      </c>
      <c r="E25" s="1980"/>
      <c r="F25" s="56"/>
      <c r="G25" s="1590"/>
      <c r="H25" s="1827" t="s">
        <v>1777</v>
      </c>
      <c r="I25" s="3007" t="s">
        <v>2823</v>
      </c>
      <c r="J25" s="790">
        <f ca="1">J5-J16</f>
        <v>-285</v>
      </c>
      <c r="K25" s="2546" t="s">
        <v>1778</v>
      </c>
      <c r="L25" s="2547"/>
      <c r="M25" s="2548"/>
    </row>
    <row r="26" spans="1:33" ht="18" customHeight="1">
      <c r="A26" s="1646" t="s">
        <v>1832</v>
      </c>
      <c r="B26" s="782" t="s">
        <v>2439</v>
      </c>
      <c r="C26" s="53">
        <f ca="1">ROUND((C19+C20)*F26,0)</f>
        <v>229</v>
      </c>
      <c r="D26" s="810" t="s">
        <v>1779</v>
      </c>
      <c r="E26" s="793" t="s">
        <v>1780</v>
      </c>
      <c r="F26" s="792">
        <f ca="1">INDIRECT("'数据-取费表'!q"&amp;$G$1)</f>
        <v>0.1</v>
      </c>
      <c r="G26" s="1590"/>
      <c r="H26" s="2500" t="s">
        <v>1781</v>
      </c>
      <c r="I26" s="2230" t="s">
        <v>2828</v>
      </c>
      <c r="J26" s="781">
        <f ca="1">IF(J5&lt;&gt;0,ROUND(J25*(1-((1+M28)/(1+M26))^M27)/(M26-M28),0),0)</f>
        <v>0</v>
      </c>
      <c r="K26" s="812" t="s">
        <v>1782</v>
      </c>
      <c r="L26" s="782" t="s">
        <v>2420</v>
      </c>
      <c r="M26" s="792">
        <f ca="1">INDIRECT("'数据-取费表'!I"&amp;$G$1)</f>
        <v>5.5E-2</v>
      </c>
    </row>
    <row r="27" spans="1:33" ht="18" customHeight="1">
      <c r="A27" s="1646" t="s">
        <v>1833</v>
      </c>
      <c r="B27" s="782" t="s">
        <v>686</v>
      </c>
      <c r="C27" s="53">
        <f ca="1">ROUND(F21*F26,4)</f>
        <v>1E-3</v>
      </c>
      <c r="D27" s="810" t="s">
        <v>1783</v>
      </c>
      <c r="E27" s="804"/>
      <c r="F27" s="805"/>
      <c r="G27" s="1590"/>
      <c r="H27" s="2501"/>
      <c r="I27" s="785"/>
      <c r="J27" s="786"/>
      <c r="K27" s="819" t="s">
        <v>1784</v>
      </c>
      <c r="L27" s="782" t="s">
        <v>1785</v>
      </c>
      <c r="M27" s="820">
        <f ca="1">INDIRECT("'数据-取费表'!ag"&amp;$G$1)</f>
        <v>0</v>
      </c>
    </row>
    <row r="28" spans="1:33" s="2062" customFormat="1" ht="18" customHeight="1">
      <c r="A28" s="1648" t="s">
        <v>1842</v>
      </c>
      <c r="B28" s="782" t="s">
        <v>687</v>
      </c>
      <c r="C28" s="53">
        <f>ROUND(F28/(1+'数据-取费表'!C42),4)</f>
        <v>5.2400000000000002E-2</v>
      </c>
      <c r="D28" s="810" t="s">
        <v>2300</v>
      </c>
      <c r="E28" s="782" t="s">
        <v>1786</v>
      </c>
      <c r="F28" s="807">
        <f>'数据-取费表'!B41</f>
        <v>5.5000000000000007E-2</v>
      </c>
      <c r="G28" s="1591"/>
      <c r="H28" s="1827"/>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2301</v>
      </c>
      <c r="C29" s="2542">
        <f ca="1">ROUND((C19+C20+C23+C26)/(1-F21-C24-C27-C28),0)</f>
        <v>2867</v>
      </c>
      <c r="D29" s="2543"/>
      <c r="E29" s="2544"/>
      <c r="F29" s="2545"/>
      <c r="G29" s="1591"/>
      <c r="H29" s="821" t="s">
        <v>1788</v>
      </c>
      <c r="I29" s="822" t="s">
        <v>1789</v>
      </c>
      <c r="J29" s="823">
        <f ca="1">ROUND(J26/(1+F40)^F41,0)</f>
        <v>0</v>
      </c>
      <c r="K29" s="824" t="s">
        <v>1790</v>
      </c>
      <c r="L29" s="825"/>
      <c r="M29" s="826">
        <f ca="1">INDIRECT("'数据-取费表'!k"&amp;$G$1)</f>
        <v>7450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180</v>
      </c>
      <c r="D30" s="1819" t="s">
        <v>1792</v>
      </c>
      <c r="E30" s="2484"/>
      <c r="F30" s="2489"/>
      <c r="G30" s="2060"/>
      <c r="H30" s="2063"/>
      <c r="I30" s="2064"/>
      <c r="J30" s="2065"/>
      <c r="K30" s="2066"/>
      <c r="L30" s="2067"/>
      <c r="M30" s="2068"/>
    </row>
    <row r="31" spans="1:33" ht="18" customHeight="1">
      <c r="A31" s="1647" t="s">
        <v>1831</v>
      </c>
      <c r="B31" s="782" t="s">
        <v>656</v>
      </c>
      <c r="C31" s="53">
        <f ca="1">ROUND(IF(项目基本情况!B11="自然人",C5*F31,C32+C33+C34),1)</f>
        <v>125.6</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1795</v>
      </c>
      <c r="C32" s="53">
        <f ca="1">ROUND(C5*F32/1.05,1)</f>
        <v>38</v>
      </c>
      <c r="D32" s="1975" t="s">
        <v>1796</v>
      </c>
      <c r="E32" s="782" t="s">
        <v>1797</v>
      </c>
      <c r="F32" s="807">
        <f>'数据-取费表'!B41</f>
        <v>5.5000000000000007E-2</v>
      </c>
      <c r="G32" s="2060"/>
      <c r="H32" s="2069"/>
      <c r="I32" s="2070"/>
      <c r="J32" s="2071"/>
      <c r="K32" s="2072"/>
      <c r="L32" s="2073"/>
      <c r="M32" s="2074"/>
    </row>
    <row r="33" spans="1:18" ht="18" customHeight="1">
      <c r="A33" s="1646" t="s">
        <v>1833</v>
      </c>
      <c r="B33" s="782" t="s">
        <v>1798</v>
      </c>
      <c r="C33" s="53">
        <f ca="1">IF(D33="按租金收入计税",ROUND(C5*F33,1),IF(D33="按房产原值计税",ROUND(C29*F33*0.7,1),INDIRECT("'数据-取费表'!Aj"&amp;$G$1)))</f>
        <v>87</v>
      </c>
      <c r="D33" s="809" t="s">
        <v>3006</v>
      </c>
      <c r="E33" s="782" t="s">
        <v>1797</v>
      </c>
      <c r="F33" s="807">
        <f>IF(D33="按租金收入计税",'数据-取费表'!B51,'数据-取费表'!B50)</f>
        <v>0.12</v>
      </c>
      <c r="G33" s="2060"/>
      <c r="H33" s="2075"/>
      <c r="I33" s="2075"/>
      <c r="J33" s="2075"/>
      <c r="K33" s="2076"/>
      <c r="L33" s="2075"/>
      <c r="M33" s="2075"/>
    </row>
    <row r="34" spans="1:18" ht="18" customHeight="1">
      <c r="A34" s="1649" t="s">
        <v>1834</v>
      </c>
      <c r="B34" s="339" t="s">
        <v>1799</v>
      </c>
      <c r="C34" s="54">
        <f ca="1">ROUND(F34*F35/10000,1)</f>
        <v>0.6</v>
      </c>
      <c r="D34" s="812" t="s">
        <v>1800</v>
      </c>
      <c r="E34" s="782" t="s">
        <v>1801</v>
      </c>
      <c r="F34" s="638">
        <f>'数据-取费表'!B52</f>
        <v>1.5</v>
      </c>
      <c r="G34" s="2060"/>
      <c r="H34" s="2063"/>
      <c r="I34" s="833" t="s">
        <v>1814</v>
      </c>
      <c r="J34" s="834"/>
      <c r="K34" s="2078"/>
      <c r="L34" s="2077"/>
      <c r="M34" s="2077"/>
    </row>
    <row r="35" spans="1:18" ht="18" customHeight="1">
      <c r="A35" s="813"/>
      <c r="B35" s="791"/>
      <c r="C35" s="69"/>
      <c r="D35" s="814"/>
      <c r="E35" s="782" t="s">
        <v>1802</v>
      </c>
      <c r="F35" s="783">
        <f ca="1">INDIRECT("'数据-取费表'!r"&amp;$G$1)</f>
        <v>4052.0099999999998</v>
      </c>
      <c r="G35" s="2060"/>
      <c r="H35" s="2063"/>
      <c r="I35" s="835" t="s">
        <v>1815</v>
      </c>
      <c r="J35" s="836">
        <f ca="1">ROUND(C13*J36,0)</f>
        <v>244</v>
      </c>
      <c r="K35" s="2076"/>
      <c r="L35" s="2075"/>
      <c r="M35" s="2075"/>
    </row>
    <row r="36" spans="1:18" ht="18" customHeight="1">
      <c r="A36" s="1647" t="s">
        <v>1890</v>
      </c>
      <c r="B36" s="782" t="s">
        <v>1803</v>
      </c>
      <c r="C36" s="53">
        <f ca="1">ROUND(C29*F36,1)</f>
        <v>43</v>
      </c>
      <c r="D36" s="19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4.3</v>
      </c>
      <c r="D37" s="1975"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7.3</v>
      </c>
      <c r="D38" s="2543" t="s">
        <v>1806</v>
      </c>
      <c r="E38" s="2544" t="s">
        <v>1797</v>
      </c>
      <c r="F38" s="2540">
        <f ca="1">INDIRECT("'数据-取费表'!Am"&amp;$G$1)</f>
        <v>0.01</v>
      </c>
      <c r="G38" s="2060"/>
      <c r="H38" s="2075"/>
      <c r="I38" s="841" t="s">
        <v>1818</v>
      </c>
      <c r="J38" s="842"/>
      <c r="K38" s="2081"/>
      <c r="L38" s="2075"/>
      <c r="M38" s="2075"/>
    </row>
    <row r="39" spans="1:18" ht="24.6" customHeight="1" thickTop="1">
      <c r="A39" s="1827" t="s">
        <v>1895</v>
      </c>
      <c r="B39" s="3007" t="s">
        <v>2823</v>
      </c>
      <c r="C39" s="790">
        <f ca="1">C5-C30</f>
        <v>545</v>
      </c>
      <c r="D39" s="2546" t="s">
        <v>1807</v>
      </c>
      <c r="E39" s="2547"/>
      <c r="F39" s="2548"/>
      <c r="G39" s="2060"/>
      <c r="H39" s="2075"/>
      <c r="I39" s="835" t="s">
        <v>1819</v>
      </c>
      <c r="J39" s="843">
        <f ca="1">ROUND(J35/C39,3)</f>
        <v>0.44800000000000001</v>
      </c>
      <c r="K39" s="2081"/>
      <c r="L39" s="2075"/>
      <c r="M39" s="2075"/>
    </row>
    <row r="40" spans="1:18" ht="18" customHeight="1">
      <c r="A40" s="779" t="s">
        <v>1896</v>
      </c>
      <c r="B40" s="2230" t="s">
        <v>2302</v>
      </c>
      <c r="C40" s="781">
        <f ca="1">ROUND(C39*(1-((1+F42)/(1+F40))^F41)/(F40-F42),0)</f>
        <v>14713</v>
      </c>
      <c r="D40" s="812" t="s">
        <v>1808</v>
      </c>
      <c r="E40" s="782" t="s">
        <v>2420</v>
      </c>
      <c r="F40" s="792">
        <f ca="1">INDIRECT("'数据-取费表'!I"&amp;$G$1)</f>
        <v>5.5E-2</v>
      </c>
      <c r="G40" s="2060"/>
      <c r="H40" s="2060"/>
      <c r="I40" s="835" t="s">
        <v>1820</v>
      </c>
      <c r="J40" s="843">
        <f ca="1">1-J39</f>
        <v>0.55200000000000005</v>
      </c>
      <c r="K40" s="2081"/>
      <c r="L40" s="2060"/>
      <c r="M40" s="2060"/>
    </row>
    <row r="41" spans="1:18" ht="18" customHeight="1">
      <c r="A41" s="784"/>
      <c r="B41" s="785"/>
      <c r="C41" s="786"/>
      <c r="D41" s="819" t="s">
        <v>1809</v>
      </c>
      <c r="E41" s="782" t="s">
        <v>2959</v>
      </c>
      <c r="F41" s="820">
        <f ca="1">IF(INDIRECT("'数据-取费表'!af"&amp;$G$1)=0,INDIRECT("'数据-取费表'!ae"&amp;$G$1),INDIRECT("'数据-取费表'!af"&amp;$G$1))</f>
        <v>36.25</v>
      </c>
      <c r="G41" s="2060"/>
      <c r="H41" s="1986"/>
      <c r="I41" s="841" t="s">
        <v>1821</v>
      </c>
      <c r="J41" s="844"/>
      <c r="K41" s="2080"/>
      <c r="L41" s="1986"/>
      <c r="M41" s="1986"/>
    </row>
    <row r="42" spans="1:18" ht="18" customHeight="1">
      <c r="A42" s="788"/>
      <c r="B42" s="789"/>
      <c r="C42" s="790"/>
      <c r="D42" s="814"/>
      <c r="E42" s="782" t="s">
        <v>1810</v>
      </c>
      <c r="F42" s="792">
        <f ca="1">INDIRECT("'数据-取费表'!v"&amp;$G$1)</f>
        <v>0.04</v>
      </c>
      <c r="G42" s="2060"/>
      <c r="H42" s="1986"/>
      <c r="I42" s="845" t="s">
        <v>1822</v>
      </c>
      <c r="J42" s="843">
        <f ca="1">ROUND(C13/C40,3)</f>
        <v>0.19500000000000001</v>
      </c>
      <c r="K42" s="2080"/>
      <c r="L42" s="1986"/>
      <c r="M42" s="1986"/>
    </row>
    <row r="43" spans="1:18" ht="18" customHeight="1" thickBot="1">
      <c r="A43" s="821" t="s">
        <v>1788</v>
      </c>
      <c r="B43" s="822" t="s">
        <v>1811</v>
      </c>
      <c r="C43" s="823">
        <f ca="1">ROUND(C40*10000/F43,0)</f>
        <v>19749</v>
      </c>
      <c r="D43" s="824" t="s">
        <v>1812</v>
      </c>
      <c r="E43" s="825" t="s">
        <v>1813</v>
      </c>
      <c r="F43" s="826">
        <f ca="1">INDIRECT("'数据-取费表'!k"&amp;$G$1)</f>
        <v>7450</v>
      </c>
      <c r="G43" s="2060"/>
      <c r="H43" s="1986"/>
      <c r="I43" s="845" t="s">
        <v>1823</v>
      </c>
      <c r="J43" s="846">
        <f ca="1">1-J42</f>
        <v>0.80499999999999994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-15460</v>
      </c>
      <c r="D46" s="2083"/>
      <c r="E46" s="2083"/>
      <c r="F46" s="2083"/>
      <c r="I46" s="2376" t="s">
        <v>2344</v>
      </c>
      <c r="J46" s="2377"/>
      <c r="K46" s="2378"/>
      <c r="L46" s="3157">
        <f>IF(OR(M47="住宅",D1="土地（套用方法）"),0,IF(L48&gt;J51,L60,J60))</f>
        <v>0</v>
      </c>
      <c r="O46" s="2392" t="s">
        <v>2411</v>
      </c>
      <c r="P46" s="1590"/>
      <c r="Q46" s="1602"/>
      <c r="R46" s="1590"/>
    </row>
    <row r="47" spans="1:18" s="2057" customFormat="1" ht="18" customHeight="1" thickBot="1">
      <c r="A47" s="2370">
        <v>1</v>
      </c>
      <c r="B47" s="2371" t="s">
        <v>635</v>
      </c>
      <c r="C47" s="2572">
        <f ca="1">C48+C52+C54</f>
        <v>0</v>
      </c>
      <c r="D47" s="2083"/>
      <c r="E47" s="2083"/>
      <c r="F47" s="2083"/>
      <c r="I47" s="3147" t="s">
        <v>2345</v>
      </c>
      <c r="J47" s="2379" t="s">
        <v>3007</v>
      </c>
      <c r="K47" s="3154" t="s">
        <v>2350</v>
      </c>
      <c r="L47" s="3158">
        <f ca="1">INDIRECT("'数据-取费表'!d"&amp;$G$1)</f>
        <v>40</v>
      </c>
      <c r="M47" s="1602" t="str">
        <f>IF(ISNUMBER(FIND("住宅",C1)),"住宅","非住宅")</f>
        <v>非住宅</v>
      </c>
      <c r="O47" s="2393" t="s">
        <v>2376</v>
      </c>
      <c r="P47" s="2394" t="s">
        <v>2377</v>
      </c>
      <c r="Q47" s="2395" t="s">
        <v>2378</v>
      </c>
      <c r="R47" s="2394" t="s">
        <v>2379</v>
      </c>
    </row>
    <row r="48" spans="1:18" s="2057" customFormat="1" ht="18" customHeight="1" thickBot="1">
      <c r="A48" s="2640" t="s">
        <v>2538</v>
      </c>
      <c r="B48" s="2641" t="s">
        <v>2539</v>
      </c>
      <c r="C48" s="2372">
        <f ca="1">ROUND(F48*F50*F49*(1-F51)/10000,0)</f>
        <v>0</v>
      </c>
      <c r="D48" s="2373" t="s">
        <v>636</v>
      </c>
      <c r="E48" s="2374" t="s">
        <v>2297</v>
      </c>
      <c r="F48" s="2375"/>
      <c r="G48" s="2088"/>
      <c r="I48" s="3123" t="s">
        <v>2346</v>
      </c>
      <c r="J48" s="2380" t="s">
        <v>2351</v>
      </c>
      <c r="K48" s="3155" t="s">
        <v>2352</v>
      </c>
      <c r="L48" s="1906">
        <f ca="1">INDIRECT("'数据-取费表'!f"&amp;$G$1)</f>
        <v>39.25</v>
      </c>
      <c r="O48" s="2396" t="s">
        <v>2380</v>
      </c>
      <c r="P48" s="2397" t="s">
        <v>2406</v>
      </c>
      <c r="Q48" s="2398">
        <f ca="1">C40+J29</f>
        <v>14713</v>
      </c>
      <c r="R48" s="2397" t="s">
        <v>2381</v>
      </c>
    </row>
    <row r="49" spans="1:18" s="2057" customFormat="1" ht="18" customHeight="1" thickBot="1">
      <c r="A49" s="784"/>
      <c r="B49" s="785"/>
      <c r="C49" s="786"/>
      <c r="D49" s="787"/>
      <c r="E49" s="782" t="s">
        <v>1740</v>
      </c>
      <c r="F49" s="783">
        <f ca="1">F7</f>
        <v>7450</v>
      </c>
      <c r="G49" s="2088"/>
      <c r="H49" s="2091"/>
      <c r="I49" s="3123" t="s">
        <v>2347</v>
      </c>
      <c r="J49" s="2381"/>
      <c r="K49" s="3156" t="s">
        <v>2353</v>
      </c>
      <c r="L49" s="2382"/>
      <c r="O49" s="2396" t="s">
        <v>2382</v>
      </c>
      <c r="P49" s="2397" t="s">
        <v>2407</v>
      </c>
      <c r="Q49" s="2398" t="str">
        <f ca="1">J60</f>
        <v>0</v>
      </c>
      <c r="R49" s="2397" t="s">
        <v>2383</v>
      </c>
    </row>
    <row r="50" spans="1:18" s="2057" customFormat="1" ht="18" customHeight="1" thickBot="1">
      <c r="A50" s="784"/>
      <c r="B50" s="785"/>
      <c r="C50" s="786"/>
      <c r="D50" s="787"/>
      <c r="E50" s="782" t="s">
        <v>1741</v>
      </c>
      <c r="F50" s="783">
        <f ca="1">F8</f>
        <v>365</v>
      </c>
      <c r="G50" s="2093"/>
      <c r="H50" s="2091"/>
      <c r="I50" s="3123" t="s">
        <v>2348</v>
      </c>
      <c r="J50" s="3151">
        <f>SUMPRODUCT((I63:I65=J47)*(J62:L62=J48)*(J63:L65))</f>
        <v>60</v>
      </c>
      <c r="K50" s="3156" t="s">
        <v>2354</v>
      </c>
      <c r="L50" s="2382"/>
      <c r="O50" s="2399" t="s">
        <v>2384</v>
      </c>
      <c r="P50" s="2397" t="s">
        <v>2408</v>
      </c>
      <c r="Q50" s="2398">
        <f ca="1">C29</f>
        <v>2867</v>
      </c>
      <c r="R50" s="2397" t="s">
        <v>2381</v>
      </c>
    </row>
    <row r="51" spans="1:18" s="2057" customFormat="1" ht="18" customHeight="1" thickBot="1">
      <c r="A51" s="784"/>
      <c r="B51" s="785"/>
      <c r="C51" s="786"/>
      <c r="D51" s="787"/>
      <c r="E51" s="782" t="s">
        <v>640</v>
      </c>
      <c r="F51" s="2369"/>
      <c r="H51" s="2091"/>
      <c r="I51" s="3148" t="s">
        <v>2349</v>
      </c>
      <c r="J51" s="3152">
        <f>IF(J49="",J50,J49+J50-YEAR('数据-取费表'!B2))</f>
        <v>60</v>
      </c>
      <c r="K51" s="3123" t="s">
        <v>2355</v>
      </c>
      <c r="L51" s="3159">
        <f ca="1">ROUND(-PV(INDIRECT("'数据-取费表'!h"&amp;$G$1),L48,(C39-C13*J36),0),0)</f>
        <v>5138</v>
      </c>
      <c r="O51" s="2399" t="s">
        <v>2385</v>
      </c>
      <c r="P51" s="2397" t="s">
        <v>2386</v>
      </c>
      <c r="Q51" s="2400" t="e">
        <f ca="1">J58</f>
        <v>#VALUE!</v>
      </c>
      <c r="R51" s="2401"/>
    </row>
    <row r="52" spans="1:18" s="2057" customFormat="1" ht="18" customHeight="1" thickBot="1">
      <c r="A52" s="779" t="s">
        <v>2537</v>
      </c>
      <c r="B52" s="2492" t="s">
        <v>2460</v>
      </c>
      <c r="C52" s="797">
        <f ca="1">ROUND(IF(F52="押一",C48/12*F11,IF(F52="押二",C48/12*2*F11,IF(F52="押三",C48/12*3*F11,C53*F11))),0)</f>
        <v>0</v>
      </c>
      <c r="D52" s="2499" t="s">
        <v>2970</v>
      </c>
      <c r="E52" s="2496" t="s">
        <v>2465</v>
      </c>
      <c r="F52" s="2619"/>
      <c r="I52" s="3149" t="s">
        <v>2422</v>
      </c>
      <c r="J52" s="2383">
        <v>0.09</v>
      </c>
      <c r="K52" s="3149" t="s">
        <v>2421</v>
      </c>
      <c r="L52" s="2383">
        <v>0.05</v>
      </c>
      <c r="O52" s="2399" t="s">
        <v>2387</v>
      </c>
      <c r="P52" s="2397" t="s">
        <v>2388</v>
      </c>
      <c r="Q52" s="2400">
        <f>J52</f>
        <v>0.09</v>
      </c>
      <c r="R52" s="2401"/>
    </row>
    <row r="53" spans="1:18" s="2057" customFormat="1" ht="39.75" customHeight="1" thickBot="1">
      <c r="A53" s="784"/>
      <c r="B53" s="2493" t="s">
        <v>2574</v>
      </c>
      <c r="C53" s="2497"/>
      <c r="D53" s="2499"/>
      <c r="E53" s="2496"/>
      <c r="F53" s="798"/>
      <c r="I53" s="3150" t="s">
        <v>2974</v>
      </c>
      <c r="J53" s="3153">
        <f ca="1">IF(M47="住宅",IF(D1="——",MAX(J51,L48),MAX(J51,L48-'数据-取费表'!B20)),IF(D1="——",MIN(J51,L48),MIN(J51,L48-'数据-取费表'!B20)))</f>
        <v>36.25</v>
      </c>
      <c r="K53" s="3454" t="s">
        <v>2961</v>
      </c>
      <c r="L53" s="3455"/>
      <c r="O53" s="2399" t="s">
        <v>2389</v>
      </c>
      <c r="P53" s="2397" t="s">
        <v>2390</v>
      </c>
      <c r="Q53" s="2398">
        <f ca="1">J53</f>
        <v>36.25</v>
      </c>
      <c r="R53" s="2397" t="s">
        <v>2391</v>
      </c>
    </row>
    <row r="54" spans="1:18" s="2057" customFormat="1" ht="18" customHeight="1" thickBot="1">
      <c r="A54" s="2535" t="s">
        <v>2468</v>
      </c>
      <c r="B54" s="2536" t="s">
        <v>2461</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2392</v>
      </c>
      <c r="P54" s="2397" t="s">
        <v>2409</v>
      </c>
      <c r="Q54" s="2398">
        <f ca="1">Q48+Q49</f>
        <v>14713</v>
      </c>
      <c r="R54" s="2401" t="s">
        <v>2393</v>
      </c>
    </row>
    <row r="55" spans="1:18" s="2057" customFormat="1" ht="18" customHeight="1" thickTop="1" thickBot="1">
      <c r="A55" s="795">
        <v>2</v>
      </c>
      <c r="B55" s="796" t="s">
        <v>644</v>
      </c>
      <c r="C55" s="797">
        <f ca="1">C13</f>
        <v>2867</v>
      </c>
      <c r="D55" s="793"/>
      <c r="E55" s="793"/>
      <c r="F55" s="798"/>
      <c r="I55" s="3162" t="s">
        <v>2356</v>
      </c>
      <c r="J55" s="3098" t="e">
        <f ca="1">ROUND(IF(J47="钢混",J57/J50,1-(1-2%)*(J50-J57)/J50),3)</f>
        <v>#VALUE!</v>
      </c>
      <c r="K55" s="3163" t="s">
        <v>2357</v>
      </c>
      <c r="L55" s="2384"/>
      <c r="O55" s="2402" t="s">
        <v>2412</v>
      </c>
      <c r="P55" s="1590"/>
      <c r="Q55" s="1602"/>
      <c r="R55" s="1590"/>
    </row>
    <row r="56" spans="1:18" s="2057" customFormat="1" ht="42.75" customHeight="1" thickBot="1">
      <c r="A56" s="1648"/>
      <c r="B56" s="2229" t="s">
        <v>2303</v>
      </c>
      <c r="C56" s="53">
        <f ca="1">C29</f>
        <v>2867</v>
      </c>
      <c r="D56" s="2637"/>
      <c r="E56" s="782"/>
      <c r="F56" s="807"/>
      <c r="I56" s="3164" t="s">
        <v>2358</v>
      </c>
      <c r="J56" s="3174" t="s">
        <v>1679</v>
      </c>
      <c r="K56" s="3123" t="s">
        <v>2363</v>
      </c>
      <c r="L56" s="1906" t="str">
        <f ca="1">IF(L48&lt;J51,"——",L48-J51)</f>
        <v>——</v>
      </c>
      <c r="O56" s="2393" t="s">
        <v>2376</v>
      </c>
      <c r="P56" s="2394" t="s">
        <v>2377</v>
      </c>
      <c r="Q56" s="2395" t="s">
        <v>2378</v>
      </c>
      <c r="R56" s="2394" t="s">
        <v>2379</v>
      </c>
    </row>
    <row r="57" spans="1:18" s="2057" customFormat="1" ht="28.5" customHeight="1" thickBot="1">
      <c r="A57" s="795" t="s">
        <v>1749</v>
      </c>
      <c r="B57" s="796" t="s">
        <v>651</v>
      </c>
      <c r="C57" s="797">
        <f ca="1">ROUND(C58+C63+C64+C65,0)</f>
        <v>48</v>
      </c>
      <c r="D57" s="26" t="s">
        <v>1751</v>
      </c>
      <c r="E57" s="2638"/>
      <c r="F57" s="56"/>
      <c r="I57" s="3165" t="s">
        <v>2359</v>
      </c>
      <c r="J57" s="3166" t="str">
        <f ca="1">IF(OR(M47="住宅",J51&lt;L48,J56="是"),"——",J51-L48)</f>
        <v>——</v>
      </c>
      <c r="K57" s="3123" t="s">
        <v>2364</v>
      </c>
      <c r="L57" s="1906" t="str">
        <f ca="1">IF(L48&lt;J51,"——",IF(L55="比较法",L49,IF(L55="基准地价",L50,L51)))</f>
        <v>——</v>
      </c>
      <c r="O57" s="2396" t="s">
        <v>2380</v>
      </c>
      <c r="P57" s="2397" t="s">
        <v>2410</v>
      </c>
      <c r="Q57" s="2398">
        <f ca="1">C40+J29</f>
        <v>14713</v>
      </c>
      <c r="R57" s="2397" t="s">
        <v>2381</v>
      </c>
    </row>
    <row r="58" spans="1:18" s="2057" customFormat="1" ht="28.5" customHeight="1" thickBot="1">
      <c r="A58" s="1647" t="s">
        <v>1825</v>
      </c>
      <c r="B58" s="782" t="s">
        <v>656</v>
      </c>
      <c r="C58" s="53">
        <f ca="1">ROUND(IF(项目基本情况!B11="自然人",C47*F58,C59+C60+C61),1)</f>
        <v>0.6</v>
      </c>
      <c r="D58" s="2636" t="s">
        <v>657</v>
      </c>
      <c r="E58" s="2637" t="s">
        <v>690</v>
      </c>
      <c r="F58" s="808" t="str">
        <f ca="1">IF(项目基本情况!B11="企业","",IF(INDIRECT("'数据-取费表'!c"&amp;$G$1)="住宅",5%,IF(F48*F49*F50/12/(1+'数据-取费表'!C42)&gt;20000,12%,7%)))</f>
        <v/>
      </c>
      <c r="I58" s="3165" t="s">
        <v>2360</v>
      </c>
      <c r="J58" s="3099" t="e">
        <f ca="1">IF(J55&lt;0.4,0.4,J55)</f>
        <v>#VALUE!</v>
      </c>
      <c r="K58" s="3123" t="s">
        <v>2365</v>
      </c>
      <c r="L58" s="1906">
        <f ca="1">ROUND(POWER(1+L52,L47-L48)*(POWER(1+L52,L48)-1)/(POWER(1+L52,L47)-1),4)</f>
        <v>0.99380000000000002</v>
      </c>
      <c r="O58" s="2396" t="s">
        <v>2382</v>
      </c>
      <c r="P58" s="2397" t="s">
        <v>2413</v>
      </c>
      <c r="Q58" s="2398">
        <f ca="1">L60</f>
        <v>0</v>
      </c>
      <c r="R58" s="2401" t="s">
        <v>2415</v>
      </c>
    </row>
    <row r="59" spans="1:18" s="2057" customFormat="1" ht="28.5" customHeight="1" thickBot="1">
      <c r="A59" s="1646" t="s">
        <v>1832</v>
      </c>
      <c r="B59" s="782" t="s">
        <v>660</v>
      </c>
      <c r="C59" s="53">
        <f ca="1">ROUND(C47*F59/1.05,1)</f>
        <v>0</v>
      </c>
      <c r="D59" s="2637" t="s">
        <v>1757</v>
      </c>
      <c r="E59" s="782" t="s">
        <v>1748</v>
      </c>
      <c r="F59" s="807">
        <f t="shared" ref="F59:F65" si="0">F32</f>
        <v>5.5000000000000007E-2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6">
        <f ca="1">ROUND(IF(D1="土地（套用方法）",POWER(1+L52,L47-(J51+'数据-取费表'!B20))*(POWER(1+L52,(J51+'数据-取费表'!B20))-1)/(POWER(1+L52,L47)-1),POWER(1+L52,L47-J51)*(POWER(1+L52,J51)-1)/(POWER(1+L52,L47)-1)),4)</f>
        <v>1.1116999999999999</v>
      </c>
      <c r="O59" s="2399" t="s">
        <v>2384</v>
      </c>
      <c r="P59" s="2397" t="s">
        <v>2414</v>
      </c>
      <c r="Q59" s="2398">
        <f>IF(L55="比较法",L49,IF(L55="基准地价",L50,0))</f>
        <v>0</v>
      </c>
      <c r="R59" s="2397" t="s">
        <v>2381</v>
      </c>
    </row>
    <row r="60" spans="1:18" s="2057" customFormat="1" ht="18" customHeight="1" thickBot="1">
      <c r="A60" s="1646" t="s">
        <v>1833</v>
      </c>
      <c r="B60" s="782" t="s">
        <v>1759</v>
      </c>
      <c r="C60" s="53">
        <f ca="1">IF(D60="按租金收入计税",ROUND(C47*F60,1),IF(D60="按房产原值计税",ROUND(C56*F60*0.7,1),INDIRECT("'数据-取费表'!Aj"&amp;$G$1)))</f>
        <v>0</v>
      </c>
      <c r="D60" s="2637"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9" t="s">
        <v>2385</v>
      </c>
      <c r="P60" s="2397" t="s">
        <v>2394</v>
      </c>
      <c r="Q60" s="2400">
        <f>L52</f>
        <v>0.05</v>
      </c>
      <c r="R60" s="2401"/>
    </row>
    <row r="61" spans="1:18" s="2057" customFormat="1" ht="18" customHeight="1" thickBot="1">
      <c r="A61" s="1649" t="s">
        <v>1834</v>
      </c>
      <c r="B61" s="339" t="s">
        <v>668</v>
      </c>
      <c r="C61" s="54">
        <f ca="1">ROUND(F61*F62/10000,1)</f>
        <v>0.6</v>
      </c>
      <c r="D61" s="812" t="s">
        <v>669</v>
      </c>
      <c r="E61" s="782" t="s">
        <v>670</v>
      </c>
      <c r="F61" s="638">
        <f t="shared" si="0"/>
        <v>1.5</v>
      </c>
      <c r="K61" s="2084"/>
      <c r="O61" s="2399" t="s">
        <v>2387</v>
      </c>
      <c r="P61" s="2397" t="s">
        <v>2395</v>
      </c>
      <c r="Q61" s="2398">
        <f ca="1">L58</f>
        <v>0.99380000000000002</v>
      </c>
      <c r="R61" s="2401" t="s">
        <v>2396</v>
      </c>
    </row>
    <row r="62" spans="1:18" s="2057" customFormat="1" ht="15.75" thickBot="1">
      <c r="A62" s="813"/>
      <c r="B62" s="791"/>
      <c r="C62" s="69"/>
      <c r="D62" s="814"/>
      <c r="E62" s="782" t="s">
        <v>674</v>
      </c>
      <c r="F62" s="783">
        <f t="shared" ca="1" si="0"/>
        <v>4052.0099999999998</v>
      </c>
      <c r="I62" s="3170" t="s">
        <v>2368</v>
      </c>
      <c r="J62" s="3171" t="s">
        <v>2369</v>
      </c>
      <c r="K62" s="3171" t="s">
        <v>2370</v>
      </c>
      <c r="L62" s="3171" t="s">
        <v>2351</v>
      </c>
      <c r="M62" s="3172" t="s">
        <v>2937</v>
      </c>
      <c r="O62" s="2399" t="s">
        <v>2389</v>
      </c>
      <c r="P62" s="2397" t="str">
        <f>K59</f>
        <v>建设期及建筑物耐用年限下的土地年期修正系数Kn</v>
      </c>
      <c r="Q62" s="2398">
        <f ca="1">L59</f>
        <v>1.1116999999999999</v>
      </c>
      <c r="R62" s="2401" t="s">
        <v>2398</v>
      </c>
    </row>
    <row r="63" spans="1:18" s="2057" customFormat="1" ht="15.75" thickBot="1">
      <c r="A63" s="1647" t="s">
        <v>1890</v>
      </c>
      <c r="B63" s="782" t="s">
        <v>676</v>
      </c>
      <c r="C63" s="53">
        <f ca="1">ROUND(C56*F63,1)</f>
        <v>43</v>
      </c>
      <c r="D63" s="2637" t="s">
        <v>1804</v>
      </c>
      <c r="E63" s="782" t="s">
        <v>1748</v>
      </c>
      <c r="F63" s="815">
        <f t="shared" ca="1" si="0"/>
        <v>1.4999999999999999E-2</v>
      </c>
      <c r="I63" s="3170" t="s">
        <v>2371</v>
      </c>
      <c r="J63" s="3171">
        <v>70</v>
      </c>
      <c r="K63" s="3171">
        <v>50</v>
      </c>
      <c r="L63" s="3171">
        <v>80</v>
      </c>
      <c r="M63" s="3173">
        <v>0.02</v>
      </c>
      <c r="O63" s="2396" t="s">
        <v>2392</v>
      </c>
      <c r="P63" s="2397" t="s">
        <v>2409</v>
      </c>
      <c r="Q63" s="2398">
        <f ca="1">Q57+Q58</f>
        <v>14713</v>
      </c>
      <c r="R63" s="2401" t="s">
        <v>2393</v>
      </c>
    </row>
    <row r="64" spans="1:18" s="2057" customFormat="1" ht="16.5" thickBot="1">
      <c r="A64" s="1647" t="s">
        <v>1891</v>
      </c>
      <c r="B64" s="782" t="s">
        <v>679</v>
      </c>
      <c r="C64" s="53">
        <f ca="1">ROUND(C55*F64,1)</f>
        <v>4.3</v>
      </c>
      <c r="D64" s="2637" t="s">
        <v>680</v>
      </c>
      <c r="E64" s="782" t="s">
        <v>1748</v>
      </c>
      <c r="F64" s="816">
        <f t="shared" ca="1" si="0"/>
        <v>1.5E-3</v>
      </c>
      <c r="I64" s="3170" t="s">
        <v>2372</v>
      </c>
      <c r="J64" s="3171">
        <v>50</v>
      </c>
      <c r="K64" s="3171">
        <v>35</v>
      </c>
      <c r="L64" s="3171">
        <v>60</v>
      </c>
      <c r="M64" s="844">
        <v>0</v>
      </c>
      <c r="O64" s="2402" t="s">
        <v>2416</v>
      </c>
      <c r="P64" s="1590"/>
      <c r="Q64" s="1602"/>
      <c r="R64" s="1590"/>
    </row>
    <row r="65" spans="1:18" s="2057" customFormat="1" ht="15.75" thickBot="1">
      <c r="A65" s="1647" t="s">
        <v>1892</v>
      </c>
      <c r="B65" s="782" t="s">
        <v>666</v>
      </c>
      <c r="C65" s="53">
        <f ca="1">ROUND(C47*F65,1)</f>
        <v>0</v>
      </c>
      <c r="D65" s="2637" t="s">
        <v>683</v>
      </c>
      <c r="E65" s="782" t="s">
        <v>1748</v>
      </c>
      <c r="F65" s="792">
        <f t="shared" ca="1" si="0"/>
        <v>0.01</v>
      </c>
      <c r="I65" s="3170" t="s">
        <v>2373</v>
      </c>
      <c r="J65" s="3171">
        <v>40</v>
      </c>
      <c r="K65" s="3171">
        <v>30</v>
      </c>
      <c r="L65" s="3171">
        <v>50</v>
      </c>
      <c r="M65" s="3173">
        <v>0.02</v>
      </c>
      <c r="O65" s="2393" t="s">
        <v>2376</v>
      </c>
      <c r="P65" s="2394" t="s">
        <v>2377</v>
      </c>
      <c r="Q65" s="2395" t="s">
        <v>2378</v>
      </c>
      <c r="R65" s="2394" t="s">
        <v>2379</v>
      </c>
    </row>
    <row r="66" spans="1:18" s="2057" customFormat="1" ht="24.75" thickBot="1">
      <c r="A66" s="795" t="s">
        <v>1777</v>
      </c>
      <c r="B66" s="3008" t="s">
        <v>2823</v>
      </c>
      <c r="C66" s="797">
        <f ca="1">C47-C57</f>
        <v>-48</v>
      </c>
      <c r="D66" s="2636" t="s">
        <v>700</v>
      </c>
      <c r="E66" s="2635"/>
      <c r="F66" s="818"/>
      <c r="K66" s="2084"/>
      <c r="O66" s="2396" t="s">
        <v>2380</v>
      </c>
      <c r="P66" s="2397" t="s">
        <v>2410</v>
      </c>
      <c r="Q66" s="2398">
        <f ca="1">C40+J29</f>
        <v>14713</v>
      </c>
      <c r="R66" s="2397" t="s">
        <v>2381</v>
      </c>
    </row>
    <row r="67" spans="1:18" s="2057" customFormat="1" ht="20.25" thickBot="1">
      <c r="A67" s="779" t="s">
        <v>1781</v>
      </c>
      <c r="B67" s="2230" t="s">
        <v>2302</v>
      </c>
      <c r="C67" s="781">
        <f ca="1">ROUND(C66*(1-((1+F69)/(1+F67))^F68)/(F67-F69),0)</f>
        <v>-747</v>
      </c>
      <c r="D67" s="812" t="s">
        <v>704</v>
      </c>
      <c r="E67" s="782" t="s">
        <v>705</v>
      </c>
      <c r="F67" s="792">
        <f ca="1">F40</f>
        <v>5.5E-2</v>
      </c>
      <c r="K67" s="2084"/>
      <c r="O67" s="2396" t="s">
        <v>2382</v>
      </c>
      <c r="P67" s="2397" t="s">
        <v>2413</v>
      </c>
      <c r="Q67" s="2398">
        <f ca="1">L60</f>
        <v>0</v>
      </c>
      <c r="R67" s="2401" t="s">
        <v>2415</v>
      </c>
    </row>
    <row r="68" spans="1:18" ht="21.75" thickBot="1">
      <c r="A68" s="784"/>
      <c r="B68" s="785"/>
      <c r="C68" s="786"/>
      <c r="D68" s="819" t="s">
        <v>1809</v>
      </c>
      <c r="E68" s="782" t="s">
        <v>1785</v>
      </c>
      <c r="F68" s="820">
        <f ca="1">F41</f>
        <v>36.25</v>
      </c>
      <c r="O68" s="2399" t="s">
        <v>2384</v>
      </c>
      <c r="P68" s="2397" t="s">
        <v>2414</v>
      </c>
      <c r="Q68" s="2403">
        <f ca="1">L51</f>
        <v>5138</v>
      </c>
      <c r="R68" s="2404" t="s">
        <v>2417</v>
      </c>
    </row>
    <row r="69" spans="1:18" ht="20.25" thickBot="1">
      <c r="A69" s="788"/>
      <c r="B69" s="789"/>
      <c r="C69" s="790"/>
      <c r="D69" s="814"/>
      <c r="E69" s="782" t="s">
        <v>710</v>
      </c>
      <c r="F69" s="2369"/>
      <c r="O69" s="2399" t="s">
        <v>2385</v>
      </c>
      <c r="P69" s="2405" t="s">
        <v>2399</v>
      </c>
      <c r="Q69" s="2398">
        <f ca="1">ROUND(Q70-Q71*Q72,0)</f>
        <v>301</v>
      </c>
      <c r="R69" s="2401"/>
    </row>
    <row r="70" spans="1:18" ht="15.75" thickBot="1">
      <c r="A70" s="821" t="s">
        <v>1788</v>
      </c>
      <c r="B70" s="822" t="s">
        <v>1811</v>
      </c>
      <c r="C70" s="823">
        <f ca="1">ROUND(C67*10000/F70,0)</f>
        <v>-1003</v>
      </c>
      <c r="D70" s="824" t="s">
        <v>1812</v>
      </c>
      <c r="E70" s="825" t="s">
        <v>1813</v>
      </c>
      <c r="F70" s="826">
        <f ca="1">F43</f>
        <v>7450</v>
      </c>
      <c r="O70" s="2399" t="s">
        <v>2400</v>
      </c>
      <c r="P70" s="2405" t="s">
        <v>2401</v>
      </c>
      <c r="Q70" s="2398">
        <f ca="1">C39</f>
        <v>545</v>
      </c>
      <c r="R70" s="2397" t="s">
        <v>2381</v>
      </c>
    </row>
    <row r="71" spans="1:18" ht="15.75" thickBot="1">
      <c r="O71" s="2399" t="s">
        <v>2402</v>
      </c>
      <c r="P71" s="2405" t="s">
        <v>2403</v>
      </c>
      <c r="Q71" s="2398">
        <f ca="1">C13</f>
        <v>2867</v>
      </c>
      <c r="R71" s="2397" t="s">
        <v>2381</v>
      </c>
    </row>
    <row r="72" spans="1:18" ht="15.75" thickBot="1">
      <c r="O72" s="2399" t="s">
        <v>2404</v>
      </c>
      <c r="P72" s="2405" t="s">
        <v>2405</v>
      </c>
      <c r="Q72" s="2400">
        <f ca="1">J36</f>
        <v>8.5000000000000006E-2</v>
      </c>
      <c r="R72" s="2401"/>
    </row>
    <row r="73" spans="1:18" ht="15.75" thickBot="1">
      <c r="O73" s="2399" t="s">
        <v>2387</v>
      </c>
      <c r="P73" s="2397" t="s">
        <v>2394</v>
      </c>
      <c r="Q73" s="2400">
        <f>L52</f>
        <v>0.05</v>
      </c>
      <c r="R73" s="2401"/>
    </row>
    <row r="74" spans="1:18" ht="20.25" thickBot="1">
      <c r="O74" s="2399" t="s">
        <v>2389</v>
      </c>
      <c r="P74" s="2397" t="s">
        <v>2395</v>
      </c>
      <c r="Q74" s="2398">
        <f ca="1">L58</f>
        <v>0.99380000000000002</v>
      </c>
      <c r="R74" s="2401" t="s">
        <v>2396</v>
      </c>
    </row>
    <row r="75" spans="1:18" ht="15.75" thickBot="1">
      <c r="O75" s="2399" t="s">
        <v>2418</v>
      </c>
      <c r="P75" s="2397" t="str">
        <f>K59</f>
        <v>建设期及建筑物耐用年限下的土地年期修正系数Kn</v>
      </c>
      <c r="Q75" s="2398">
        <f ca="1">L59</f>
        <v>1.1116999999999999</v>
      </c>
      <c r="R75" s="2401" t="s">
        <v>2398</v>
      </c>
    </row>
    <row r="76" spans="1:18" ht="15.75" thickBot="1">
      <c r="O76" s="2396" t="s">
        <v>2392</v>
      </c>
      <c r="P76" s="2397" t="s">
        <v>2409</v>
      </c>
      <c r="Q76" s="2398">
        <f ca="1">Q66+Q67</f>
        <v>14713</v>
      </c>
      <c r="R76" s="240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6" t="s">
        <v>2472</v>
      </c>
      <c r="B1" s="3457"/>
      <c r="C1" s="3458"/>
      <c r="D1" s="3459">
        <f>SUM(I10,I15,I20,I21,I23)</f>
        <v>0</v>
      </c>
      <c r="E1" s="3459"/>
      <c r="F1" s="3459"/>
      <c r="G1" s="3459"/>
      <c r="H1" s="3459"/>
      <c r="I1" s="3460"/>
    </row>
    <row r="2" spans="1:9">
      <c r="A2" s="3461" t="s">
        <v>2473</v>
      </c>
      <c r="B2" s="3462" t="s">
        <v>2474</v>
      </c>
      <c r="C2" s="3462"/>
      <c r="D2" s="2505" t="s">
        <v>2475</v>
      </c>
      <c r="E2" s="2505" t="s">
        <v>2476</v>
      </c>
      <c r="F2" s="2505" t="s">
        <v>2477</v>
      </c>
      <c r="G2" s="2505" t="s">
        <v>2478</v>
      </c>
      <c r="H2" s="2505" t="s">
        <v>2479</v>
      </c>
      <c r="I2" s="2506" t="s">
        <v>2480</v>
      </c>
    </row>
    <row r="3" spans="1:9">
      <c r="A3" s="3461"/>
      <c r="B3" s="3462" t="s">
        <v>2481</v>
      </c>
      <c r="C3" s="3462"/>
      <c r="D3" s="2507"/>
      <c r="E3" s="2505"/>
      <c r="F3" s="2508"/>
      <c r="G3" s="2508"/>
      <c r="H3" s="2509"/>
      <c r="I3" s="2510">
        <f>ROUND(D3*E3*F3*G3*H3/10000,0)</f>
        <v>0</v>
      </c>
    </row>
    <row r="4" spans="1:9">
      <c r="A4" s="3461"/>
      <c r="B4" s="3462" t="s">
        <v>2482</v>
      </c>
      <c r="C4" s="3462"/>
      <c r="D4" s="2507"/>
      <c r="E4" s="2505"/>
      <c r="F4" s="2508"/>
      <c r="G4" s="2508"/>
      <c r="H4" s="2509"/>
      <c r="I4" s="2510">
        <f t="shared" ref="I4:I9" si="0">ROUND(D4*E4*F4*G4*H4/10000,0)</f>
        <v>0</v>
      </c>
    </row>
    <row r="5" spans="1:9">
      <c r="A5" s="3461"/>
      <c r="B5" s="3462" t="s">
        <v>2483</v>
      </c>
      <c r="C5" s="3462"/>
      <c r="D5" s="2507"/>
      <c r="E5" s="2505"/>
      <c r="F5" s="2508"/>
      <c r="G5" s="2508"/>
      <c r="H5" s="2509"/>
      <c r="I5" s="2510">
        <f t="shared" si="0"/>
        <v>0</v>
      </c>
    </row>
    <row r="6" spans="1:9">
      <c r="A6" s="3461"/>
      <c r="B6" s="3462" t="s">
        <v>2484</v>
      </c>
      <c r="C6" s="3462"/>
      <c r="D6" s="2507"/>
      <c r="E6" s="2505"/>
      <c r="F6" s="2508"/>
      <c r="G6" s="2508"/>
      <c r="H6" s="2509"/>
      <c r="I6" s="2510">
        <f t="shared" si="0"/>
        <v>0</v>
      </c>
    </row>
    <row r="7" spans="1:9">
      <c r="A7" s="3461"/>
      <c r="B7" s="3462" t="s">
        <v>2485</v>
      </c>
      <c r="C7" s="3462"/>
      <c r="D7" s="2507"/>
      <c r="E7" s="2505"/>
      <c r="F7" s="2508"/>
      <c r="G7" s="2508"/>
      <c r="H7" s="2509"/>
      <c r="I7" s="2510">
        <f t="shared" si="0"/>
        <v>0</v>
      </c>
    </row>
    <row r="8" spans="1:9">
      <c r="A8" s="3461"/>
      <c r="B8" s="3462" t="s">
        <v>2486</v>
      </c>
      <c r="C8" s="3462"/>
      <c r="D8" s="2507"/>
      <c r="E8" s="2505"/>
      <c r="F8" s="2508"/>
      <c r="G8" s="2508"/>
      <c r="H8" s="2509"/>
      <c r="I8" s="2510">
        <f t="shared" si="0"/>
        <v>0</v>
      </c>
    </row>
    <row r="9" spans="1:9">
      <c r="A9" s="3461"/>
      <c r="B9" s="3462" t="s">
        <v>2487</v>
      </c>
      <c r="C9" s="3462"/>
      <c r="D9" s="2507"/>
      <c r="E9" s="2505"/>
      <c r="F9" s="2508"/>
      <c r="G9" s="2508"/>
      <c r="H9" s="2509"/>
      <c r="I9" s="2510">
        <f t="shared" si="0"/>
        <v>0</v>
      </c>
    </row>
    <row r="10" spans="1:9">
      <c r="A10" s="3461"/>
      <c r="B10" s="3463" t="s">
        <v>2488</v>
      </c>
      <c r="C10" s="3463"/>
      <c r="D10" s="2511">
        <v>527</v>
      </c>
      <c r="E10" s="2511" t="e">
        <f>ROUND(D1*10000/D10/H9,0)</f>
        <v>#DIV/0!</v>
      </c>
      <c r="F10" s="2512"/>
      <c r="G10" s="2512"/>
      <c r="H10" s="2513"/>
      <c r="I10" s="2514">
        <f>SUM(I3:I9)</f>
        <v>0</v>
      </c>
    </row>
    <row r="11" spans="1:9" ht="14.25">
      <c r="A11" s="3461" t="s">
        <v>2489</v>
      </c>
      <c r="B11" s="3462" t="s">
        <v>2490</v>
      </c>
      <c r="C11" s="3462"/>
      <c r="D11" s="2507" t="s">
        <v>2491</v>
      </c>
      <c r="E11" s="2507" t="s">
        <v>2492</v>
      </c>
      <c r="F11" s="2508" t="s">
        <v>2493</v>
      </c>
      <c r="G11" s="2508" t="s">
        <v>2494</v>
      </c>
      <c r="H11" s="2515" t="s">
        <v>2495</v>
      </c>
      <c r="I11" s="2506" t="s">
        <v>2496</v>
      </c>
    </row>
    <row r="12" spans="1:9">
      <c r="A12" s="3461"/>
      <c r="B12" s="3462" t="s">
        <v>2497</v>
      </c>
      <c r="C12" s="3462"/>
      <c r="D12" s="2507"/>
      <c r="E12" s="2507"/>
      <c r="F12" s="2508"/>
      <c r="G12" s="2509"/>
      <c r="H12" s="2516"/>
      <c r="I12" s="2506">
        <f>ROUND(D12*E12*F12*G12/10000,0)</f>
        <v>0</v>
      </c>
    </row>
    <row r="13" spans="1:9">
      <c r="A13" s="3461"/>
      <c r="B13" s="3462" t="s">
        <v>2498</v>
      </c>
      <c r="C13" s="3462"/>
      <c r="D13" s="2507"/>
      <c r="E13" s="2507"/>
      <c r="F13" s="2508"/>
      <c r="G13" s="2509"/>
      <c r="H13" s="2516"/>
      <c r="I13" s="2506">
        <f>ROUND(D13*E13*F13*G13/10000,0)</f>
        <v>0</v>
      </c>
    </row>
    <row r="14" spans="1:9">
      <c r="A14" s="3461"/>
      <c r="B14" s="3462" t="s">
        <v>2499</v>
      </c>
      <c r="C14" s="3462"/>
      <c r="D14" s="2507"/>
      <c r="E14" s="2507"/>
      <c r="F14" s="2508"/>
      <c r="G14" s="2509"/>
      <c r="H14" s="2516"/>
      <c r="I14" s="2506">
        <f>ROUND(D14*E14*F14*G14/10000,0)</f>
        <v>0</v>
      </c>
    </row>
    <row r="15" spans="1:9">
      <c r="A15" s="3461"/>
      <c r="B15" s="3463" t="s">
        <v>2488</v>
      </c>
      <c r="C15" s="3463"/>
      <c r="D15" s="2511"/>
      <c r="E15" s="2511">
        <f>SUM(E12:E14)</f>
        <v>0</v>
      </c>
      <c r="F15" s="2512"/>
      <c r="G15" s="2509"/>
      <c r="H15" s="2516"/>
      <c r="I15" s="2517">
        <f>SUM(I12:I14)</f>
        <v>0</v>
      </c>
    </row>
    <row r="16" spans="1:9" ht="24">
      <c r="A16" s="3461" t="s">
        <v>2500</v>
      </c>
      <c r="B16" s="3462" t="s">
        <v>2501</v>
      </c>
      <c r="C16" s="3462"/>
      <c r="D16" s="2507" t="s">
        <v>2502</v>
      </c>
      <c r="E16" s="2518" t="s">
        <v>2503</v>
      </c>
      <c r="F16" s="2508" t="s">
        <v>2504</v>
      </c>
      <c r="G16" s="2509" t="s">
        <v>2494</v>
      </c>
      <c r="H16" s="2515" t="s">
        <v>2495</v>
      </c>
      <c r="I16" s="2506" t="s">
        <v>2496</v>
      </c>
    </row>
    <row r="17" spans="1:9" ht="14.25">
      <c r="A17" s="3461"/>
      <c r="B17" s="3462" t="s">
        <v>2505</v>
      </c>
      <c r="C17" s="3462"/>
      <c r="D17" s="2507"/>
      <c r="E17" s="2507"/>
      <c r="F17" s="2508"/>
      <c r="G17" s="2509"/>
      <c r="H17" s="2519"/>
      <c r="I17" s="2520">
        <f>ROUND(D17*E17*F17*G17/10000,0)</f>
        <v>0</v>
      </c>
    </row>
    <row r="18" spans="1:9" ht="14.25">
      <c r="A18" s="3461"/>
      <c r="B18" s="3462" t="s">
        <v>2506</v>
      </c>
      <c r="C18" s="3462"/>
      <c r="D18" s="2507"/>
      <c r="E18" s="2507"/>
      <c r="F18" s="2508"/>
      <c r="G18" s="2509"/>
      <c r="H18" s="2519"/>
      <c r="I18" s="2520">
        <f>ROUND(D18*E18*F18*G18/10000,0)</f>
        <v>0</v>
      </c>
    </row>
    <row r="19" spans="1:9" ht="14.25">
      <c r="A19" s="3461"/>
      <c r="B19" s="3462" t="s">
        <v>2507</v>
      </c>
      <c r="C19" s="3462"/>
      <c r="D19" s="2507"/>
      <c r="E19" s="2507"/>
      <c r="F19" s="2508"/>
      <c r="G19" s="2509"/>
      <c r="H19" s="2519"/>
      <c r="I19" s="2520">
        <f>ROUND(D19*E19*F19*G19/10000,0)</f>
        <v>0</v>
      </c>
    </row>
    <row r="20" spans="1:9">
      <c r="A20" s="3461"/>
      <c r="B20" s="3463" t="s">
        <v>2488</v>
      </c>
      <c r="C20" s="3463"/>
      <c r="D20" s="2511">
        <f>SUM(D17:D19)</f>
        <v>0</v>
      </c>
      <c r="E20" s="2511"/>
      <c r="F20" s="2512"/>
      <c r="G20" s="2509"/>
      <c r="H20" s="2516"/>
      <c r="I20" s="2517">
        <f>SUM(I17:I19)</f>
        <v>0</v>
      </c>
    </row>
    <row r="21" spans="1:9">
      <c r="A21" s="3461" t="s">
        <v>2508</v>
      </c>
      <c r="B21" s="3465"/>
      <c r="C21" s="3465"/>
      <c r="D21" s="3465"/>
      <c r="E21" s="3465"/>
      <c r="F21" s="3465"/>
      <c r="G21" s="3465"/>
      <c r="H21" s="2521">
        <v>0.1</v>
      </c>
      <c r="I21" s="2514">
        <f>ROUND(I10*H21,0)</f>
        <v>0</v>
      </c>
    </row>
    <row r="22" spans="1:9" ht="14.25">
      <c r="A22" s="3466" t="s">
        <v>2509</v>
      </c>
      <c r="B22" s="3467"/>
      <c r="C22" s="3468"/>
      <c r="D22" s="2522" t="s">
        <v>2510</v>
      </c>
      <c r="E22" s="2522" t="s">
        <v>2511</v>
      </c>
      <c r="F22" s="2523" t="s">
        <v>2512</v>
      </c>
      <c r="G22" s="2523" t="s">
        <v>2513</v>
      </c>
      <c r="H22" s="2515" t="s">
        <v>2514</v>
      </c>
      <c r="I22" s="2506" t="s">
        <v>2515</v>
      </c>
    </row>
    <row r="23" spans="1:9" ht="14.25" thickBot="1">
      <c r="A23" s="3469"/>
      <c r="B23" s="3470"/>
      <c r="C23" s="3471"/>
      <c r="D23" s="2524"/>
      <c r="E23" s="2524"/>
      <c r="F23" s="2524"/>
      <c r="G23" s="2525"/>
      <c r="H23" s="2526"/>
      <c r="I23" s="2527">
        <f>ROUND(E23*D23*F23*(1-G23)/10000,0)</f>
        <v>0</v>
      </c>
    </row>
    <row r="26" spans="1:9">
      <c r="A26" s="2528" t="s">
        <v>2516</v>
      </c>
      <c r="B26" s="2528"/>
      <c r="C26" s="2528"/>
      <c r="D26" s="2528"/>
      <c r="E26" s="3472">
        <f>C27-C30-C31-C32</f>
        <v>0</v>
      </c>
      <c r="F26" s="3472"/>
      <c r="G26" s="3472"/>
      <c r="H26" s="3040" t="s">
        <v>2844</v>
      </c>
    </row>
    <row r="27" spans="1:9">
      <c r="A27" s="2529">
        <v>1</v>
      </c>
      <c r="B27" s="2530" t="s">
        <v>2517</v>
      </c>
      <c r="C27" s="2530"/>
      <c r="D27" s="2530"/>
      <c r="E27" s="3473"/>
      <c r="F27" s="3473"/>
      <c r="G27" s="3473"/>
    </row>
    <row r="28" spans="1:9">
      <c r="A28" s="2531" t="s">
        <v>2518</v>
      </c>
      <c r="B28" s="2530" t="s">
        <v>2519</v>
      </c>
      <c r="C28" s="2530"/>
      <c r="D28" s="2530"/>
      <c r="E28" s="3473"/>
      <c r="F28" s="3473"/>
      <c r="G28" s="3473"/>
    </row>
    <row r="29" spans="1:9">
      <c r="A29" s="2531" t="s">
        <v>2520</v>
      </c>
      <c r="B29" s="2530" t="s">
        <v>2461</v>
      </c>
      <c r="C29" s="2530"/>
      <c r="D29" s="2530"/>
      <c r="E29" s="2530" t="s">
        <v>2521</v>
      </c>
      <c r="F29" s="2530"/>
      <c r="G29" s="2530"/>
    </row>
    <row r="30" spans="1:9">
      <c r="A30" s="2529">
        <v>2</v>
      </c>
      <c r="B30" s="2530" t="s">
        <v>2522</v>
      </c>
      <c r="C30" s="2530">
        <f>C27*D30</f>
        <v>0</v>
      </c>
      <c r="D30" s="2532">
        <v>0.2</v>
      </c>
      <c r="E30" s="2530" t="s">
        <v>2523</v>
      </c>
      <c r="F30" s="2530"/>
      <c r="G30" s="2530"/>
    </row>
    <row r="31" spans="1:9">
      <c r="A31" s="2529">
        <v>3</v>
      </c>
      <c r="B31" s="2530" t="s">
        <v>2524</v>
      </c>
      <c r="C31" s="2530">
        <f>C25*D31</f>
        <v>0</v>
      </c>
      <c r="D31" s="2532">
        <v>0.15</v>
      </c>
      <c r="E31" s="2530" t="s">
        <v>2525</v>
      </c>
      <c r="F31" s="2530"/>
      <c r="G31" s="2530"/>
    </row>
    <row r="32" spans="1:9">
      <c r="A32" s="2529">
        <v>4</v>
      </c>
      <c r="B32" s="2530" t="s">
        <v>2526</v>
      </c>
      <c r="C32" s="2530">
        <f>C27*D32</f>
        <v>0</v>
      </c>
      <c r="D32" s="2532">
        <v>0.05</v>
      </c>
      <c r="E32" s="3464"/>
      <c r="F32" s="3464"/>
      <c r="G32" s="3464"/>
    </row>
    <row r="33" spans="1:7" hidden="1">
      <c r="A33" s="3474" t="s">
        <v>2527</v>
      </c>
      <c r="B33" s="3475"/>
      <c r="C33" s="3475"/>
      <c r="D33" s="3476"/>
      <c r="E33" s="3472"/>
      <c r="F33" s="3472"/>
      <c r="G33" s="3472"/>
    </row>
    <row r="34" spans="1:7" hidden="1">
      <c r="A34" s="2533">
        <v>1</v>
      </c>
      <c r="B34" s="2530" t="s">
        <v>2528</v>
      </c>
      <c r="C34" s="2530"/>
      <c r="D34" s="2530"/>
      <c r="E34" s="3473"/>
      <c r="F34" s="3473"/>
      <c r="G34" s="3473"/>
    </row>
    <row r="35" spans="1:7" hidden="1">
      <c r="A35" s="2533">
        <v>2</v>
      </c>
      <c r="B35" s="2530" t="s">
        <v>2529</v>
      </c>
      <c r="C35" s="2530"/>
      <c r="D35" s="2530"/>
      <c r="E35" s="3473"/>
      <c r="F35" s="3473"/>
      <c r="G35" s="3473"/>
    </row>
    <row r="36" spans="1:7" hidden="1">
      <c r="A36" s="2533">
        <v>3</v>
      </c>
      <c r="B36" s="2530" t="s">
        <v>2530</v>
      </c>
      <c r="C36" s="2530"/>
      <c r="D36" s="2530"/>
      <c r="E36" s="3473"/>
      <c r="F36" s="3473"/>
      <c r="G36" s="3473"/>
    </row>
    <row r="37" spans="1:7" hidden="1">
      <c r="A37" s="2533">
        <v>4</v>
      </c>
      <c r="B37" s="2530" t="s">
        <v>2531</v>
      </c>
      <c r="C37" s="2530"/>
      <c r="D37" s="2530"/>
      <c r="E37" s="3473"/>
      <c r="F37" s="3473"/>
      <c r="G37" s="3473"/>
    </row>
    <row r="38" spans="1:7" hidden="1">
      <c r="A38" s="3474" t="s">
        <v>2532</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2441</v>
      </c>
      <c r="B8" s="2470" t="s">
        <v>2443</v>
      </c>
      <c r="C8" s="2471"/>
      <c r="D8" s="747"/>
      <c r="E8" s="748"/>
      <c r="F8" s="748"/>
      <c r="G8" s="749"/>
    </row>
    <row r="9" spans="1:25" s="2181" customFormat="1" ht="13.5" customHeight="1">
      <c r="A9" s="2467" t="s">
        <v>2442</v>
      </c>
      <c r="B9" s="2470" t="s">
        <v>2444</v>
      </c>
      <c r="C9" s="2471"/>
      <c r="D9" s="747"/>
      <c r="E9" s="748"/>
      <c r="F9" s="748"/>
      <c r="G9" s="749"/>
    </row>
    <row r="10" spans="1:25" s="2181" customFormat="1" ht="36">
      <c r="A10" s="2467">
        <v>2</v>
      </c>
      <c r="B10" s="746" t="s">
        <v>613</v>
      </c>
      <c r="C10" s="747">
        <f>C11+C14+C15</f>
        <v>0</v>
      </c>
      <c r="D10" s="758">
        <f>'数据-汇总表'!E3</f>
        <v>165129.68</v>
      </c>
      <c r="E10" s="747">
        <f>'数据-取费表'!B31</f>
        <v>150</v>
      </c>
      <c r="F10" s="759"/>
      <c r="G10" s="757" t="s">
        <v>614</v>
      </c>
    </row>
    <row r="11" spans="1:25" s="2181" customFormat="1" ht="13.5" customHeight="1">
      <c r="A11" s="2467" t="s">
        <v>2441</v>
      </c>
      <c r="B11" s="750" t="s">
        <v>610</v>
      </c>
      <c r="C11" s="751">
        <f>'数据-取费表'!B29</f>
        <v>0</v>
      </c>
      <c r="D11" s="752"/>
      <c r="E11" s="751"/>
      <c r="F11" s="753"/>
      <c r="G11" s="2476" t="s">
        <v>2452</v>
      </c>
    </row>
    <row r="12" spans="1:25" s="2181" customFormat="1" ht="13.5" customHeight="1">
      <c r="A12" s="2474" t="s">
        <v>2449</v>
      </c>
      <c r="B12" s="754" t="s">
        <v>611</v>
      </c>
      <c r="C12" s="755">
        <f>ROUND(D12*E12/10000,0)</f>
        <v>1268</v>
      </c>
      <c r="D12" s="756">
        <f>'数据-汇总表'!E5</f>
        <v>90547</v>
      </c>
      <c r="E12" s="755">
        <f>'数据-取费表'!B27</f>
        <v>140</v>
      </c>
      <c r="F12" s="753"/>
      <c r="G12" s="757"/>
    </row>
    <row r="13" spans="1:25" s="2181" customFormat="1" ht="13.5" customHeight="1">
      <c r="A13" s="2474" t="s">
        <v>2448</v>
      </c>
      <c r="B13" s="754" t="s">
        <v>612</v>
      </c>
      <c r="C13" s="755">
        <f>ROUND(D13*E13/10000,0)</f>
        <v>1268</v>
      </c>
      <c r="D13" s="756">
        <f>'数据-汇总表'!E6</f>
        <v>74582.679999999993</v>
      </c>
      <c r="E13" s="755">
        <f>'数据-取费表'!B28</f>
        <v>170</v>
      </c>
      <c r="F13" s="753"/>
      <c r="G13" s="757"/>
    </row>
    <row r="14" spans="1:25" s="2181" customFormat="1" ht="13.5" customHeight="1">
      <c r="A14" s="2467" t="s">
        <v>2442</v>
      </c>
      <c r="B14" s="2473" t="s">
        <v>2445</v>
      </c>
      <c r="C14" s="2471"/>
      <c r="D14" s="756"/>
      <c r="E14" s="755"/>
      <c r="F14" s="2472"/>
      <c r="G14" s="2475" t="s">
        <v>2450</v>
      </c>
    </row>
    <row r="15" spans="1:25" s="2181" customFormat="1" ht="13.5" customHeight="1">
      <c r="A15" s="2467" t="s">
        <v>2447</v>
      </c>
      <c r="B15" s="2473" t="s">
        <v>2446</v>
      </c>
      <c r="C15" s="2471"/>
      <c r="D15" s="756"/>
      <c r="E15" s="755"/>
      <c r="F15" s="2472"/>
      <c r="G15" s="2475" t="s">
        <v>2451</v>
      </c>
    </row>
    <row r="16" spans="1:25" s="2182" customFormat="1" ht="48">
      <c r="A16" s="2467">
        <v>3</v>
      </c>
      <c r="B16" s="746" t="s">
        <v>615</v>
      </c>
      <c r="C16" s="2471"/>
      <c r="D16" s="758"/>
      <c r="E16" s="747"/>
      <c r="F16" s="759"/>
      <c r="G16" s="757"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0.03</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0.92400000000000004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1" t="s">
        <v>719</v>
      </c>
      <c r="C1" s="2622" t="s">
        <v>720</v>
      </c>
      <c r="D1" s="2623"/>
      <c r="E1" s="262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467</v>
      </c>
      <c r="B2" s="2620" t="e">
        <f>ROUND(B3*D3/10000,0)</f>
        <v>#DIV/0!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521</v>
      </c>
      <c r="B4" s="511"/>
      <c r="C4" s="3368" t="s">
        <v>522</v>
      </c>
      <c r="D4" s="3369"/>
      <c r="E4" s="3405" t="s">
        <v>523</v>
      </c>
      <c r="F4" s="3406"/>
      <c r="G4" s="3368" t="s">
        <v>524</v>
      </c>
      <c r="H4" s="3369"/>
      <c r="I4" s="3368" t="s">
        <v>525</v>
      </c>
      <c r="J4" s="3369"/>
      <c r="K4" s="851" t="s">
        <v>526</v>
      </c>
      <c r="L4" s="2131"/>
      <c r="M4" s="2132"/>
      <c r="N4" s="2132"/>
      <c r="O4" s="2132"/>
      <c r="P4" s="3370" t="s">
        <v>527</v>
      </c>
      <c r="Q4" s="3371"/>
      <c r="R4" s="3376" t="s">
        <v>523</v>
      </c>
      <c r="S4" s="3377"/>
      <c r="T4" s="3376" t="s">
        <v>524</v>
      </c>
      <c r="U4" s="3377"/>
      <c r="V4" s="3363" t="s">
        <v>525</v>
      </c>
      <c r="W4" s="3363"/>
      <c r="X4" s="1565"/>
      <c r="Y4" s="3376" t="s">
        <v>527</v>
      </c>
      <c r="Z4" s="3377"/>
      <c r="AA4" s="3365" t="s">
        <v>523</v>
      </c>
      <c r="AB4" s="3365" t="s">
        <v>524</v>
      </c>
      <c r="AC4" s="3365" t="s">
        <v>525</v>
      </c>
    </row>
    <row r="5" spans="1:29" ht="15">
      <c r="A5" s="513"/>
      <c r="B5" s="514"/>
      <c r="C5" s="3386" t="s">
        <v>2922</v>
      </c>
      <c r="D5" s="3385"/>
      <c r="E5" s="3407" t="s">
        <v>2923</v>
      </c>
      <c r="F5" s="3408"/>
      <c r="G5" s="3386" t="s">
        <v>2924</v>
      </c>
      <c r="H5" s="3385"/>
      <c r="I5" s="3386" t="s">
        <v>2925</v>
      </c>
      <c r="J5" s="3385"/>
      <c r="K5" s="852"/>
      <c r="L5" s="2131"/>
      <c r="M5" s="2132"/>
      <c r="N5" s="2132"/>
      <c r="O5" s="2132"/>
      <c r="P5" s="3372"/>
      <c r="Q5" s="3373"/>
      <c r="R5" s="3378"/>
      <c r="S5" s="3379"/>
      <c r="T5" s="3378"/>
      <c r="U5" s="3379"/>
      <c r="V5" s="3363"/>
      <c r="W5" s="3363"/>
      <c r="X5" s="1565"/>
      <c r="Y5" s="3378"/>
      <c r="Z5" s="3379"/>
      <c r="AA5" s="3366"/>
      <c r="AB5" s="3366"/>
      <c r="AC5" s="3366"/>
    </row>
    <row r="6" spans="1:29" ht="15.75" thickBot="1">
      <c r="A6" s="515"/>
      <c r="B6" s="516"/>
      <c r="C6" s="3402" t="s">
        <v>2926</v>
      </c>
      <c r="D6" s="3383"/>
      <c r="E6" s="3403" t="s">
        <v>2926</v>
      </c>
      <c r="F6" s="3404"/>
      <c r="G6" s="3402" t="s">
        <v>2926</v>
      </c>
      <c r="H6" s="3383"/>
      <c r="I6" s="3402" t="s">
        <v>2926</v>
      </c>
      <c r="J6" s="3383"/>
      <c r="K6" s="852" t="s">
        <v>528</v>
      </c>
      <c r="L6" s="2131"/>
      <c r="M6" s="2132"/>
      <c r="N6" s="2132"/>
      <c r="O6" s="2132"/>
      <c r="P6" s="3374"/>
      <c r="Q6" s="3375"/>
      <c r="R6" s="3378"/>
      <c r="S6" s="3379"/>
      <c r="T6" s="3380"/>
      <c r="U6" s="3381"/>
      <c r="V6" s="3363"/>
      <c r="W6" s="3363"/>
      <c r="X6" s="1565"/>
      <c r="Y6" s="3380"/>
      <c r="Z6" s="3381"/>
      <c r="AA6" s="3367"/>
      <c r="AB6" s="3367"/>
      <c r="AC6" s="3367"/>
    </row>
    <row r="7" spans="1:29" s="1218" customFormat="1" ht="15.75" thickBot="1">
      <c r="A7" s="2909"/>
      <c r="B7" s="2916" t="s">
        <v>529</v>
      </c>
      <c r="C7" s="517">
        <f>'数据-取费表'!B2</f>
        <v>43327</v>
      </c>
      <c r="D7" s="518">
        <v>100</v>
      </c>
      <c r="E7" s="519"/>
      <c r="F7" s="520">
        <f>SUMIF(58:58,YEAR(E7)&amp;"-"&amp;MONTH(E7),59:59)</f>
        <v>0</v>
      </c>
      <c r="G7" s="521"/>
      <c r="H7" s="518">
        <f>SUMIF(58:58,YEAR(G7)&amp;"-"&amp;MONTH(G7),59:59)</f>
        <v>0</v>
      </c>
      <c r="I7" s="521"/>
      <c r="J7" s="518">
        <f>SUMIF(58:58,YEAR(I7)&amp;"-"&amp;MONTH(I7),59:59)</f>
        <v>0</v>
      </c>
      <c r="K7" s="853"/>
      <c r="L7" s="2133"/>
      <c r="M7" s="2134"/>
      <c r="N7" s="2134"/>
      <c r="O7" s="2134"/>
      <c r="P7" s="3395" t="s">
        <v>530</v>
      </c>
      <c r="Q7" s="3397"/>
      <c r="R7" s="1566" t="s">
        <v>13</v>
      </c>
      <c r="S7" s="1567">
        <f t="shared" ref="S7:S15" si="0">F7</f>
        <v>0</v>
      </c>
      <c r="T7" s="1566" t="s">
        <v>13</v>
      </c>
      <c r="U7" s="1567">
        <f t="shared" ref="U7:U15" si="1">H7</f>
        <v>0</v>
      </c>
      <c r="V7" s="1566" t="s">
        <v>13</v>
      </c>
      <c r="W7" s="1567">
        <f t="shared" ref="W7:W15" si="2">J7</f>
        <v>0</v>
      </c>
      <c r="X7" s="1568"/>
      <c r="Y7" s="3395" t="s">
        <v>530</v>
      </c>
      <c r="Z7" s="3396"/>
      <c r="AA7" s="1569" t="e">
        <f>D7/F7</f>
        <v>#DIV/0!</v>
      </c>
      <c r="AB7" s="1569" t="e">
        <f>D7/H7</f>
        <v>#DIV/0!</v>
      </c>
      <c r="AC7" s="1569" t="e">
        <f>D7/J7</f>
        <v>#DIV/0!</v>
      </c>
    </row>
    <row r="8" spans="1:29" s="1218" customFormat="1" ht="15.75" thickBot="1">
      <c r="A8" s="2910"/>
      <c r="B8" s="2917" t="s">
        <v>531</v>
      </c>
      <c r="C8" s="523" t="s">
        <v>576</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395" t="s">
        <v>533</v>
      </c>
      <c r="Q8" s="3396"/>
      <c r="R8" s="1566" t="s">
        <v>13</v>
      </c>
      <c r="S8" s="1567">
        <f t="shared" si="0"/>
        <v>0</v>
      </c>
      <c r="T8" s="1566" t="s">
        <v>13</v>
      </c>
      <c r="U8" s="1567">
        <f t="shared" si="1"/>
        <v>0</v>
      </c>
      <c r="V8" s="1566" t="s">
        <v>13</v>
      </c>
      <c r="W8" s="1567">
        <f t="shared" si="2"/>
        <v>0</v>
      </c>
      <c r="X8" s="1568"/>
      <c r="Y8" s="3395" t="s">
        <v>533</v>
      </c>
      <c r="Z8" s="3396"/>
      <c r="AA8" s="1569" t="e">
        <f t="shared" ref="AA8:AA46" si="3">D8/F8</f>
        <v>#DIV/0!</v>
      </c>
      <c r="AB8" s="1569" t="e">
        <f t="shared" ref="AB8:AB46" si="4">D8/H8</f>
        <v>#DIV/0!</v>
      </c>
      <c r="AC8" s="1569" t="e">
        <f t="shared" ref="AC8:AC46" si="5">D8/J8</f>
        <v>#DIV/0!</v>
      </c>
    </row>
    <row r="9" spans="1:29" s="1218" customFormat="1" ht="15">
      <c r="A9" s="2911"/>
      <c r="B9" s="2918" t="s">
        <v>2757</v>
      </c>
      <c r="C9" s="855"/>
      <c r="D9" s="252">
        <v>100</v>
      </c>
      <c r="E9" s="856"/>
      <c r="F9" s="857">
        <f>SUMIF(63:63,E9,64:64)-SUMIF(63:63,C9,64:64)+100</f>
        <v>100</v>
      </c>
      <c r="G9" s="858"/>
      <c r="H9" s="252">
        <f>SUMIF(63:63,G9,64:64)-SUMIF(63:63,C9,64:64)+100</f>
        <v>100</v>
      </c>
      <c r="I9" s="858"/>
      <c r="J9" s="252">
        <f>SUMIF(63:63,I9,64:64)-SUMIF(63:63,C9,64:64)+100</f>
        <v>100</v>
      </c>
      <c r="K9" s="853"/>
      <c r="L9" s="2133"/>
      <c r="M9" s="2134"/>
      <c r="N9" s="2134"/>
      <c r="O9" s="2135"/>
      <c r="P9" s="3362" t="s">
        <v>535</v>
      </c>
      <c r="Q9" s="1149" t="str">
        <f t="shared" ref="Q9:Q15" si="6">B9</f>
        <v>用途</v>
      </c>
      <c r="R9" s="1566" t="s">
        <v>8</v>
      </c>
      <c r="S9" s="1567">
        <f t="shared" si="0"/>
        <v>100</v>
      </c>
      <c r="T9" s="1566" t="s">
        <v>8</v>
      </c>
      <c r="U9" s="1567">
        <f t="shared" si="1"/>
        <v>100</v>
      </c>
      <c r="V9" s="1566" t="s">
        <v>8</v>
      </c>
      <c r="W9" s="1567">
        <f t="shared" si="2"/>
        <v>100</v>
      </c>
      <c r="X9" s="1568"/>
      <c r="Y9" s="3308" t="s">
        <v>536</v>
      </c>
      <c r="Z9" s="1148" t="str">
        <f t="shared" ref="Z9:Z15" si="7">Q9</f>
        <v>用途</v>
      </c>
      <c r="AA9" s="1569">
        <f t="shared" si="3"/>
        <v>1</v>
      </c>
      <c r="AB9" s="1569">
        <f t="shared" si="4"/>
        <v>1</v>
      </c>
      <c r="AC9" s="1569">
        <f t="shared" si="5"/>
        <v>1</v>
      </c>
    </row>
    <row r="10" spans="1:29" s="1336" customFormat="1" ht="27">
      <c r="A10" s="2912"/>
      <c r="B10" s="2917" t="s">
        <v>2758</v>
      </c>
      <c r="C10" s="859"/>
      <c r="D10" s="253">
        <v>100</v>
      </c>
      <c r="E10" s="860"/>
      <c r="F10" s="861">
        <f>SUMIF(65:65,E10,66:66)-SUMIF(65:65,C10,66:66)+100</f>
        <v>100</v>
      </c>
      <c r="G10" s="859"/>
      <c r="H10" s="253">
        <f>SUMIF(65:65,G10,66:66)-SUMIF(65:65,C10,66:66)+100</f>
        <v>100</v>
      </c>
      <c r="I10" s="859"/>
      <c r="J10" s="253">
        <f>SUMIF(65:65,I10,66:66)-SUMIF(65:65,C10,66:66)+100</f>
        <v>100</v>
      </c>
      <c r="K10" s="862"/>
      <c r="L10" s="2136"/>
      <c r="M10" s="2176"/>
      <c r="N10" s="2176"/>
      <c r="O10" s="2137"/>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3"/>
      <c r="B11" s="2917" t="s">
        <v>2759</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8"/>
      <c r="M11" s="2132"/>
      <c r="N11" s="2132"/>
      <c r="O11" s="2139"/>
      <c r="P11" s="3362"/>
      <c r="Q11" s="1149" t="str">
        <f t="shared" si="6"/>
        <v>容积率</v>
      </c>
      <c r="R11" s="1566" t="s">
        <v>11</v>
      </c>
      <c r="S11" s="1567" t="e">
        <f t="shared" si="0"/>
        <v>#N/A</v>
      </c>
      <c r="T11" s="1566" t="s">
        <v>11</v>
      </c>
      <c r="U11" s="1567" t="e">
        <f t="shared" si="1"/>
        <v>#N/A</v>
      </c>
      <c r="V11" s="1566" t="s">
        <v>11</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62"/>
      <c r="Q12" s="1149">
        <f t="shared" si="6"/>
        <v>111</v>
      </c>
      <c r="R12" s="1566" t="s">
        <v>11</v>
      </c>
      <c r="S12" s="1567">
        <f t="shared" si="0"/>
        <v>100</v>
      </c>
      <c r="T12" s="1566" t="s">
        <v>11</v>
      </c>
      <c r="U12" s="1567">
        <f t="shared" si="1"/>
        <v>100</v>
      </c>
      <c r="V12" s="1566" t="s">
        <v>11</v>
      </c>
      <c r="W12" s="1567">
        <f t="shared" si="2"/>
        <v>100</v>
      </c>
      <c r="X12" s="1568"/>
      <c r="Y12" s="3308"/>
      <c r="Z12" s="1148">
        <f t="shared" si="7"/>
        <v>111</v>
      </c>
      <c r="AA12" s="1569">
        <f>D12/F12</f>
        <v>1</v>
      </c>
      <c r="AB12" s="1569">
        <f>D12/H12</f>
        <v>1</v>
      </c>
      <c r="AC12" s="1569">
        <f>D12/J12</f>
        <v>1</v>
      </c>
    </row>
    <row r="13" spans="1:29" ht="15">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62"/>
      <c r="Q13" s="1149">
        <f t="shared" si="6"/>
        <v>111</v>
      </c>
      <c r="R13" s="1566" t="s">
        <v>11</v>
      </c>
      <c r="S13" s="1567">
        <f t="shared" si="0"/>
        <v>100</v>
      </c>
      <c r="T13" s="1566" t="s">
        <v>11</v>
      </c>
      <c r="U13" s="1567">
        <f t="shared" si="1"/>
        <v>100</v>
      </c>
      <c r="V13" s="1566" t="s">
        <v>11</v>
      </c>
      <c r="W13" s="1567">
        <f t="shared" si="2"/>
        <v>100</v>
      </c>
      <c r="X13" s="1568"/>
      <c r="Y13" s="3308"/>
      <c r="Z13" s="1148">
        <f t="shared" si="7"/>
        <v>111</v>
      </c>
      <c r="AA13" s="1569">
        <f t="shared" si="3"/>
        <v>1</v>
      </c>
      <c r="AB13" s="1569">
        <f t="shared" si="4"/>
        <v>1</v>
      </c>
      <c r="AC13" s="1569">
        <f t="shared" si="5"/>
        <v>1</v>
      </c>
    </row>
    <row r="14" spans="1:29" ht="15.75"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62"/>
      <c r="Q14" s="1149">
        <f t="shared" si="6"/>
        <v>111</v>
      </c>
      <c r="R14" s="1566" t="s">
        <v>11</v>
      </c>
      <c r="S14" s="1567">
        <f t="shared" si="0"/>
        <v>100</v>
      </c>
      <c r="T14" s="1566" t="s">
        <v>11</v>
      </c>
      <c r="U14" s="1567">
        <f t="shared" si="1"/>
        <v>100</v>
      </c>
      <c r="V14" s="1566" t="s">
        <v>11</v>
      </c>
      <c r="W14" s="1567">
        <f t="shared" si="2"/>
        <v>100</v>
      </c>
      <c r="X14" s="1568"/>
      <c r="Y14" s="3308"/>
      <c r="Z14" s="1148">
        <f t="shared" si="7"/>
        <v>111</v>
      </c>
      <c r="AA14" s="1569">
        <f t="shared" si="3"/>
        <v>1</v>
      </c>
      <c r="AB14" s="1569">
        <f t="shared" si="4"/>
        <v>1</v>
      </c>
      <c r="AC14" s="1569">
        <f t="shared" si="5"/>
        <v>1</v>
      </c>
    </row>
    <row r="15" spans="1:29" ht="15">
      <c r="A15" s="2907" t="s">
        <v>2755</v>
      </c>
      <c r="B15" s="166" t="s">
        <v>295</v>
      </c>
      <c r="C15" s="865">
        <f>估价对象房地状况!C3</f>
        <v>0</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398" t="s">
        <v>540</v>
      </c>
      <c r="Q15" s="1570" t="str">
        <f t="shared" si="6"/>
        <v>居住社区成熟度</v>
      </c>
      <c r="R15" s="1571" t="s">
        <v>11</v>
      </c>
      <c r="S15" s="1572">
        <f t="shared" si="0"/>
        <v>100</v>
      </c>
      <c r="T15" s="1571" t="s">
        <v>11</v>
      </c>
      <c r="U15" s="1572">
        <f t="shared" si="1"/>
        <v>100</v>
      </c>
      <c r="V15" s="1571" t="s">
        <v>11</v>
      </c>
      <c r="W15" s="1572">
        <f t="shared" si="2"/>
        <v>100</v>
      </c>
      <c r="X15" s="1565"/>
      <c r="Y15" s="3398"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0"/>
      <c r="M16" s="2132"/>
      <c r="N16" s="2132"/>
      <c r="O16" s="2139"/>
      <c r="P16" s="3399"/>
      <c r="Q16" s="1570"/>
      <c r="R16" s="1571"/>
      <c r="S16" s="1572"/>
      <c r="T16" s="1571"/>
      <c r="U16" s="1572"/>
      <c r="V16" s="1571"/>
      <c r="W16" s="1572"/>
      <c r="X16" s="1565"/>
      <c r="Y16" s="3399"/>
      <c r="Z16" s="1573"/>
      <c r="AA16" s="1574">
        <v>1</v>
      </c>
      <c r="AB16" s="1574">
        <v>1</v>
      </c>
      <c r="AC16" s="1574">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399"/>
      <c r="Q17" s="1570" t="str">
        <f>B17</f>
        <v>交通便捷度</v>
      </c>
      <c r="R17" s="1571" t="s">
        <v>11</v>
      </c>
      <c r="S17" s="1572">
        <f>F17</f>
        <v>100</v>
      </c>
      <c r="T17" s="1571" t="s">
        <v>11</v>
      </c>
      <c r="U17" s="1572">
        <f>H17</f>
        <v>100</v>
      </c>
      <c r="V17" s="1571" t="s">
        <v>11</v>
      </c>
      <c r="W17" s="1572">
        <f>J17</f>
        <v>100</v>
      </c>
      <c r="X17" s="1565"/>
      <c r="Y17" s="339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0"/>
      <c r="M18" s="2132"/>
      <c r="N18" s="2132"/>
      <c r="O18" s="2139"/>
      <c r="P18" s="3399"/>
      <c r="Q18" s="1570"/>
      <c r="R18" s="1571"/>
      <c r="S18" s="1572"/>
      <c r="T18" s="1571"/>
      <c r="U18" s="1572"/>
      <c r="V18" s="1571"/>
      <c r="W18" s="1572"/>
      <c r="X18" s="1565"/>
      <c r="Y18" s="3399"/>
      <c r="Z18" s="1573"/>
      <c r="AA18" s="1574">
        <v>1</v>
      </c>
      <c r="AB18" s="1574">
        <v>1</v>
      </c>
      <c r="AC18" s="1574">
        <v>1</v>
      </c>
    </row>
    <row r="19" spans="1:29" ht="15">
      <c r="A19" s="530"/>
      <c r="B19" s="2598"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399"/>
      <c r="Q19" s="1570" t="str">
        <f>B19</f>
        <v>公共配套设施</v>
      </c>
      <c r="R19" s="1571" t="s">
        <v>11</v>
      </c>
      <c r="S19" s="1572">
        <f>F19</f>
        <v>100</v>
      </c>
      <c r="T19" s="1571" t="s">
        <v>11</v>
      </c>
      <c r="U19" s="1572">
        <f>H19</f>
        <v>100</v>
      </c>
      <c r="V19" s="1571" t="s">
        <v>11</v>
      </c>
      <c r="W19" s="1572">
        <f>J19</f>
        <v>100</v>
      </c>
      <c r="X19" s="1565"/>
      <c r="Y19" s="339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0"/>
      <c r="M20" s="2132"/>
      <c r="N20" s="2132"/>
      <c r="O20" s="2139"/>
      <c r="P20" s="3399"/>
      <c r="Q20" s="1570"/>
      <c r="R20" s="1571"/>
      <c r="S20" s="1572"/>
      <c r="T20" s="1571"/>
      <c r="U20" s="1572"/>
      <c r="V20" s="1571"/>
      <c r="W20" s="1572"/>
      <c r="X20" s="1565"/>
      <c r="Y20" s="3399"/>
      <c r="Z20" s="1573"/>
      <c r="AA20" s="1574">
        <v>1</v>
      </c>
      <c r="AB20" s="1574">
        <v>1</v>
      </c>
      <c r="AC20" s="1574">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399"/>
      <c r="Q21" s="2577" t="str">
        <f>B21</f>
        <v>基础设施水平</v>
      </c>
      <c r="R21" s="1571" t="s">
        <v>11</v>
      </c>
      <c r="S21" s="1572">
        <f>F21</f>
        <v>100</v>
      </c>
      <c r="T21" s="1571" t="s">
        <v>11</v>
      </c>
      <c r="U21" s="1572">
        <f>H21</f>
        <v>100</v>
      </c>
      <c r="V21" s="1571" t="s">
        <v>11</v>
      </c>
      <c r="W21" s="1572">
        <f>J21</f>
        <v>100</v>
      </c>
      <c r="X21" s="2579"/>
      <c r="Y21" s="3399"/>
      <c r="Z21" s="257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97"/>
      <c r="L22" s="2140"/>
      <c r="M22" s="2132"/>
      <c r="N22" s="2132"/>
      <c r="O22" s="2139"/>
      <c r="P22" s="3399"/>
      <c r="Q22" s="2577"/>
      <c r="R22" s="1571"/>
      <c r="S22" s="1572"/>
      <c r="T22" s="1571"/>
      <c r="U22" s="1572"/>
      <c r="V22" s="1571"/>
      <c r="W22" s="1572"/>
      <c r="X22" s="2579"/>
      <c r="Y22" s="3399"/>
      <c r="Z22" s="2578"/>
      <c r="AA22" s="1574">
        <v>1</v>
      </c>
      <c r="AB22" s="1574">
        <v>1</v>
      </c>
      <c r="AC22" s="1574">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399"/>
      <c r="Q23" s="1570" t="str">
        <f>B23</f>
        <v>自然及人文环境</v>
      </c>
      <c r="R23" s="1571" t="s">
        <v>11</v>
      </c>
      <c r="S23" s="1572">
        <f>F23</f>
        <v>100</v>
      </c>
      <c r="T23" s="1571" t="s">
        <v>11</v>
      </c>
      <c r="U23" s="1572">
        <f>H23</f>
        <v>100</v>
      </c>
      <c r="V23" s="1571" t="s">
        <v>11</v>
      </c>
      <c r="W23" s="1572">
        <f>J23</f>
        <v>100</v>
      </c>
      <c r="X23" s="1565"/>
      <c r="Y23" s="339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0"/>
      <c r="M24" s="2132"/>
      <c r="N24" s="2132"/>
      <c r="O24" s="2139"/>
      <c r="P24" s="3399"/>
      <c r="Q24" s="1570"/>
      <c r="R24" s="1571"/>
      <c r="S24" s="1572"/>
      <c r="T24" s="1571"/>
      <c r="U24" s="1572"/>
      <c r="V24" s="1571"/>
      <c r="W24" s="1572"/>
      <c r="X24" s="1565"/>
      <c r="Y24" s="3399"/>
      <c r="Z24" s="1573"/>
      <c r="AA24" s="1574">
        <v>1</v>
      </c>
      <c r="AB24" s="1574">
        <v>1</v>
      </c>
      <c r="AC24" s="1574">
        <v>1</v>
      </c>
    </row>
    <row r="25" spans="1:29" ht="15">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99"/>
      <c r="Q25" s="1570" t="str">
        <f t="shared" ref="Q25:Q46" si="11">B25</f>
        <v>楼层-1</v>
      </c>
      <c r="R25" s="1571" t="s">
        <v>11</v>
      </c>
      <c r="S25" s="1572">
        <f>F25</f>
        <v>100</v>
      </c>
      <c r="T25" s="1571" t="s">
        <v>11</v>
      </c>
      <c r="U25" s="1572">
        <f>H25</f>
        <v>100</v>
      </c>
      <c r="V25" s="1571" t="s">
        <v>11</v>
      </c>
      <c r="W25" s="1572">
        <f>J25</f>
        <v>100</v>
      </c>
      <c r="X25" s="1565"/>
      <c r="Y25" s="3399"/>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99"/>
      <c r="Q26" s="1570" t="str">
        <f t="shared" si="11"/>
        <v>朝向</v>
      </c>
      <c r="R26" s="1571" t="s">
        <v>11</v>
      </c>
      <c r="S26" s="1572">
        <f>F26</f>
        <v>100</v>
      </c>
      <c r="T26" s="1571" t="s">
        <v>11</v>
      </c>
      <c r="U26" s="1572">
        <f>H26</f>
        <v>100</v>
      </c>
      <c r="V26" s="1571" t="s">
        <v>11</v>
      </c>
      <c r="W26" s="1572">
        <f>J26</f>
        <v>100</v>
      </c>
      <c r="X26" s="1565"/>
      <c r="Y26" s="3399"/>
      <c r="Z26" s="1573" t="str">
        <f>Q26</f>
        <v>朝向</v>
      </c>
      <c r="AA26" s="1574">
        <f t="shared" si="3"/>
        <v>1</v>
      </c>
      <c r="AB26" s="1574">
        <f t="shared" si="4"/>
        <v>1</v>
      </c>
      <c r="AC26" s="1574">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99"/>
      <c r="Q27" s="1149" t="str">
        <f t="shared" si="11"/>
        <v>道路级别</v>
      </c>
      <c r="R27" s="1566" t="s">
        <v>11</v>
      </c>
      <c r="S27" s="1567">
        <f>F27</f>
        <v>100</v>
      </c>
      <c r="T27" s="1566" t="s">
        <v>11</v>
      </c>
      <c r="U27" s="1567">
        <f>H27</f>
        <v>100</v>
      </c>
      <c r="V27" s="1566" t="s">
        <v>11</v>
      </c>
      <c r="W27" s="1567">
        <f>J27</f>
        <v>100</v>
      </c>
      <c r="X27" s="1568"/>
      <c r="Y27" s="3399"/>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99"/>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9"/>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99"/>
      <c r="Q29" s="1570">
        <f t="shared" si="11"/>
        <v>111</v>
      </c>
      <c r="R29" s="1571" t="s">
        <v>11</v>
      </c>
      <c r="S29" s="1572">
        <f t="shared" si="12"/>
        <v>100</v>
      </c>
      <c r="T29" s="1571" t="s">
        <v>11</v>
      </c>
      <c r="U29" s="1572">
        <f t="shared" si="13"/>
        <v>100</v>
      </c>
      <c r="V29" s="1571" t="s">
        <v>11</v>
      </c>
      <c r="W29" s="1572">
        <f t="shared" si="14"/>
        <v>100</v>
      </c>
      <c r="X29" s="1565"/>
      <c r="Y29" s="339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99"/>
      <c r="Q30" s="1570">
        <f t="shared" si="11"/>
        <v>111</v>
      </c>
      <c r="R30" s="1571" t="s">
        <v>11</v>
      </c>
      <c r="S30" s="1572">
        <f t="shared" si="12"/>
        <v>100</v>
      </c>
      <c r="T30" s="1571" t="s">
        <v>11</v>
      </c>
      <c r="U30" s="1572">
        <f t="shared" si="13"/>
        <v>100</v>
      </c>
      <c r="V30" s="1571" t="s">
        <v>11</v>
      </c>
      <c r="W30" s="1572">
        <f t="shared" si="14"/>
        <v>100</v>
      </c>
      <c r="X30" s="1565"/>
      <c r="Y30" s="3399"/>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99"/>
      <c r="Q31" s="1570">
        <f t="shared" si="11"/>
        <v>111</v>
      </c>
      <c r="R31" s="1571" t="s">
        <v>11</v>
      </c>
      <c r="S31" s="1572">
        <f t="shared" si="12"/>
        <v>100</v>
      </c>
      <c r="T31" s="1571" t="s">
        <v>11</v>
      </c>
      <c r="U31" s="1572">
        <f t="shared" si="13"/>
        <v>100</v>
      </c>
      <c r="V31" s="1571" t="s">
        <v>11</v>
      </c>
      <c r="W31" s="1572">
        <f t="shared" si="14"/>
        <v>100</v>
      </c>
      <c r="X31" s="1565"/>
      <c r="Y31" s="3399"/>
      <c r="Z31" s="1573">
        <f t="shared" si="15"/>
        <v>111</v>
      </c>
      <c r="AA31" s="1574">
        <f t="shared" si="3"/>
        <v>1</v>
      </c>
      <c r="AB31" s="1574">
        <f t="shared" si="4"/>
        <v>1</v>
      </c>
      <c r="AC31" s="1574">
        <f t="shared" si="5"/>
        <v>1</v>
      </c>
    </row>
    <row r="32" spans="1:29" ht="15">
      <c r="A32" s="2905" t="s">
        <v>2756</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00" t="s">
        <v>550</v>
      </c>
      <c r="Q32" s="1570" t="str">
        <f t="shared" si="11"/>
        <v>建筑类型</v>
      </c>
      <c r="R32" s="1571" t="s">
        <v>11</v>
      </c>
      <c r="S32" s="1572">
        <f t="shared" si="12"/>
        <v>100</v>
      </c>
      <c r="T32" s="1571" t="s">
        <v>11</v>
      </c>
      <c r="U32" s="1572">
        <f t="shared" si="13"/>
        <v>100</v>
      </c>
      <c r="V32" s="1571" t="s">
        <v>11</v>
      </c>
      <c r="W32" s="1572">
        <f t="shared" si="14"/>
        <v>100</v>
      </c>
      <c r="X32" s="1565"/>
      <c r="Y32" s="3401" t="s">
        <v>550</v>
      </c>
      <c r="Z32" s="1573" t="str">
        <f t="shared" si="15"/>
        <v>建筑类型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8"/>
      <c r="M33" s="2169"/>
      <c r="N33" s="2169"/>
      <c r="O33" s="2141"/>
      <c r="P33" s="3401"/>
      <c r="Q33" s="1603" t="str">
        <f t="shared" si="11"/>
        <v>项目建筑规模</v>
      </c>
      <c r="R33" s="1575" t="s">
        <v>11</v>
      </c>
      <c r="S33" s="1576" t="e">
        <f t="shared" si="12"/>
        <v>#N/A</v>
      </c>
      <c r="T33" s="1575" t="s">
        <v>11</v>
      </c>
      <c r="U33" s="1576" t="e">
        <f t="shared" si="13"/>
        <v>#N/A</v>
      </c>
      <c r="V33" s="1575" t="s">
        <v>11</v>
      </c>
      <c r="W33" s="1576" t="e">
        <f t="shared" si="14"/>
        <v>#N/A</v>
      </c>
      <c r="X33" s="1577"/>
      <c r="Y33" s="3401"/>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01"/>
      <c r="Q34" s="1570" t="str">
        <f t="shared" si="11"/>
        <v>建筑结构</v>
      </c>
      <c r="R34" s="1571" t="s">
        <v>11</v>
      </c>
      <c r="S34" s="1572">
        <f t="shared" si="12"/>
        <v>100</v>
      </c>
      <c r="T34" s="1571" t="s">
        <v>11</v>
      </c>
      <c r="U34" s="1572">
        <f t="shared" si="13"/>
        <v>100</v>
      </c>
      <c r="V34" s="1571" t="s">
        <v>11</v>
      </c>
      <c r="W34" s="1572">
        <f t="shared" si="14"/>
        <v>100</v>
      </c>
      <c r="X34" s="1565"/>
      <c r="Y34" s="3401"/>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01"/>
      <c r="Q35" s="1570" t="str">
        <f t="shared" si="11"/>
        <v>建筑品质</v>
      </c>
      <c r="R35" s="1571" t="s">
        <v>11</v>
      </c>
      <c r="S35" s="1572">
        <f t="shared" si="12"/>
        <v>100</v>
      </c>
      <c r="T35" s="1571" t="s">
        <v>11</v>
      </c>
      <c r="U35" s="1572">
        <f t="shared" si="13"/>
        <v>100</v>
      </c>
      <c r="V35" s="1571" t="s">
        <v>11</v>
      </c>
      <c r="W35" s="1572">
        <f t="shared" si="14"/>
        <v>100</v>
      </c>
      <c r="X35" s="1565"/>
      <c r="Y35" s="3401"/>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01"/>
      <c r="Q36" s="1570" t="str">
        <f t="shared" si="11"/>
        <v>公共部分装修</v>
      </c>
      <c r="R36" s="1571" t="s">
        <v>11</v>
      </c>
      <c r="S36" s="1572">
        <f t="shared" si="12"/>
        <v>100</v>
      </c>
      <c r="T36" s="1571" t="s">
        <v>11</v>
      </c>
      <c r="U36" s="1572">
        <f t="shared" si="13"/>
        <v>100</v>
      </c>
      <c r="V36" s="1571" t="s">
        <v>11</v>
      </c>
      <c r="W36" s="1572">
        <f t="shared" si="14"/>
        <v>100</v>
      </c>
      <c r="X36" s="1565"/>
      <c r="Y36" s="3401"/>
      <c r="Z36" s="1573" t="str">
        <f t="shared" si="15"/>
        <v>公共部分装修</v>
      </c>
      <c r="AA36" s="1574">
        <f t="shared" si="3"/>
        <v>1</v>
      </c>
      <c r="AB36" s="1574">
        <f t="shared" si="4"/>
        <v>1</v>
      </c>
      <c r="AC36" s="1574">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3"/>
      <c r="M37" s="2134"/>
      <c r="N37" s="2134"/>
      <c r="O37" s="2135"/>
      <c r="P37" s="3401"/>
      <c r="Q37" s="1149" t="str">
        <f t="shared" si="11"/>
        <v>成新度</v>
      </c>
      <c r="R37" s="1566" t="s">
        <v>11</v>
      </c>
      <c r="S37" s="1567" t="e">
        <f t="shared" si="12"/>
        <v>#N/A</v>
      </c>
      <c r="T37" s="1566" t="s">
        <v>11</v>
      </c>
      <c r="U37" s="1567" t="e">
        <f t="shared" si="13"/>
        <v>#N/A</v>
      </c>
      <c r="V37" s="1566" t="s">
        <v>11</v>
      </c>
      <c r="W37" s="1567" t="e">
        <f t="shared" si="14"/>
        <v>#N/A</v>
      </c>
      <c r="X37" s="1568"/>
      <c r="Y37" s="3401"/>
      <c r="Z37" s="1148" t="str">
        <f t="shared" si="15"/>
        <v>成新度</v>
      </c>
      <c r="AA37" s="1569" t="e">
        <f t="shared" si="3"/>
        <v>#N/A</v>
      </c>
      <c r="AB37" s="1569" t="e">
        <f t="shared" si="4"/>
        <v>#N/A</v>
      </c>
      <c r="AC37" s="1569"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01" t="s">
        <v>550</v>
      </c>
      <c r="Q38" s="1570" t="str">
        <f t="shared" si="11"/>
        <v>物业管理</v>
      </c>
      <c r="R38" s="1571" t="s">
        <v>11</v>
      </c>
      <c r="S38" s="1572">
        <f t="shared" si="12"/>
        <v>100</v>
      </c>
      <c r="T38" s="1571" t="s">
        <v>11</v>
      </c>
      <c r="U38" s="1572">
        <f t="shared" si="13"/>
        <v>100</v>
      </c>
      <c r="V38" s="1571" t="s">
        <v>11</v>
      </c>
      <c r="W38" s="1572">
        <f t="shared" si="14"/>
        <v>100</v>
      </c>
      <c r="X38" s="1565"/>
      <c r="Y38" s="3401" t="s">
        <v>550</v>
      </c>
      <c r="Z38" s="1573" t="str">
        <f t="shared" si="15"/>
        <v>物业管理</v>
      </c>
      <c r="AA38" s="1574">
        <f t="shared" si="3"/>
        <v>1</v>
      </c>
      <c r="AB38" s="1574">
        <f t="shared" si="4"/>
        <v>1</v>
      </c>
      <c r="AC38" s="1574">
        <f t="shared" si="5"/>
        <v>1</v>
      </c>
    </row>
    <row r="39" spans="1:29" ht="15">
      <c r="A39" s="592"/>
      <c r="B39" s="1893" t="s">
        <v>2565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01"/>
      <c r="Q39" s="1570" t="str">
        <f t="shared" si="11"/>
        <v>市政基础设施</v>
      </c>
      <c r="R39" s="1571" t="s">
        <v>11</v>
      </c>
      <c r="S39" s="1572">
        <f t="shared" si="12"/>
        <v>100</v>
      </c>
      <c r="T39" s="1571" t="s">
        <v>11</v>
      </c>
      <c r="U39" s="1572">
        <f t="shared" si="13"/>
        <v>100</v>
      </c>
      <c r="V39" s="1571" t="s">
        <v>11</v>
      </c>
      <c r="W39" s="1572">
        <f t="shared" si="14"/>
        <v>100</v>
      </c>
      <c r="X39" s="1565"/>
      <c r="Y39" s="3401"/>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01"/>
      <c r="Q40" s="1570" t="str">
        <f t="shared" si="11"/>
        <v>房型</v>
      </c>
      <c r="R40" s="1571" t="s">
        <v>11</v>
      </c>
      <c r="S40" s="1572">
        <f t="shared" si="12"/>
        <v>100</v>
      </c>
      <c r="T40" s="1571" t="s">
        <v>11</v>
      </c>
      <c r="U40" s="1572">
        <f t="shared" si="13"/>
        <v>100</v>
      </c>
      <c r="V40" s="1571" t="s">
        <v>11</v>
      </c>
      <c r="W40" s="1572">
        <f t="shared" si="14"/>
        <v>100</v>
      </c>
      <c r="X40" s="1565"/>
      <c r="Y40" s="3401"/>
      <c r="Z40" s="1573" t="str">
        <f t="shared" si="15"/>
        <v>房型</v>
      </c>
      <c r="AA40" s="1574">
        <f t="shared" si="3"/>
        <v>1</v>
      </c>
      <c r="AB40" s="1574">
        <f t="shared" si="4"/>
        <v>1</v>
      </c>
      <c r="AC40" s="1574">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01"/>
      <c r="Q41" s="1603" t="str">
        <f t="shared" si="11"/>
        <v>单套/主力户型建筑面积</v>
      </c>
      <c r="R41" s="1575" t="s">
        <v>11</v>
      </c>
      <c r="S41" s="1576">
        <f t="shared" si="12"/>
        <v>100</v>
      </c>
      <c r="T41" s="1575" t="s">
        <v>11</v>
      </c>
      <c r="U41" s="1576">
        <f t="shared" si="13"/>
        <v>100</v>
      </c>
      <c r="V41" s="1575" t="s">
        <v>11</v>
      </c>
      <c r="W41" s="1576">
        <f t="shared" si="14"/>
        <v>100</v>
      </c>
      <c r="X41" s="1577"/>
      <c r="Y41" s="3401"/>
      <c r="Z41" s="1578" t="str">
        <f t="shared" si="15"/>
        <v>单套/主力户型建筑面积</v>
      </c>
      <c r="AA41" s="1574">
        <f t="shared" si="3"/>
        <v>1</v>
      </c>
      <c r="AB41" s="1574">
        <f t="shared" si="4"/>
        <v>1</v>
      </c>
      <c r="AC41" s="1574">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01"/>
      <c r="Q42" s="1570" t="str">
        <f t="shared" si="11"/>
        <v>内部装修</v>
      </c>
      <c r="R42" s="1571" t="s">
        <v>11</v>
      </c>
      <c r="S42" s="1572">
        <f t="shared" si="12"/>
        <v>100</v>
      </c>
      <c r="T42" s="1571" t="s">
        <v>11</v>
      </c>
      <c r="U42" s="1572">
        <f t="shared" si="13"/>
        <v>100</v>
      </c>
      <c r="V42" s="1571" t="s">
        <v>11</v>
      </c>
      <c r="W42" s="1572">
        <f t="shared" si="14"/>
        <v>100</v>
      </c>
      <c r="X42" s="1565"/>
      <c r="Y42" s="3401"/>
      <c r="Z42" s="1573" t="str">
        <f t="shared" si="15"/>
        <v>内部装修</v>
      </c>
      <c r="AA42" s="1574">
        <f t="shared" si="3"/>
        <v>1</v>
      </c>
      <c r="AB42" s="1574">
        <f t="shared" si="4"/>
        <v>1</v>
      </c>
      <c r="AC42" s="1574">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01"/>
      <c r="Q43" s="1570" t="str">
        <f t="shared" si="11"/>
        <v>内部装修维护情况</v>
      </c>
      <c r="R43" s="1571" t="s">
        <v>11</v>
      </c>
      <c r="S43" s="1572">
        <f t="shared" si="12"/>
        <v>100</v>
      </c>
      <c r="T43" s="1571" t="s">
        <v>11</v>
      </c>
      <c r="U43" s="1572">
        <f t="shared" si="13"/>
        <v>100</v>
      </c>
      <c r="V43" s="1571" t="s">
        <v>11</v>
      </c>
      <c r="W43" s="1572">
        <f t="shared" si="14"/>
        <v>100</v>
      </c>
      <c r="X43" s="1565"/>
      <c r="Y43" s="3401"/>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01"/>
      <c r="Q44" s="1149">
        <f t="shared" si="11"/>
        <v>111</v>
      </c>
      <c r="R44" s="1566" t="s">
        <v>11</v>
      </c>
      <c r="S44" s="1567">
        <f t="shared" si="12"/>
        <v>100</v>
      </c>
      <c r="T44" s="1566" t="s">
        <v>11</v>
      </c>
      <c r="U44" s="1567">
        <f t="shared" si="13"/>
        <v>100</v>
      </c>
      <c r="V44" s="1566" t="s">
        <v>11</v>
      </c>
      <c r="W44" s="1567">
        <f t="shared" si="14"/>
        <v>100</v>
      </c>
      <c r="X44" s="1568"/>
      <c r="Y44" s="3401"/>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01"/>
      <c r="Q45" s="1570">
        <f t="shared" si="11"/>
        <v>111</v>
      </c>
      <c r="R45" s="1571" t="s">
        <v>11</v>
      </c>
      <c r="S45" s="1572">
        <f t="shared" si="12"/>
        <v>100</v>
      </c>
      <c r="T45" s="1571" t="s">
        <v>11</v>
      </c>
      <c r="U45" s="1572">
        <f t="shared" si="13"/>
        <v>100</v>
      </c>
      <c r="V45" s="1571" t="s">
        <v>11</v>
      </c>
      <c r="W45" s="1572">
        <f t="shared" si="14"/>
        <v>100</v>
      </c>
      <c r="X45" s="1565"/>
      <c r="Y45" s="3401"/>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79"/>
      <c r="Q46" s="1570">
        <f t="shared" si="11"/>
        <v>111</v>
      </c>
      <c r="R46" s="1571" t="s">
        <v>10</v>
      </c>
      <c r="S46" s="1572">
        <f t="shared" si="12"/>
        <v>100</v>
      </c>
      <c r="T46" s="1571" t="s">
        <v>10</v>
      </c>
      <c r="U46" s="1572">
        <f t="shared" si="13"/>
        <v>100</v>
      </c>
      <c r="V46" s="1571" t="s">
        <v>10</v>
      </c>
      <c r="W46" s="1572">
        <f t="shared" si="14"/>
        <v>100</v>
      </c>
      <c r="X46" s="1565"/>
      <c r="Y46" s="3479"/>
      <c r="Z46" s="1573">
        <f t="shared" si="15"/>
        <v>111</v>
      </c>
      <c r="AA46" s="1574">
        <f t="shared" si="3"/>
        <v>1</v>
      </c>
      <c r="AB46" s="1574">
        <f t="shared" si="4"/>
        <v>1</v>
      </c>
      <c r="AC46" s="1574">
        <f t="shared" si="5"/>
        <v>1</v>
      </c>
    </row>
    <row r="47" spans="1:29" ht="15">
      <c r="A47" s="605" t="s">
        <v>736</v>
      </c>
      <c r="B47" s="885"/>
      <c r="C47" s="2625" t="s">
        <v>9</v>
      </c>
      <c r="D47" s="2626"/>
      <c r="E47" s="2627"/>
      <c r="F47" s="2628"/>
      <c r="G47" s="2629"/>
      <c r="H47" s="2630"/>
      <c r="I47" s="2627"/>
      <c r="J47" s="2630"/>
      <c r="K47" s="1604"/>
      <c r="L47" s="2142"/>
      <c r="M47" s="2143"/>
      <c r="N47" s="2132"/>
      <c r="O47" s="2143"/>
      <c r="P47" s="3362" t="str">
        <f>A47</f>
        <v>成交单价（元/平方米）</v>
      </c>
      <c r="Q47" s="3362"/>
      <c r="R47" s="3478">
        <f>E47</f>
        <v>0</v>
      </c>
      <c r="S47" s="3478"/>
      <c r="T47" s="3478">
        <f>G47</f>
        <v>0</v>
      </c>
      <c r="U47" s="3478"/>
      <c r="V47" s="3478">
        <f>I47</f>
        <v>0</v>
      </c>
      <c r="W47" s="3478"/>
      <c r="X47" s="1557"/>
      <c r="Y47" s="1579"/>
      <c r="Z47" s="1557"/>
      <c r="AA47" s="1557"/>
      <c r="AB47" s="1557"/>
      <c r="AC47" s="1557"/>
    </row>
    <row r="48" spans="1:29" ht="15.75" thickBot="1">
      <c r="A48" s="613" t="s">
        <v>2761</v>
      </c>
      <c r="B48" s="886"/>
      <c r="C48" s="2631" t="e">
        <f>R49</f>
        <v>#DIV/0!</v>
      </c>
      <c r="D48" s="2632"/>
      <c r="E48" s="2633" t="e">
        <f>R48</f>
        <v>#DIV/0!</v>
      </c>
      <c r="F48" s="2633"/>
      <c r="G48" s="2631" t="e">
        <f>T48</f>
        <v>#DIV/0!</v>
      </c>
      <c r="H48" s="2632"/>
      <c r="I48" s="2633" t="e">
        <f>V48</f>
        <v>#DIV/0!</v>
      </c>
      <c r="J48" s="2632"/>
      <c r="K48" s="1605"/>
      <c r="L48" s="2142"/>
      <c r="M48" s="2143"/>
      <c r="N48" s="2143"/>
      <c r="O48" s="2143"/>
      <c r="P48" s="3362" t="str">
        <f>A48</f>
        <v>比较价格（元/平方米）</v>
      </c>
      <c r="Q48" s="3362"/>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7"/>
      <c r="Y48" s="1557"/>
      <c r="Z48" s="1557"/>
      <c r="AA48" s="1557"/>
      <c r="AB48" s="1557"/>
      <c r="AC48" s="1557"/>
    </row>
    <row r="49" spans="1:29" ht="15.75" thickBot="1">
      <c r="A49" s="619" t="s">
        <v>2928</v>
      </c>
      <c r="B49" s="620"/>
      <c r="C49" s="2634" t="e">
        <f>R49</f>
        <v>#DIV/0!</v>
      </c>
      <c r="D49" s="2634"/>
      <c r="E49" s="2634"/>
      <c r="F49" s="2634"/>
      <c r="G49" s="2634"/>
      <c r="H49" s="2634"/>
      <c r="I49" s="2634"/>
      <c r="J49" s="2634"/>
      <c r="K49" s="1606"/>
      <c r="L49" s="2142"/>
      <c r="M49" s="2143"/>
      <c r="N49" s="2143"/>
      <c r="O49" s="2143"/>
      <c r="P49" s="3359" t="str">
        <f>A49</f>
        <v>估价对象XX用房的比较价格（楼面单价，元/平方米）</v>
      </c>
      <c r="Q49" s="3360"/>
      <c r="R49" s="3477" t="e">
        <f>IF(F1="售价",ROUND(AVERAGE(R48:V48),0),ROUND(AVERAGE(R48:V48),1))</f>
        <v>#DIV/0!</v>
      </c>
      <c r="S49" s="3477"/>
      <c r="T49" s="3477"/>
      <c r="U49" s="3477"/>
      <c r="V49" s="3477"/>
      <c r="W49" s="3477"/>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529</v>
      </c>
      <c r="B58" s="644"/>
      <c r="C58" s="2802"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2258</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8"/>
      <c r="E1" s="50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6"/>
    </row>
    <row r="4" spans="1:29" ht="15">
      <c r="A4" s="510" t="s">
        <v>521</v>
      </c>
      <c r="B4" s="511"/>
      <c r="C4" s="3368" t="s">
        <v>522</v>
      </c>
      <c r="D4" s="3369"/>
      <c r="E4" s="3405" t="s">
        <v>523</v>
      </c>
      <c r="F4" s="3406"/>
      <c r="G4" s="3368" t="s">
        <v>524</v>
      </c>
      <c r="H4" s="3369"/>
      <c r="I4" s="3368" t="s">
        <v>525</v>
      </c>
      <c r="J4" s="3369"/>
      <c r="K4" s="512" t="s">
        <v>526</v>
      </c>
      <c r="L4" s="2131"/>
      <c r="M4" s="2132"/>
      <c r="N4" s="2132"/>
      <c r="O4" s="2132"/>
      <c r="P4" s="3370" t="s">
        <v>527</v>
      </c>
      <c r="Q4" s="3371"/>
      <c r="R4" s="3376" t="s">
        <v>523</v>
      </c>
      <c r="S4" s="3377"/>
      <c r="T4" s="3376" t="s">
        <v>524</v>
      </c>
      <c r="U4" s="3377"/>
      <c r="V4" s="3363" t="s">
        <v>525</v>
      </c>
      <c r="W4" s="3363"/>
      <c r="X4" s="1565"/>
      <c r="Y4" s="3376" t="s">
        <v>527</v>
      </c>
      <c r="Z4" s="3377"/>
      <c r="AA4" s="3365" t="s">
        <v>523</v>
      </c>
      <c r="AB4" s="3363" t="s">
        <v>524</v>
      </c>
      <c r="AC4" s="3365" t="s">
        <v>525</v>
      </c>
    </row>
    <row r="5" spans="1:29" ht="15">
      <c r="A5" s="513"/>
      <c r="B5" s="514"/>
      <c r="C5" s="3386" t="s">
        <v>2922</v>
      </c>
      <c r="D5" s="3385"/>
      <c r="E5" s="3407" t="s">
        <v>2923</v>
      </c>
      <c r="F5" s="3408"/>
      <c r="G5" s="3386" t="s">
        <v>2924</v>
      </c>
      <c r="H5" s="3385"/>
      <c r="I5" s="3386" t="s">
        <v>2925</v>
      </c>
      <c r="J5" s="3385"/>
      <c r="K5" s="512"/>
      <c r="L5" s="2131"/>
      <c r="M5" s="2132"/>
      <c r="N5" s="2132"/>
      <c r="O5" s="2132"/>
      <c r="P5" s="3372"/>
      <c r="Q5" s="3373"/>
      <c r="R5" s="3378"/>
      <c r="S5" s="3379"/>
      <c r="T5" s="3378"/>
      <c r="U5" s="3379"/>
      <c r="V5" s="3363"/>
      <c r="W5" s="3363"/>
      <c r="X5" s="1565"/>
      <c r="Y5" s="3378"/>
      <c r="Z5" s="3379"/>
      <c r="AA5" s="3366"/>
      <c r="AB5" s="3363"/>
      <c r="AC5" s="3366"/>
    </row>
    <row r="6" spans="1:29" ht="15.75" thickBot="1">
      <c r="A6" s="515"/>
      <c r="B6" s="516"/>
      <c r="C6" s="3402" t="s">
        <v>2926</v>
      </c>
      <c r="D6" s="3383"/>
      <c r="E6" s="3403" t="s">
        <v>2926</v>
      </c>
      <c r="F6" s="3404"/>
      <c r="G6" s="3402" t="s">
        <v>2926</v>
      </c>
      <c r="H6" s="3383"/>
      <c r="I6" s="3402" t="s">
        <v>2926</v>
      </c>
      <c r="J6" s="3383"/>
      <c r="K6" s="512" t="s">
        <v>528</v>
      </c>
      <c r="L6" s="2131"/>
      <c r="M6" s="2132"/>
      <c r="N6" s="2132"/>
      <c r="O6" s="2132"/>
      <c r="P6" s="3374"/>
      <c r="Q6" s="3375"/>
      <c r="R6" s="3378"/>
      <c r="S6" s="3379"/>
      <c r="T6" s="3380"/>
      <c r="U6" s="3381"/>
      <c r="V6" s="3363"/>
      <c r="W6" s="3363"/>
      <c r="X6" s="1565"/>
      <c r="Y6" s="3380"/>
      <c r="Z6" s="3381"/>
      <c r="AA6" s="3367"/>
      <c r="AB6" s="3363"/>
      <c r="AC6" s="3367"/>
    </row>
    <row r="7" spans="1:29" s="1218" customFormat="1" ht="15.75" thickBot="1">
      <c r="A7" s="2909"/>
      <c r="B7" s="2916" t="s">
        <v>529</v>
      </c>
      <c r="C7" s="517">
        <f>'数据-取费表'!B2</f>
        <v>43327</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95"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7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95" t="s">
        <v>533</v>
      </c>
      <c r="Q8" s="3396"/>
      <c r="R8" s="1566" t="s">
        <v>8</v>
      </c>
      <c r="S8" s="1567">
        <f t="shared" si="0"/>
        <v>0</v>
      </c>
      <c r="T8" s="1566" t="s">
        <v>8</v>
      </c>
      <c r="U8" s="1567">
        <f t="shared" si="1"/>
        <v>0</v>
      </c>
      <c r="V8" s="1566" t="s">
        <v>8</v>
      </c>
      <c r="W8" s="1567">
        <f t="shared" si="2"/>
        <v>0</v>
      </c>
      <c r="X8" s="1568"/>
      <c r="Y8" s="3395" t="s">
        <v>533</v>
      </c>
      <c r="Z8" s="3396"/>
      <c r="AA8" s="1569" t="e">
        <f t="shared" ref="AA8:AA46" si="3">D8/F8</f>
        <v>#DIV/0!</v>
      </c>
      <c r="AB8" s="1569" t="e">
        <f t="shared" ref="AB8:AB46" si="4">D8/H8</f>
        <v>#DIV/0!</v>
      </c>
      <c r="AC8" s="1569" t="e">
        <f t="shared" ref="AC8:AC46" si="5">D8/J8</f>
        <v>#DIV/0!</v>
      </c>
    </row>
    <row r="9" spans="1:29" s="1218" customFormat="1" ht="15">
      <c r="A9" s="2911"/>
      <c r="B9" s="2918"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62" t="s">
        <v>535</v>
      </c>
      <c r="Q9" s="1149" t="str">
        <f t="shared" ref="Q9:Q15" si="6">B9</f>
        <v>用途</v>
      </c>
      <c r="R9" s="1566" t="s">
        <v>8</v>
      </c>
      <c r="S9" s="1567">
        <f t="shared" si="0"/>
        <v>100</v>
      </c>
      <c r="T9" s="1566" t="s">
        <v>8</v>
      </c>
      <c r="U9" s="1567">
        <f t="shared" si="1"/>
        <v>100</v>
      </c>
      <c r="V9" s="1566" t="s">
        <v>8</v>
      </c>
      <c r="W9" s="1567">
        <f t="shared" si="2"/>
        <v>100</v>
      </c>
      <c r="X9" s="1568"/>
      <c r="Y9" s="3308" t="s">
        <v>536</v>
      </c>
      <c r="Z9" s="1148" t="str">
        <f t="shared" ref="Z9:Z15" si="7">Q9</f>
        <v>用途</v>
      </c>
      <c r="AA9" s="1569">
        <f t="shared" si="3"/>
        <v>1</v>
      </c>
      <c r="AB9" s="1569">
        <f t="shared" si="4"/>
        <v>1</v>
      </c>
      <c r="AC9" s="1569">
        <f t="shared" si="5"/>
        <v>1</v>
      </c>
    </row>
    <row r="10" spans="1:29" s="1336" customFormat="1" ht="27">
      <c r="A10" s="2912"/>
      <c r="B10" s="2917"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3"/>
      <c r="B11" s="2917"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75"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15">
      <c r="A15" s="2907" t="s">
        <v>2755</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398" t="s">
        <v>540</v>
      </c>
      <c r="Q15" s="1570" t="str">
        <f t="shared" si="6"/>
        <v>商业繁华度</v>
      </c>
      <c r="R15" s="1571" t="s">
        <v>8</v>
      </c>
      <c r="S15" s="1572">
        <f t="shared" si="0"/>
        <v>100</v>
      </c>
      <c r="T15" s="1571" t="s">
        <v>8</v>
      </c>
      <c r="U15" s="1572">
        <f t="shared" si="1"/>
        <v>100</v>
      </c>
      <c r="V15" s="1571" t="s">
        <v>8</v>
      </c>
      <c r="W15" s="1572">
        <f t="shared" si="2"/>
        <v>100</v>
      </c>
      <c r="X15" s="1565"/>
      <c r="Y15" s="3398"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0"/>
      <c r="M16" s="2132"/>
      <c r="N16" s="2132"/>
      <c r="O16" s="2139"/>
      <c r="P16" s="3399"/>
      <c r="Q16" s="1570"/>
      <c r="R16" s="1571"/>
      <c r="S16" s="1572"/>
      <c r="T16" s="1571"/>
      <c r="U16" s="1572"/>
      <c r="V16" s="1571"/>
      <c r="W16" s="1572"/>
      <c r="X16" s="1565"/>
      <c r="Y16" s="3399"/>
      <c r="Z16" s="1573"/>
      <c r="AA16" s="1574">
        <v>1</v>
      </c>
      <c r="AB16" s="1574">
        <v>1</v>
      </c>
      <c r="AC16" s="1574">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0"/>
      <c r="M18" s="2132"/>
      <c r="N18" s="2132"/>
      <c r="O18" s="2139"/>
      <c r="P18" s="3399"/>
      <c r="Q18" s="1570"/>
      <c r="R18" s="1571"/>
      <c r="S18" s="1572"/>
      <c r="T18" s="1571"/>
      <c r="U18" s="1572"/>
      <c r="V18" s="1571"/>
      <c r="W18" s="1572"/>
      <c r="X18" s="1565"/>
      <c r="Y18" s="3399"/>
      <c r="Z18" s="1573"/>
      <c r="AA18" s="1574">
        <v>1</v>
      </c>
      <c r="AB18" s="1574">
        <v>1</v>
      </c>
      <c r="AC18" s="1574">
        <v>1</v>
      </c>
    </row>
    <row r="19" spans="1:29" ht="15">
      <c r="A19" s="530"/>
      <c r="B19" s="2598"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0"/>
      <c r="M20" s="2132"/>
      <c r="N20" s="2132"/>
      <c r="O20" s="2139"/>
      <c r="P20" s="3399"/>
      <c r="Q20" s="1570"/>
      <c r="R20" s="1571"/>
      <c r="S20" s="1572"/>
      <c r="T20" s="1571"/>
      <c r="U20" s="1572"/>
      <c r="V20" s="1571"/>
      <c r="W20" s="1572"/>
      <c r="X20" s="1565"/>
      <c r="Y20" s="3399"/>
      <c r="Z20" s="1573"/>
      <c r="AA20" s="1574">
        <v>1</v>
      </c>
      <c r="AB20" s="1574">
        <v>1</v>
      </c>
      <c r="AC20" s="1574">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399"/>
      <c r="Q21" s="2577" t="str">
        <f>B21</f>
        <v>基础设施水平</v>
      </c>
      <c r="R21" s="1571" t="s">
        <v>8</v>
      </c>
      <c r="S21" s="1572">
        <f>F21</f>
        <v>100</v>
      </c>
      <c r="T21" s="1571" t="s">
        <v>8</v>
      </c>
      <c r="U21" s="1572">
        <f>H21</f>
        <v>100</v>
      </c>
      <c r="V21" s="1571" t="s">
        <v>8</v>
      </c>
      <c r="W21" s="1572">
        <f>J21</f>
        <v>100</v>
      </c>
      <c r="X21" s="2579"/>
      <c r="Y21" s="3399"/>
      <c r="Z21" s="257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00"/>
      <c r="L22" s="2140"/>
      <c r="M22" s="2132"/>
      <c r="N22" s="2132"/>
      <c r="O22" s="2139"/>
      <c r="P22" s="3399"/>
      <c r="Q22" s="2577"/>
      <c r="R22" s="1571"/>
      <c r="S22" s="1572"/>
      <c r="T22" s="1571"/>
      <c r="U22" s="1572"/>
      <c r="V22" s="1571"/>
      <c r="W22" s="1572"/>
      <c r="X22" s="2579"/>
      <c r="Y22" s="3399"/>
      <c r="Z22" s="2578"/>
      <c r="AA22" s="1574">
        <v>1</v>
      </c>
      <c r="AB22" s="1574">
        <v>1</v>
      </c>
      <c r="AC22" s="1574">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399"/>
      <c r="Q23" s="1570" t="str">
        <f>B23</f>
        <v>自然及人文环境</v>
      </c>
      <c r="R23" s="1571" t="s">
        <v>8</v>
      </c>
      <c r="S23" s="1572">
        <f>F23</f>
        <v>100</v>
      </c>
      <c r="T23" s="1571" t="s">
        <v>8</v>
      </c>
      <c r="U23" s="1572">
        <f>H23</f>
        <v>100</v>
      </c>
      <c r="V23" s="1571" t="s">
        <v>8</v>
      </c>
      <c r="W23" s="1572">
        <f>J23</f>
        <v>100</v>
      </c>
      <c r="X23" s="1565"/>
      <c r="Y23" s="339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0"/>
      <c r="M24" s="2132"/>
      <c r="N24" s="2132"/>
      <c r="O24" s="2139"/>
      <c r="P24" s="3399"/>
      <c r="Q24" s="1570"/>
      <c r="R24" s="1571"/>
      <c r="S24" s="1572"/>
      <c r="T24" s="1571"/>
      <c r="U24" s="1572"/>
      <c r="V24" s="1571"/>
      <c r="W24" s="1572"/>
      <c r="X24" s="1565"/>
      <c r="Y24" s="3399"/>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99"/>
      <c r="Q25" s="1570" t="str">
        <f t="shared" ref="Q25:Q46" si="11">B25</f>
        <v>临街状况</v>
      </c>
      <c r="R25" s="1571" t="s">
        <v>8</v>
      </c>
      <c r="S25" s="1572">
        <f>F25</f>
        <v>100</v>
      </c>
      <c r="T25" s="1571" t="s">
        <v>8</v>
      </c>
      <c r="U25" s="1572">
        <f>H25</f>
        <v>100</v>
      </c>
      <c r="V25" s="1571" t="s">
        <v>8</v>
      </c>
      <c r="W25" s="1572">
        <f>J25</f>
        <v>100</v>
      </c>
      <c r="X25" s="1565"/>
      <c r="Y25" s="3399"/>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99"/>
      <c r="Q26" s="1570" t="str">
        <f t="shared" si="11"/>
        <v>平面位置/可视性</v>
      </c>
      <c r="R26" s="1571" t="s">
        <v>8</v>
      </c>
      <c r="S26" s="1572">
        <f>F26</f>
        <v>100</v>
      </c>
      <c r="T26" s="1571" t="s">
        <v>8</v>
      </c>
      <c r="U26" s="1572">
        <f>H26</f>
        <v>100</v>
      </c>
      <c r="V26" s="1571" t="s">
        <v>8</v>
      </c>
      <c r="W26" s="1572">
        <f>J26</f>
        <v>100</v>
      </c>
      <c r="X26" s="1565"/>
      <c r="Y26" s="3399"/>
      <c r="Z26" s="1573" t="str">
        <f>Q26</f>
        <v>平面位置/可视性</v>
      </c>
      <c r="AA26" s="1574">
        <f t="shared" si="3"/>
        <v>1</v>
      </c>
      <c r="AB26" s="1574">
        <f t="shared" si="4"/>
        <v>1</v>
      </c>
      <c r="AC26" s="1574">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399"/>
      <c r="Q27" s="1149" t="str">
        <f t="shared" si="11"/>
        <v>人流量</v>
      </c>
      <c r="R27" s="1566" t="s">
        <v>8</v>
      </c>
      <c r="S27" s="1567">
        <f>F27</f>
        <v>100</v>
      </c>
      <c r="T27" s="1566" t="s">
        <v>8</v>
      </c>
      <c r="U27" s="1567">
        <f>H27</f>
        <v>100</v>
      </c>
      <c r="V27" s="1566" t="s">
        <v>8</v>
      </c>
      <c r="W27" s="1567">
        <f>J27</f>
        <v>100</v>
      </c>
      <c r="X27" s="1568"/>
      <c r="Y27" s="3399"/>
      <c r="Z27" s="1148"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9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9"/>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99"/>
      <c r="Q29" s="1570">
        <f t="shared" si="11"/>
        <v>111</v>
      </c>
      <c r="R29" s="1571" t="s">
        <v>8</v>
      </c>
      <c r="S29" s="1572">
        <f t="shared" si="12"/>
        <v>100</v>
      </c>
      <c r="T29" s="1571" t="s">
        <v>8</v>
      </c>
      <c r="U29" s="1572">
        <f t="shared" si="13"/>
        <v>100</v>
      </c>
      <c r="V29" s="1571" t="s">
        <v>8</v>
      </c>
      <c r="W29" s="1572">
        <f t="shared" si="14"/>
        <v>100</v>
      </c>
      <c r="X29" s="1565"/>
      <c r="Y29" s="339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99"/>
      <c r="Q30" s="1570">
        <f t="shared" si="11"/>
        <v>111</v>
      </c>
      <c r="R30" s="1571" t="s">
        <v>8</v>
      </c>
      <c r="S30" s="1572">
        <f t="shared" si="12"/>
        <v>100</v>
      </c>
      <c r="T30" s="1571" t="s">
        <v>8</v>
      </c>
      <c r="U30" s="1572">
        <f t="shared" si="13"/>
        <v>100</v>
      </c>
      <c r="V30" s="1571" t="s">
        <v>8</v>
      </c>
      <c r="W30" s="1572">
        <f t="shared" si="14"/>
        <v>100</v>
      </c>
      <c r="X30" s="1565"/>
      <c r="Y30" s="3399"/>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99"/>
      <c r="Q31" s="1570">
        <f t="shared" si="11"/>
        <v>111</v>
      </c>
      <c r="R31" s="1571" t="s">
        <v>8</v>
      </c>
      <c r="S31" s="1572">
        <f t="shared" si="12"/>
        <v>100</v>
      </c>
      <c r="T31" s="1571" t="s">
        <v>8</v>
      </c>
      <c r="U31" s="1572">
        <f t="shared" si="13"/>
        <v>100</v>
      </c>
      <c r="V31" s="1571" t="s">
        <v>8</v>
      </c>
      <c r="W31" s="1572">
        <f t="shared" si="14"/>
        <v>100</v>
      </c>
      <c r="X31" s="1565"/>
      <c r="Y31" s="3399"/>
      <c r="Z31" s="1573">
        <f t="shared" si="15"/>
        <v>111</v>
      </c>
      <c r="AA31" s="1574">
        <f t="shared" si="3"/>
        <v>1</v>
      </c>
      <c r="AB31" s="1574">
        <f t="shared" si="4"/>
        <v>1</v>
      </c>
      <c r="AC31" s="1574">
        <f t="shared" si="5"/>
        <v>1</v>
      </c>
    </row>
    <row r="32" spans="1:29" ht="15">
      <c r="A32" s="2905"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00" t="s">
        <v>550</v>
      </c>
      <c r="Q32" s="1570" t="str">
        <f t="shared" si="11"/>
        <v>商业类型</v>
      </c>
      <c r="R32" s="1571" t="s">
        <v>8</v>
      </c>
      <c r="S32" s="1572">
        <f t="shared" si="12"/>
        <v>100</v>
      </c>
      <c r="T32" s="1571" t="s">
        <v>8</v>
      </c>
      <c r="U32" s="1572">
        <f t="shared" si="13"/>
        <v>100</v>
      </c>
      <c r="V32" s="1571" t="s">
        <v>8</v>
      </c>
      <c r="W32" s="1572">
        <f t="shared" si="14"/>
        <v>100</v>
      </c>
      <c r="X32" s="1565"/>
      <c r="Y32" s="3401" t="s">
        <v>550</v>
      </c>
      <c r="Z32" s="1573" t="str">
        <f t="shared" si="15"/>
        <v>商业类型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01"/>
      <c r="Q33" s="1603" t="str">
        <f t="shared" si="11"/>
        <v>项目建筑规模</v>
      </c>
      <c r="R33" s="1575" t="s">
        <v>8</v>
      </c>
      <c r="S33" s="1576" t="e">
        <f t="shared" si="12"/>
        <v>#N/A</v>
      </c>
      <c r="T33" s="1575" t="s">
        <v>8</v>
      </c>
      <c r="U33" s="1576" t="e">
        <f t="shared" si="13"/>
        <v>#N/A</v>
      </c>
      <c r="V33" s="1575" t="s">
        <v>8</v>
      </c>
      <c r="W33" s="1576" t="e">
        <f t="shared" si="14"/>
        <v>#N/A</v>
      </c>
      <c r="X33" s="1577"/>
      <c r="Y33" s="3401"/>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01"/>
      <c r="Q34" s="1570" t="str">
        <f t="shared" si="11"/>
        <v>建筑结构</v>
      </c>
      <c r="R34" s="1571" t="s">
        <v>8</v>
      </c>
      <c r="S34" s="1572">
        <f t="shared" si="12"/>
        <v>100</v>
      </c>
      <c r="T34" s="1571" t="s">
        <v>8</v>
      </c>
      <c r="U34" s="1572">
        <f t="shared" si="13"/>
        <v>100</v>
      </c>
      <c r="V34" s="1571" t="s">
        <v>8</v>
      </c>
      <c r="W34" s="1572">
        <f t="shared" si="14"/>
        <v>100</v>
      </c>
      <c r="X34" s="1565"/>
      <c r="Y34" s="3401"/>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01"/>
      <c r="Q35" s="1570" t="str">
        <f t="shared" si="11"/>
        <v>公共部分装修</v>
      </c>
      <c r="R35" s="1571" t="s">
        <v>8</v>
      </c>
      <c r="S35" s="1572">
        <f t="shared" si="12"/>
        <v>100</v>
      </c>
      <c r="T35" s="1571" t="s">
        <v>8</v>
      </c>
      <c r="U35" s="1572">
        <f t="shared" si="13"/>
        <v>100</v>
      </c>
      <c r="V35" s="1571" t="s">
        <v>8</v>
      </c>
      <c r="W35" s="1572">
        <f t="shared" si="14"/>
        <v>100</v>
      </c>
      <c r="X35" s="1565"/>
      <c r="Y35" s="3401"/>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01"/>
      <c r="Q36" s="1570" t="str">
        <f t="shared" si="11"/>
        <v>成新度</v>
      </c>
      <c r="R36" s="1571" t="s">
        <v>8</v>
      </c>
      <c r="S36" s="1572" t="e">
        <f t="shared" si="12"/>
        <v>#N/A</v>
      </c>
      <c r="T36" s="1571" t="s">
        <v>8</v>
      </c>
      <c r="U36" s="1572" t="e">
        <f t="shared" si="13"/>
        <v>#N/A</v>
      </c>
      <c r="V36" s="1571" t="s">
        <v>8</v>
      </c>
      <c r="W36" s="1572" t="e">
        <f t="shared" si="14"/>
        <v>#N/A</v>
      </c>
      <c r="X36" s="1565"/>
      <c r="Y36" s="3401"/>
      <c r="Z36" s="1573" t="str">
        <f t="shared" si="15"/>
        <v>成新度</v>
      </c>
      <c r="AA36" s="1574" t="e">
        <f t="shared" si="3"/>
        <v>#N/A</v>
      </c>
      <c r="AB36" s="1574" t="e">
        <f t="shared" si="4"/>
        <v>#N/A</v>
      </c>
      <c r="AC36" s="1574" t="e">
        <f t="shared" si="5"/>
        <v>#N/A</v>
      </c>
    </row>
    <row r="37" spans="1:29" s="1218"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01"/>
      <c r="Q37" s="1149" t="str">
        <f t="shared" si="11"/>
        <v>市政基础设施</v>
      </c>
      <c r="R37" s="1566" t="s">
        <v>8</v>
      </c>
      <c r="S37" s="1567">
        <f t="shared" si="12"/>
        <v>100</v>
      </c>
      <c r="T37" s="1566" t="s">
        <v>8</v>
      </c>
      <c r="U37" s="1567">
        <f t="shared" si="13"/>
        <v>100</v>
      </c>
      <c r="V37" s="1566" t="s">
        <v>8</v>
      </c>
      <c r="W37" s="1567">
        <f t="shared" si="14"/>
        <v>100</v>
      </c>
      <c r="X37" s="1568"/>
      <c r="Y37" s="3401"/>
      <c r="Z37" s="1148"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01" t="s">
        <v>766</v>
      </c>
      <c r="Q38" s="1570" t="str">
        <f t="shared" si="11"/>
        <v>业态</v>
      </c>
      <c r="R38" s="1571" t="s">
        <v>8</v>
      </c>
      <c r="S38" s="1572">
        <f t="shared" si="12"/>
        <v>100</v>
      </c>
      <c r="T38" s="1571" t="s">
        <v>8</v>
      </c>
      <c r="U38" s="1572">
        <f t="shared" si="13"/>
        <v>100</v>
      </c>
      <c r="V38" s="1571" t="s">
        <v>8</v>
      </c>
      <c r="W38" s="1572">
        <f t="shared" si="14"/>
        <v>100</v>
      </c>
      <c r="X38" s="1565"/>
      <c r="Y38" s="3401"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01"/>
      <c r="Q39" s="1570" t="str">
        <f t="shared" si="11"/>
        <v>层高</v>
      </c>
      <c r="R39" s="1571" t="s">
        <v>8</v>
      </c>
      <c r="S39" s="1572">
        <f t="shared" si="12"/>
        <v>100</v>
      </c>
      <c r="T39" s="1571" t="s">
        <v>8</v>
      </c>
      <c r="U39" s="1572">
        <f t="shared" si="13"/>
        <v>100</v>
      </c>
      <c r="V39" s="1571" t="s">
        <v>8</v>
      </c>
      <c r="W39" s="1572">
        <f t="shared" si="14"/>
        <v>100</v>
      </c>
      <c r="X39" s="1565"/>
      <c r="Y39" s="3401"/>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01"/>
      <c r="Q40" s="1570" t="str">
        <f t="shared" si="11"/>
        <v>单套建筑面积</v>
      </c>
      <c r="R40" s="1571" t="s">
        <v>8</v>
      </c>
      <c r="S40" s="1572">
        <f t="shared" si="12"/>
        <v>100</v>
      </c>
      <c r="T40" s="1571" t="s">
        <v>8</v>
      </c>
      <c r="U40" s="1572">
        <f t="shared" si="13"/>
        <v>100</v>
      </c>
      <c r="V40" s="1571" t="s">
        <v>8</v>
      </c>
      <c r="W40" s="1572">
        <f t="shared" si="14"/>
        <v>100</v>
      </c>
      <c r="X40" s="1565"/>
      <c r="Y40" s="3401"/>
      <c r="Z40" s="1573" t="str">
        <f t="shared" si="15"/>
        <v>单套建筑面积</v>
      </c>
      <c r="AA40" s="1574">
        <f t="shared" si="3"/>
        <v>1</v>
      </c>
      <c r="AB40" s="1574">
        <f t="shared" si="4"/>
        <v>1</v>
      </c>
      <c r="AC40" s="1574">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01"/>
      <c r="Q41" s="1603" t="str">
        <f t="shared" si="11"/>
        <v>进深比</v>
      </c>
      <c r="R41" s="1575" t="s">
        <v>8</v>
      </c>
      <c r="S41" s="1576">
        <f t="shared" si="12"/>
        <v>100</v>
      </c>
      <c r="T41" s="1575" t="s">
        <v>8</v>
      </c>
      <c r="U41" s="1576">
        <f t="shared" si="13"/>
        <v>100</v>
      </c>
      <c r="V41" s="1575" t="s">
        <v>8</v>
      </c>
      <c r="W41" s="1576">
        <f t="shared" si="14"/>
        <v>100</v>
      </c>
      <c r="X41" s="1577"/>
      <c r="Y41" s="3401"/>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01"/>
      <c r="Q42" s="1570" t="str">
        <f t="shared" si="11"/>
        <v>内部装修</v>
      </c>
      <c r="R42" s="1571" t="s">
        <v>8</v>
      </c>
      <c r="S42" s="1572">
        <f t="shared" si="12"/>
        <v>100</v>
      </c>
      <c r="T42" s="1571" t="s">
        <v>8</v>
      </c>
      <c r="U42" s="1572">
        <f t="shared" si="13"/>
        <v>100</v>
      </c>
      <c r="V42" s="1571" t="s">
        <v>8</v>
      </c>
      <c r="W42" s="1572">
        <f t="shared" si="14"/>
        <v>100</v>
      </c>
      <c r="X42" s="1565"/>
      <c r="Y42" s="3401"/>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01"/>
      <c r="Q43" s="1570" t="str">
        <f t="shared" si="11"/>
        <v>内部装修维护情况</v>
      </c>
      <c r="R43" s="1571" t="s">
        <v>8</v>
      </c>
      <c r="S43" s="1572">
        <f t="shared" si="12"/>
        <v>100</v>
      </c>
      <c r="T43" s="1571" t="s">
        <v>8</v>
      </c>
      <c r="U43" s="1572">
        <f t="shared" si="13"/>
        <v>100</v>
      </c>
      <c r="V43" s="1571" t="s">
        <v>8</v>
      </c>
      <c r="W43" s="1572">
        <f t="shared" si="14"/>
        <v>100</v>
      </c>
      <c r="X43" s="1565"/>
      <c r="Y43" s="3401"/>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01"/>
      <c r="Q44" s="1149">
        <f t="shared" si="11"/>
        <v>111</v>
      </c>
      <c r="R44" s="1566" t="s">
        <v>8</v>
      </c>
      <c r="S44" s="1567">
        <f t="shared" si="12"/>
        <v>100</v>
      </c>
      <c r="T44" s="1566" t="s">
        <v>8</v>
      </c>
      <c r="U44" s="1567">
        <f t="shared" si="13"/>
        <v>100</v>
      </c>
      <c r="V44" s="1566" t="s">
        <v>8</v>
      </c>
      <c r="W44" s="1567">
        <f t="shared" si="14"/>
        <v>100</v>
      </c>
      <c r="X44" s="1568"/>
      <c r="Y44" s="3401"/>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01"/>
      <c r="Q45" s="1570">
        <f t="shared" si="11"/>
        <v>111</v>
      </c>
      <c r="R45" s="1571" t="s">
        <v>8</v>
      </c>
      <c r="S45" s="1572">
        <f t="shared" si="12"/>
        <v>100</v>
      </c>
      <c r="T45" s="1571" t="s">
        <v>8</v>
      </c>
      <c r="U45" s="1572">
        <f t="shared" si="13"/>
        <v>100</v>
      </c>
      <c r="V45" s="1571" t="s">
        <v>8</v>
      </c>
      <c r="W45" s="1572">
        <f t="shared" si="14"/>
        <v>100</v>
      </c>
      <c r="X45" s="1565"/>
      <c r="Y45" s="3401"/>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79"/>
      <c r="Q46" s="1570">
        <f t="shared" si="11"/>
        <v>111</v>
      </c>
      <c r="R46" s="1571" t="s">
        <v>8</v>
      </c>
      <c r="S46" s="1572">
        <f t="shared" si="12"/>
        <v>100</v>
      </c>
      <c r="T46" s="1571" t="s">
        <v>8</v>
      </c>
      <c r="U46" s="1572">
        <f t="shared" si="13"/>
        <v>100</v>
      </c>
      <c r="V46" s="1571" t="s">
        <v>8</v>
      </c>
      <c r="W46" s="1572">
        <f t="shared" si="14"/>
        <v>100</v>
      </c>
      <c r="X46" s="1565"/>
      <c r="Y46" s="3479"/>
      <c r="Z46" s="1573">
        <f t="shared" si="15"/>
        <v>111</v>
      </c>
      <c r="AA46" s="1574">
        <f t="shared" si="3"/>
        <v>1</v>
      </c>
      <c r="AB46" s="1574">
        <f t="shared" si="4"/>
        <v>1</v>
      </c>
      <c r="AC46" s="1574">
        <f t="shared" si="5"/>
        <v>1</v>
      </c>
    </row>
    <row r="47" spans="1:29" ht="15">
      <c r="A47" s="605" t="s">
        <v>736</v>
      </c>
      <c r="B47" s="885"/>
      <c r="C47" s="2625" t="s">
        <v>1</v>
      </c>
      <c r="D47" s="2626"/>
      <c r="E47" s="2627"/>
      <c r="F47" s="2628"/>
      <c r="G47" s="2629"/>
      <c r="H47" s="2630"/>
      <c r="I47" s="2627"/>
      <c r="J47" s="2630"/>
      <c r="K47" s="1609"/>
      <c r="L47" s="2142"/>
      <c r="M47" s="2143"/>
      <c r="N47" s="2132"/>
      <c r="O47" s="2143"/>
      <c r="P47" s="3362" t="str">
        <f>A47</f>
        <v>成交单价（元/平方米）</v>
      </c>
      <c r="Q47" s="3362"/>
      <c r="R47" s="3478">
        <f>E47</f>
        <v>0</v>
      </c>
      <c r="S47" s="3478"/>
      <c r="T47" s="3478">
        <f>G47</f>
        <v>0</v>
      </c>
      <c r="U47" s="3478"/>
      <c r="V47" s="3478">
        <f>I47</f>
        <v>0</v>
      </c>
      <c r="W47" s="3478"/>
      <c r="X47" s="1557"/>
      <c r="Y47" s="1579"/>
      <c r="Z47" s="1557"/>
      <c r="AA47" s="1557"/>
      <c r="AB47" s="1557"/>
      <c r="AC47" s="1557"/>
    </row>
    <row r="48" spans="1:29" ht="15.75" thickBot="1">
      <c r="A48" s="613" t="s">
        <v>2761</v>
      </c>
      <c r="B48" s="886"/>
      <c r="C48" s="2631" t="e">
        <f>R49</f>
        <v>#DIV/0!</v>
      </c>
      <c r="D48" s="2632"/>
      <c r="E48" s="2633" t="e">
        <f>R48</f>
        <v>#DIV/0!</v>
      </c>
      <c r="F48" s="2633"/>
      <c r="G48" s="2631" t="e">
        <f>T48</f>
        <v>#DIV/0!</v>
      </c>
      <c r="H48" s="2632"/>
      <c r="I48" s="2633" t="e">
        <f>V48</f>
        <v>#DIV/0!</v>
      </c>
      <c r="J48" s="2632"/>
      <c r="K48" s="1610"/>
      <c r="L48" s="2142"/>
      <c r="M48" s="2143"/>
      <c r="N48" s="2132"/>
      <c r="O48" s="2143"/>
      <c r="P48" s="3362" t="str">
        <f>A48</f>
        <v>比较价格（元/平方米）</v>
      </c>
      <c r="Q48" s="3362"/>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7"/>
      <c r="Y48" s="1557"/>
      <c r="Z48" s="1557"/>
      <c r="AA48" s="1557"/>
      <c r="AB48" s="1557"/>
      <c r="AC48" s="1557"/>
    </row>
    <row r="49" spans="1:29" ht="15.75" thickBot="1">
      <c r="A49" s="619" t="s">
        <v>2928</v>
      </c>
      <c r="B49" s="620"/>
      <c r="C49" s="2634" t="e">
        <f>R49</f>
        <v>#DIV/0!</v>
      </c>
      <c r="D49" s="2634"/>
      <c r="E49" s="2634"/>
      <c r="F49" s="2634"/>
      <c r="G49" s="2634"/>
      <c r="H49" s="2634"/>
      <c r="I49" s="2634"/>
      <c r="J49" s="2634"/>
      <c r="K49" s="1611"/>
      <c r="L49" s="2142"/>
      <c r="M49" s="2143"/>
      <c r="N49" s="2132"/>
      <c r="O49" s="2143"/>
      <c r="P49" s="3359" t="str">
        <f>A49</f>
        <v>估价对象XX用房的比较价格（楼面单价，元/平方米）</v>
      </c>
      <c r="Q49" s="3360"/>
      <c r="R49" s="3477" t="e">
        <f>IF(F1="售价",ROUND(AVERAGE(R48:V48),0),ROUND(AVERAGE(R48:V48),1))</f>
        <v>#DIV/0!</v>
      </c>
      <c r="S49" s="3477"/>
      <c r="T49" s="3477"/>
      <c r="U49" s="3477"/>
      <c r="V49" s="3477"/>
      <c r="W49" s="3477"/>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529</v>
      </c>
      <c r="B58" s="644"/>
      <c r="C58" s="2800"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5"/>
      <c r="G1" s="1599" t="s">
        <v>721</v>
      </c>
      <c r="H1" s="504"/>
      <c r="I1" s="504"/>
      <c r="J1" s="504"/>
      <c r="K1" s="505"/>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0" t="s">
        <v>521</v>
      </c>
      <c r="B4" s="511"/>
      <c r="C4" s="3368" t="s">
        <v>522</v>
      </c>
      <c r="D4" s="3369"/>
      <c r="E4" s="3405" t="s">
        <v>523</v>
      </c>
      <c r="F4" s="3406"/>
      <c r="G4" s="3368" t="s">
        <v>524</v>
      </c>
      <c r="H4" s="3369"/>
      <c r="I4" s="3368" t="s">
        <v>525</v>
      </c>
      <c r="J4" s="3369"/>
      <c r="K4" s="512" t="s">
        <v>526</v>
      </c>
      <c r="L4" s="2131"/>
      <c r="M4" s="2132"/>
      <c r="N4" s="2132"/>
      <c r="O4" s="2132"/>
      <c r="P4" s="3481" t="s">
        <v>527</v>
      </c>
      <c r="Q4" s="3371"/>
      <c r="R4" s="3376" t="s">
        <v>523</v>
      </c>
      <c r="S4" s="3377"/>
      <c r="T4" s="3376" t="s">
        <v>524</v>
      </c>
      <c r="U4" s="3377"/>
      <c r="V4" s="3363" t="s">
        <v>525</v>
      </c>
      <c r="W4" s="3363"/>
      <c r="X4" s="1565"/>
      <c r="Y4" s="3376" t="s">
        <v>527</v>
      </c>
      <c r="Z4" s="3377"/>
      <c r="AA4" s="3365" t="s">
        <v>523</v>
      </c>
      <c r="AB4" s="3365" t="s">
        <v>524</v>
      </c>
      <c r="AC4" s="3365" t="s">
        <v>525</v>
      </c>
    </row>
    <row r="5" spans="1:29" ht="15">
      <c r="A5" s="513"/>
      <c r="B5" s="514"/>
      <c r="C5" s="3386" t="s">
        <v>2922</v>
      </c>
      <c r="D5" s="3385"/>
      <c r="E5" s="3407" t="s">
        <v>2923</v>
      </c>
      <c r="F5" s="3408"/>
      <c r="G5" s="3386" t="s">
        <v>2924</v>
      </c>
      <c r="H5" s="3385"/>
      <c r="I5" s="3386" t="s">
        <v>2925</v>
      </c>
      <c r="J5" s="3385"/>
      <c r="K5" s="512"/>
      <c r="L5" s="2131"/>
      <c r="M5" s="2132"/>
      <c r="N5" s="2132"/>
      <c r="O5" s="2132"/>
      <c r="P5" s="3482"/>
      <c r="Q5" s="3373"/>
      <c r="R5" s="3378"/>
      <c r="S5" s="3379"/>
      <c r="T5" s="3378"/>
      <c r="U5" s="3379"/>
      <c r="V5" s="3363"/>
      <c r="W5" s="3363"/>
      <c r="X5" s="1565"/>
      <c r="Y5" s="3378"/>
      <c r="Z5" s="3379"/>
      <c r="AA5" s="3366"/>
      <c r="AB5" s="3366"/>
      <c r="AC5" s="3366"/>
    </row>
    <row r="6" spans="1:29" ht="15.75" thickBot="1">
      <c r="A6" s="515"/>
      <c r="B6" s="516"/>
      <c r="C6" s="3402" t="s">
        <v>2926</v>
      </c>
      <c r="D6" s="3383"/>
      <c r="E6" s="3403" t="s">
        <v>2926</v>
      </c>
      <c r="F6" s="3404"/>
      <c r="G6" s="3402" t="s">
        <v>2926</v>
      </c>
      <c r="H6" s="3383"/>
      <c r="I6" s="3402" t="s">
        <v>2926</v>
      </c>
      <c r="J6" s="3383"/>
      <c r="K6" s="512" t="s">
        <v>528</v>
      </c>
      <c r="L6" s="2131"/>
      <c r="M6" s="2132"/>
      <c r="N6" s="2132"/>
      <c r="O6" s="2132"/>
      <c r="P6" s="3483"/>
      <c r="Q6" s="3375"/>
      <c r="R6" s="3378"/>
      <c r="S6" s="3379"/>
      <c r="T6" s="3380"/>
      <c r="U6" s="3381"/>
      <c r="V6" s="3363"/>
      <c r="W6" s="3363"/>
      <c r="X6" s="1565"/>
      <c r="Y6" s="3380"/>
      <c r="Z6" s="3381"/>
      <c r="AA6" s="3367"/>
      <c r="AB6" s="3367"/>
      <c r="AC6" s="3367"/>
    </row>
    <row r="7" spans="1:29" s="1218" customFormat="1" ht="15.75" thickBot="1">
      <c r="A7" s="2909"/>
      <c r="B7" s="2916" t="s">
        <v>529</v>
      </c>
      <c r="C7" s="517">
        <f>'数据-取费表'!B2</f>
        <v>43327</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97"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7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97" t="s">
        <v>533</v>
      </c>
      <c r="Q8" s="3396"/>
      <c r="R8" s="1566" t="s">
        <v>8</v>
      </c>
      <c r="S8" s="1567">
        <f t="shared" si="0"/>
        <v>0</v>
      </c>
      <c r="T8" s="1566" t="s">
        <v>8</v>
      </c>
      <c r="U8" s="1567">
        <f t="shared" si="1"/>
        <v>0</v>
      </c>
      <c r="V8" s="1566" t="s">
        <v>8</v>
      </c>
      <c r="W8" s="1567">
        <f t="shared" si="2"/>
        <v>0</v>
      </c>
      <c r="X8" s="1568"/>
      <c r="Y8" s="3395" t="s">
        <v>533</v>
      </c>
      <c r="Z8" s="3396"/>
      <c r="AA8" s="1569" t="e">
        <f t="shared" ref="AA8:AA47" si="3">D8/F8</f>
        <v>#DIV/0!</v>
      </c>
      <c r="AB8" s="1569" t="e">
        <f t="shared" ref="AB8:AB47" si="4">D8/H8</f>
        <v>#DIV/0!</v>
      </c>
      <c r="AC8" s="1569" t="e">
        <f t="shared" ref="AC8:AC47" si="5">D8/J8</f>
        <v>#DIV/0!</v>
      </c>
    </row>
    <row r="9" spans="1:29" s="1218" customFormat="1" ht="15">
      <c r="A9" s="2911"/>
      <c r="B9" s="2918"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62" t="s">
        <v>535</v>
      </c>
      <c r="Q9" s="1149" t="str">
        <f t="shared" ref="Q9:Q15" si="6">B9</f>
        <v>用途</v>
      </c>
      <c r="R9" s="1566" t="s">
        <v>8</v>
      </c>
      <c r="S9" s="1567">
        <f t="shared" si="0"/>
        <v>100</v>
      </c>
      <c r="T9" s="1566" t="s">
        <v>8</v>
      </c>
      <c r="U9" s="1567">
        <f t="shared" si="1"/>
        <v>100</v>
      </c>
      <c r="V9" s="1566" t="s">
        <v>8</v>
      </c>
      <c r="W9" s="1567">
        <f t="shared" si="2"/>
        <v>100</v>
      </c>
      <c r="X9" s="1568"/>
      <c r="Y9" s="3308" t="s">
        <v>536</v>
      </c>
      <c r="Z9" s="1148" t="str">
        <f t="shared" ref="Z9:Z15" si="7">Q9</f>
        <v>用途</v>
      </c>
      <c r="AA9" s="1569">
        <f t="shared" si="3"/>
        <v>1</v>
      </c>
      <c r="AB9" s="1569">
        <f t="shared" si="4"/>
        <v>1</v>
      </c>
      <c r="AC9" s="1569">
        <f t="shared" si="5"/>
        <v>1</v>
      </c>
    </row>
    <row r="10" spans="1:29" s="1336" customFormat="1" ht="27">
      <c r="A10" s="2912"/>
      <c r="B10" s="2917"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3"/>
      <c r="B11" s="2917"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75"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15">
      <c r="A15" s="2907" t="s">
        <v>2755</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398" t="s">
        <v>540</v>
      </c>
      <c r="Q15" s="1570" t="str">
        <f t="shared" si="6"/>
        <v>办公集聚程度</v>
      </c>
      <c r="R15" s="1571" t="s">
        <v>8</v>
      </c>
      <c r="S15" s="1572">
        <f t="shared" si="0"/>
        <v>100</v>
      </c>
      <c r="T15" s="1571" t="s">
        <v>8</v>
      </c>
      <c r="U15" s="1572">
        <f t="shared" si="1"/>
        <v>100</v>
      </c>
      <c r="V15" s="1571" t="s">
        <v>8</v>
      </c>
      <c r="W15" s="1572">
        <f t="shared" si="2"/>
        <v>100</v>
      </c>
      <c r="X15" s="1565"/>
      <c r="Y15" s="3398"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0"/>
      <c r="M16" s="2132"/>
      <c r="N16" s="2132"/>
      <c r="O16" s="2132"/>
      <c r="P16" s="3399"/>
      <c r="Q16" s="1570"/>
      <c r="R16" s="1571"/>
      <c r="S16" s="1572"/>
      <c r="T16" s="1571"/>
      <c r="U16" s="1572"/>
      <c r="V16" s="1571"/>
      <c r="W16" s="1572"/>
      <c r="X16" s="1565"/>
      <c r="Y16" s="3399"/>
      <c r="Z16" s="1573"/>
      <c r="AA16" s="1574">
        <v>1</v>
      </c>
      <c r="AB16" s="1574">
        <v>1</v>
      </c>
      <c r="AC16" s="1574">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0"/>
      <c r="M18" s="2132"/>
      <c r="N18" s="2132"/>
      <c r="O18" s="2132"/>
      <c r="P18" s="3399"/>
      <c r="Q18" s="1570"/>
      <c r="R18" s="1571"/>
      <c r="S18" s="1572"/>
      <c r="T18" s="1571"/>
      <c r="U18" s="1572"/>
      <c r="V18" s="1571"/>
      <c r="W18" s="1572"/>
      <c r="X18" s="1565"/>
      <c r="Y18" s="3399"/>
      <c r="Z18" s="1573"/>
      <c r="AA18" s="1574">
        <v>1</v>
      </c>
      <c r="AB18" s="1574">
        <v>1</v>
      </c>
      <c r="AC18" s="1574">
        <v>1</v>
      </c>
    </row>
    <row r="19" spans="1:29" ht="15">
      <c r="A19" s="530"/>
      <c r="B19" s="2601" t="s">
        <v>2547</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0"/>
      <c r="M20" s="2132"/>
      <c r="N20" s="2132"/>
      <c r="O20" s="2132"/>
      <c r="P20" s="3399"/>
      <c r="Q20" s="1570"/>
      <c r="R20" s="1571"/>
      <c r="S20" s="1572"/>
      <c r="T20" s="1571"/>
      <c r="U20" s="1572"/>
      <c r="V20" s="1571"/>
      <c r="W20" s="1572"/>
      <c r="X20" s="1565"/>
      <c r="Y20" s="3399"/>
      <c r="Z20" s="1573"/>
      <c r="AA20" s="1574">
        <v>1</v>
      </c>
      <c r="AB20" s="1574">
        <v>1</v>
      </c>
      <c r="AC20" s="1574">
        <v>1</v>
      </c>
    </row>
    <row r="21" spans="1:29" ht="15">
      <c r="A21" s="530"/>
      <c r="B21" s="2589" t="s">
        <v>2559</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399"/>
      <c r="Q21" s="2577" t="str">
        <f>B21</f>
        <v>基础设施水平</v>
      </c>
      <c r="R21" s="1571" t="s">
        <v>8</v>
      </c>
      <c r="S21" s="1572">
        <f>F21</f>
        <v>100</v>
      </c>
      <c r="T21" s="1571" t="s">
        <v>8</v>
      </c>
      <c r="U21" s="1572">
        <f>H21</f>
        <v>100</v>
      </c>
      <c r="V21" s="1571" t="s">
        <v>8</v>
      </c>
      <c r="W21" s="1572">
        <f>J21</f>
        <v>100</v>
      </c>
      <c r="X21" s="2579"/>
      <c r="Y21" s="3399"/>
      <c r="Z21" s="2578"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00"/>
      <c r="L22" s="2140"/>
      <c r="M22" s="2132"/>
      <c r="N22" s="2132"/>
      <c r="O22" s="2132"/>
      <c r="P22" s="3399"/>
      <c r="Q22" s="2577"/>
      <c r="R22" s="1571"/>
      <c r="S22" s="1572"/>
      <c r="T22" s="1571"/>
      <c r="U22" s="1572"/>
      <c r="V22" s="1571"/>
      <c r="W22" s="1572"/>
      <c r="X22" s="2579"/>
      <c r="Y22" s="3399"/>
      <c r="Z22" s="2578"/>
      <c r="AA22" s="1574">
        <v>1</v>
      </c>
      <c r="AB22" s="1574">
        <v>1</v>
      </c>
      <c r="AC22" s="1574">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399"/>
      <c r="Q23" s="1570" t="str">
        <f>B23</f>
        <v>环境质量</v>
      </c>
      <c r="R23" s="1571" t="s">
        <v>8</v>
      </c>
      <c r="S23" s="1572">
        <f>F23</f>
        <v>100</v>
      </c>
      <c r="T23" s="1571" t="s">
        <v>8</v>
      </c>
      <c r="U23" s="1572">
        <f>H23</f>
        <v>100</v>
      </c>
      <c r="V23" s="1571" t="s">
        <v>8</v>
      </c>
      <c r="W23" s="1572">
        <f>J23</f>
        <v>100</v>
      </c>
      <c r="X23" s="1565"/>
      <c r="Y23" s="3399"/>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0"/>
      <c r="M24" s="2132"/>
      <c r="N24" s="2132"/>
      <c r="O24" s="2132"/>
      <c r="P24" s="3399"/>
      <c r="Q24" s="1570"/>
      <c r="R24" s="1571"/>
      <c r="S24" s="1572"/>
      <c r="T24" s="1571"/>
      <c r="U24" s="1572"/>
      <c r="V24" s="1571"/>
      <c r="W24" s="1572"/>
      <c r="X24" s="1565"/>
      <c r="Y24" s="3399"/>
      <c r="Z24" s="1573"/>
      <c r="AA24" s="1574">
        <v>1</v>
      </c>
      <c r="AB24" s="1574">
        <v>1</v>
      </c>
      <c r="AC24" s="1574">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399"/>
      <c r="Q25" s="1570" t="str">
        <f>B25</f>
        <v>毗邻道路的类型与等级</v>
      </c>
      <c r="R25" s="1571" t="s">
        <v>8</v>
      </c>
      <c r="S25" s="1572">
        <f>F25</f>
        <v>100</v>
      </c>
      <c r="T25" s="1571" t="s">
        <v>8</v>
      </c>
      <c r="U25" s="1572">
        <f>H25</f>
        <v>100</v>
      </c>
      <c r="V25" s="1571" t="s">
        <v>8</v>
      </c>
      <c r="W25" s="1572">
        <f>J25</f>
        <v>100</v>
      </c>
      <c r="X25" s="1565"/>
      <c r="Y25" s="3399"/>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0"/>
      <c r="M26" s="2132"/>
      <c r="N26" s="2132"/>
      <c r="O26" s="2132"/>
      <c r="P26" s="3399"/>
      <c r="Q26" s="1570"/>
      <c r="R26" s="1571"/>
      <c r="S26" s="1572"/>
      <c r="T26" s="1571"/>
      <c r="U26" s="1572"/>
      <c r="V26" s="1571"/>
      <c r="W26" s="1572"/>
      <c r="X26" s="1565"/>
      <c r="Y26" s="3399"/>
      <c r="Z26" s="1573"/>
      <c r="AA26" s="1574">
        <v>1</v>
      </c>
      <c r="AB26" s="1574">
        <v>1</v>
      </c>
      <c r="AC26" s="1574">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99"/>
      <c r="Q27" s="1570" t="str">
        <f t="shared" ref="Q27:Q47" si="11">B27</f>
        <v>楼层</v>
      </c>
      <c r="R27" s="1571" t="s">
        <v>8</v>
      </c>
      <c r="S27" s="1572">
        <f>F27</f>
        <v>100</v>
      </c>
      <c r="T27" s="1571" t="s">
        <v>8</v>
      </c>
      <c r="U27" s="1572">
        <f>H27</f>
        <v>100</v>
      </c>
      <c r="V27" s="1571" t="s">
        <v>8</v>
      </c>
      <c r="W27" s="1572">
        <f>J27</f>
        <v>100</v>
      </c>
      <c r="X27" s="1565"/>
      <c r="Y27" s="3399"/>
      <c r="Z27" s="1573" t="str">
        <f>Q27</f>
        <v>楼层</v>
      </c>
      <c r="AA27" s="1574">
        <f t="shared" si="3"/>
        <v>1</v>
      </c>
      <c r="AB27" s="1574">
        <f t="shared" si="4"/>
        <v>1</v>
      </c>
      <c r="AC27" s="1574">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399"/>
      <c r="Q28" s="1149" t="str">
        <f t="shared" si="11"/>
        <v>朝向</v>
      </c>
      <c r="R28" s="1566" t="s">
        <v>8</v>
      </c>
      <c r="S28" s="1567">
        <f>F28</f>
        <v>100</v>
      </c>
      <c r="T28" s="1566" t="s">
        <v>8</v>
      </c>
      <c r="U28" s="1567">
        <f>H28</f>
        <v>100</v>
      </c>
      <c r="V28" s="1566" t="s">
        <v>8</v>
      </c>
      <c r="W28" s="1567">
        <f>J28</f>
        <v>100</v>
      </c>
      <c r="X28" s="1568"/>
      <c r="Y28" s="3399"/>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399"/>
      <c r="Q29" s="1570">
        <f t="shared" si="11"/>
        <v>111</v>
      </c>
      <c r="R29" s="1571" t="s">
        <v>8</v>
      </c>
      <c r="S29" s="1572">
        <f t="shared" ref="S29:S47" si="12">F29</f>
        <v>100</v>
      </c>
      <c r="T29" s="1571" t="s">
        <v>8</v>
      </c>
      <c r="U29" s="1572">
        <f t="shared" ref="U29:U47" si="13">H29</f>
        <v>100</v>
      </c>
      <c r="V29" s="1571" t="s">
        <v>8</v>
      </c>
      <c r="W29" s="1572">
        <f t="shared" ref="W29:W47" si="14">J29</f>
        <v>100</v>
      </c>
      <c r="X29" s="1565"/>
      <c r="Y29" s="3399"/>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399"/>
      <c r="Q30" s="1570">
        <f t="shared" si="11"/>
        <v>111</v>
      </c>
      <c r="R30" s="1571" t="s">
        <v>8</v>
      </c>
      <c r="S30" s="1572">
        <f t="shared" si="12"/>
        <v>100</v>
      </c>
      <c r="T30" s="1571" t="s">
        <v>8</v>
      </c>
      <c r="U30" s="1572">
        <f t="shared" si="13"/>
        <v>100</v>
      </c>
      <c r="V30" s="1571" t="s">
        <v>8</v>
      </c>
      <c r="W30" s="1572">
        <f t="shared" si="14"/>
        <v>100</v>
      </c>
      <c r="X30" s="1565"/>
      <c r="Y30" s="3399"/>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399"/>
      <c r="Q31" s="1570">
        <f t="shared" si="11"/>
        <v>111</v>
      </c>
      <c r="R31" s="1571" t="s">
        <v>8</v>
      </c>
      <c r="S31" s="1572">
        <f t="shared" si="12"/>
        <v>100</v>
      </c>
      <c r="T31" s="1571" t="s">
        <v>8</v>
      </c>
      <c r="U31" s="1572">
        <f t="shared" si="13"/>
        <v>100</v>
      </c>
      <c r="V31" s="1571" t="s">
        <v>8</v>
      </c>
      <c r="W31" s="1572">
        <f t="shared" si="14"/>
        <v>100</v>
      </c>
      <c r="X31" s="1565"/>
      <c r="Y31" s="3399"/>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399"/>
      <c r="Q32" s="1570">
        <f t="shared" si="11"/>
        <v>111</v>
      </c>
      <c r="R32" s="1571" t="s">
        <v>8</v>
      </c>
      <c r="S32" s="1572">
        <f t="shared" si="12"/>
        <v>100</v>
      </c>
      <c r="T32" s="1571" t="s">
        <v>8</v>
      </c>
      <c r="U32" s="1572">
        <f t="shared" si="13"/>
        <v>100</v>
      </c>
      <c r="V32" s="1571" t="s">
        <v>8</v>
      </c>
      <c r="W32" s="1572">
        <f t="shared" si="14"/>
        <v>100</v>
      </c>
      <c r="X32" s="1565"/>
      <c r="Y32" s="3399"/>
      <c r="Z32" s="1573">
        <f t="shared" si="15"/>
        <v>111</v>
      </c>
      <c r="AA32" s="1574">
        <f t="shared" si="3"/>
        <v>1</v>
      </c>
      <c r="AB32" s="1574">
        <f t="shared" si="4"/>
        <v>1</v>
      </c>
      <c r="AC32" s="1574">
        <f t="shared" si="5"/>
        <v>1</v>
      </c>
    </row>
    <row r="33" spans="1:29" ht="15">
      <c r="A33" s="2905" t="s">
        <v>2756</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00" t="s">
        <v>550</v>
      </c>
      <c r="Q33" s="1570" t="str">
        <f t="shared" si="11"/>
        <v>建筑类型</v>
      </c>
      <c r="R33" s="1571" t="s">
        <v>8</v>
      </c>
      <c r="S33" s="1572">
        <f t="shared" si="12"/>
        <v>100</v>
      </c>
      <c r="T33" s="1571" t="s">
        <v>8</v>
      </c>
      <c r="U33" s="1572">
        <f t="shared" si="13"/>
        <v>100</v>
      </c>
      <c r="V33" s="1571" t="s">
        <v>8</v>
      </c>
      <c r="W33" s="1572">
        <f t="shared" si="14"/>
        <v>100</v>
      </c>
      <c r="X33" s="1565"/>
      <c r="Y33" s="3401" t="s">
        <v>550</v>
      </c>
      <c r="Z33" s="1573" t="str">
        <f t="shared" si="15"/>
        <v>建筑类型</v>
      </c>
      <c r="AA33" s="1574">
        <f t="shared" si="3"/>
        <v>1</v>
      </c>
      <c r="AB33" s="1574">
        <f t="shared" si="4"/>
        <v>1</v>
      </c>
      <c r="AC33" s="1574">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01"/>
      <c r="Q34" s="1603" t="str">
        <f t="shared" si="11"/>
        <v>项目建筑规模</v>
      </c>
      <c r="R34" s="1575" t="s">
        <v>8</v>
      </c>
      <c r="S34" s="1576" t="e">
        <f t="shared" si="12"/>
        <v>#N/A</v>
      </c>
      <c r="T34" s="1575" t="s">
        <v>8</v>
      </c>
      <c r="U34" s="1576" t="e">
        <f t="shared" si="13"/>
        <v>#N/A</v>
      </c>
      <c r="V34" s="1575" t="s">
        <v>8</v>
      </c>
      <c r="W34" s="1576" t="e">
        <f t="shared" si="14"/>
        <v>#N/A</v>
      </c>
      <c r="X34" s="1577"/>
      <c r="Y34" s="3401"/>
      <c r="Z34" s="1578" t="str">
        <f t="shared" si="15"/>
        <v>项目建筑规模</v>
      </c>
      <c r="AA34" s="1574" t="e">
        <f t="shared" si="3"/>
        <v>#N/A</v>
      </c>
      <c r="AB34" s="1574" t="e">
        <f t="shared" si="4"/>
        <v>#N/A</v>
      </c>
      <c r="AC34" s="1574"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01"/>
      <c r="Q35" s="1570" t="str">
        <f t="shared" si="11"/>
        <v>建筑结构</v>
      </c>
      <c r="R35" s="1571" t="s">
        <v>8</v>
      </c>
      <c r="S35" s="1572">
        <f t="shared" si="12"/>
        <v>100</v>
      </c>
      <c r="T35" s="1571" t="s">
        <v>8</v>
      </c>
      <c r="U35" s="1572">
        <f t="shared" si="13"/>
        <v>100</v>
      </c>
      <c r="V35" s="1571" t="s">
        <v>8</v>
      </c>
      <c r="W35" s="1572">
        <f t="shared" si="14"/>
        <v>100</v>
      </c>
      <c r="X35" s="1565"/>
      <c r="Y35" s="3401"/>
      <c r="Z35" s="1573" t="str">
        <f t="shared" si="15"/>
        <v>建筑结构</v>
      </c>
      <c r="AA35" s="1574">
        <f t="shared" si="3"/>
        <v>1</v>
      </c>
      <c r="AB35" s="1574">
        <f t="shared" si="4"/>
        <v>1</v>
      </c>
      <c r="AC35" s="1574">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01"/>
      <c r="Q36" s="1570" t="str">
        <f t="shared" si="11"/>
        <v>公共部分装修</v>
      </c>
      <c r="R36" s="1571" t="s">
        <v>8</v>
      </c>
      <c r="S36" s="1572">
        <f t="shared" si="12"/>
        <v>100</v>
      </c>
      <c r="T36" s="1571" t="s">
        <v>8</v>
      </c>
      <c r="U36" s="1572">
        <f t="shared" si="13"/>
        <v>100</v>
      </c>
      <c r="V36" s="1571" t="s">
        <v>8</v>
      </c>
      <c r="W36" s="1572">
        <f t="shared" si="14"/>
        <v>100</v>
      </c>
      <c r="X36" s="1565"/>
      <c r="Y36" s="3401"/>
      <c r="Z36" s="1573" t="str">
        <f t="shared" si="15"/>
        <v>公共部分装修</v>
      </c>
      <c r="AA36" s="1574">
        <f t="shared" si="3"/>
        <v>1</v>
      </c>
      <c r="AB36" s="1574">
        <f t="shared" si="4"/>
        <v>1</v>
      </c>
      <c r="AC36" s="1574">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01"/>
      <c r="Q37" s="1570" t="str">
        <f t="shared" si="11"/>
        <v>成新度</v>
      </c>
      <c r="R37" s="1571" t="s">
        <v>8</v>
      </c>
      <c r="S37" s="1572" t="e">
        <f t="shared" si="12"/>
        <v>#N/A</v>
      </c>
      <c r="T37" s="1571" t="s">
        <v>8</v>
      </c>
      <c r="U37" s="1572" t="e">
        <f t="shared" si="13"/>
        <v>#N/A</v>
      </c>
      <c r="V37" s="1571" t="s">
        <v>8</v>
      </c>
      <c r="W37" s="1572" t="e">
        <f t="shared" si="14"/>
        <v>#N/A</v>
      </c>
      <c r="X37" s="1565"/>
      <c r="Y37" s="3401"/>
      <c r="Z37" s="1573" t="str">
        <f t="shared" si="15"/>
        <v>成新度</v>
      </c>
      <c r="AA37" s="1574" t="e">
        <f t="shared" si="3"/>
        <v>#N/A</v>
      </c>
      <c r="AB37" s="1574" t="e">
        <f t="shared" si="4"/>
        <v>#N/A</v>
      </c>
      <c r="AC37" s="1574"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01"/>
      <c r="Q38" s="1149" t="str">
        <f t="shared" si="11"/>
        <v>写字楼等级</v>
      </c>
      <c r="R38" s="1566" t="s">
        <v>8</v>
      </c>
      <c r="S38" s="1567">
        <f t="shared" si="12"/>
        <v>100</v>
      </c>
      <c r="T38" s="1566" t="s">
        <v>8</v>
      </c>
      <c r="U38" s="1567">
        <f t="shared" si="13"/>
        <v>100</v>
      </c>
      <c r="V38" s="1566" t="s">
        <v>8</v>
      </c>
      <c r="W38" s="1567">
        <f t="shared" si="14"/>
        <v>100</v>
      </c>
      <c r="X38" s="1568"/>
      <c r="Y38" s="3401"/>
      <c r="Z38" s="1148" t="str">
        <f t="shared" si="15"/>
        <v>写字楼等级</v>
      </c>
      <c r="AA38" s="1569">
        <f t="shared" si="3"/>
        <v>1</v>
      </c>
      <c r="AB38" s="1569">
        <f t="shared" si="4"/>
        <v>1</v>
      </c>
      <c r="AC38" s="1569">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01" t="s">
        <v>550</v>
      </c>
      <c r="Q39" s="1570" t="str">
        <f t="shared" si="11"/>
        <v>物业管理</v>
      </c>
      <c r="R39" s="1571" t="s">
        <v>8</v>
      </c>
      <c r="S39" s="1572">
        <f t="shared" si="12"/>
        <v>100</v>
      </c>
      <c r="T39" s="1571" t="s">
        <v>8</v>
      </c>
      <c r="U39" s="1572">
        <f t="shared" si="13"/>
        <v>100</v>
      </c>
      <c r="V39" s="1571" t="s">
        <v>8</v>
      </c>
      <c r="W39" s="1572">
        <f t="shared" si="14"/>
        <v>100</v>
      </c>
      <c r="X39" s="1565"/>
      <c r="Y39" s="3401" t="s">
        <v>550</v>
      </c>
      <c r="Z39" s="1573" t="str">
        <f t="shared" si="15"/>
        <v>物业管理</v>
      </c>
      <c r="AA39" s="1574">
        <f t="shared" si="3"/>
        <v>1</v>
      </c>
      <c r="AB39" s="1574">
        <f t="shared" si="4"/>
        <v>1</v>
      </c>
      <c r="AC39" s="1574">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01"/>
      <c r="Q40" s="1570" t="str">
        <f t="shared" si="11"/>
        <v>市政基础设施</v>
      </c>
      <c r="R40" s="1571" t="s">
        <v>8</v>
      </c>
      <c r="S40" s="1572">
        <f t="shared" si="12"/>
        <v>100</v>
      </c>
      <c r="T40" s="1571" t="s">
        <v>8</v>
      </c>
      <c r="U40" s="1572">
        <f t="shared" si="13"/>
        <v>100</v>
      </c>
      <c r="V40" s="1571" t="s">
        <v>8</v>
      </c>
      <c r="W40" s="1572">
        <f t="shared" si="14"/>
        <v>100</v>
      </c>
      <c r="X40" s="1565"/>
      <c r="Y40" s="3401"/>
      <c r="Z40" s="1573" t="str">
        <f t="shared" si="15"/>
        <v>市政基础设施</v>
      </c>
      <c r="AA40" s="1574">
        <f t="shared" si="3"/>
        <v>1</v>
      </c>
      <c r="AB40" s="1574">
        <f t="shared" si="4"/>
        <v>1</v>
      </c>
      <c r="AC40" s="1574">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01"/>
      <c r="Q41" s="1570" t="str">
        <f t="shared" si="11"/>
        <v>层高</v>
      </c>
      <c r="R41" s="1571" t="s">
        <v>8</v>
      </c>
      <c r="S41" s="1572">
        <f t="shared" si="12"/>
        <v>100</v>
      </c>
      <c r="T41" s="1571" t="s">
        <v>8</v>
      </c>
      <c r="U41" s="1572">
        <f t="shared" si="13"/>
        <v>100</v>
      </c>
      <c r="V41" s="1571" t="s">
        <v>8</v>
      </c>
      <c r="W41" s="1572">
        <f t="shared" si="14"/>
        <v>100</v>
      </c>
      <c r="X41" s="1565"/>
      <c r="Y41" s="3401"/>
      <c r="Z41" s="1573" t="str">
        <f t="shared" si="15"/>
        <v>层高</v>
      </c>
      <c r="AA41" s="1574">
        <f t="shared" si="3"/>
        <v>1</v>
      </c>
      <c r="AB41" s="1574">
        <f t="shared" si="4"/>
        <v>1</v>
      </c>
      <c r="AC41" s="1574">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01"/>
      <c r="Q42" s="1603" t="str">
        <f t="shared" si="11"/>
        <v>单套建筑面积</v>
      </c>
      <c r="R42" s="1575" t="s">
        <v>8</v>
      </c>
      <c r="S42" s="1576">
        <f t="shared" si="12"/>
        <v>100</v>
      </c>
      <c r="T42" s="1575" t="s">
        <v>8</v>
      </c>
      <c r="U42" s="1576">
        <f t="shared" si="13"/>
        <v>100</v>
      </c>
      <c r="V42" s="1575" t="s">
        <v>8</v>
      </c>
      <c r="W42" s="1576">
        <f t="shared" si="14"/>
        <v>100</v>
      </c>
      <c r="X42" s="1577"/>
      <c r="Y42" s="3401"/>
      <c r="Z42" s="1578" t="str">
        <f t="shared" si="15"/>
        <v>单套建筑面积</v>
      </c>
      <c r="AA42" s="1574">
        <f t="shared" si="3"/>
        <v>1</v>
      </c>
      <c r="AB42" s="1574">
        <f t="shared" si="4"/>
        <v>1</v>
      </c>
      <c r="AC42" s="1574">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01"/>
      <c r="Q43" s="1570" t="str">
        <f t="shared" si="11"/>
        <v>内部装修</v>
      </c>
      <c r="R43" s="1571" t="s">
        <v>8</v>
      </c>
      <c r="S43" s="1572">
        <f t="shared" si="12"/>
        <v>100</v>
      </c>
      <c r="T43" s="1571" t="s">
        <v>8</v>
      </c>
      <c r="U43" s="1572">
        <f t="shared" si="13"/>
        <v>100</v>
      </c>
      <c r="V43" s="1571" t="s">
        <v>8</v>
      </c>
      <c r="W43" s="1572">
        <f t="shared" si="14"/>
        <v>100</v>
      </c>
      <c r="X43" s="1565"/>
      <c r="Y43" s="3401"/>
      <c r="Z43" s="1573" t="str">
        <f t="shared" si="15"/>
        <v>内部装修</v>
      </c>
      <c r="AA43" s="1574">
        <f t="shared" si="3"/>
        <v>1</v>
      </c>
      <c r="AB43" s="1574">
        <f t="shared" si="4"/>
        <v>1</v>
      </c>
      <c r="AC43" s="1574">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01"/>
      <c r="Q44" s="1570" t="str">
        <f t="shared" si="11"/>
        <v>内部装修维护情况</v>
      </c>
      <c r="R44" s="1571" t="s">
        <v>8</v>
      </c>
      <c r="S44" s="1572">
        <f t="shared" si="12"/>
        <v>100</v>
      </c>
      <c r="T44" s="1571" t="s">
        <v>8</v>
      </c>
      <c r="U44" s="1572">
        <f t="shared" si="13"/>
        <v>100</v>
      </c>
      <c r="V44" s="1571" t="s">
        <v>8</v>
      </c>
      <c r="W44" s="1572">
        <f t="shared" si="14"/>
        <v>100</v>
      </c>
      <c r="X44" s="1565"/>
      <c r="Y44" s="3401"/>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01"/>
      <c r="Q45" s="1149">
        <f t="shared" si="11"/>
        <v>111</v>
      </c>
      <c r="R45" s="1566" t="s">
        <v>8</v>
      </c>
      <c r="S45" s="1567">
        <f t="shared" si="12"/>
        <v>100</v>
      </c>
      <c r="T45" s="1566" t="s">
        <v>8</v>
      </c>
      <c r="U45" s="1567">
        <f t="shared" si="13"/>
        <v>100</v>
      </c>
      <c r="V45" s="1566" t="s">
        <v>8</v>
      </c>
      <c r="W45" s="1567">
        <f t="shared" si="14"/>
        <v>100</v>
      </c>
      <c r="X45" s="1568"/>
      <c r="Y45" s="3401"/>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01"/>
      <c r="Q46" s="1570">
        <f t="shared" si="11"/>
        <v>111</v>
      </c>
      <c r="R46" s="1571" t="s">
        <v>8</v>
      </c>
      <c r="S46" s="1572">
        <f t="shared" si="12"/>
        <v>100</v>
      </c>
      <c r="T46" s="1571" t="s">
        <v>8</v>
      </c>
      <c r="U46" s="1572">
        <f t="shared" si="13"/>
        <v>100</v>
      </c>
      <c r="V46" s="1571" t="s">
        <v>8</v>
      </c>
      <c r="W46" s="1572">
        <f t="shared" si="14"/>
        <v>100</v>
      </c>
      <c r="X46" s="1565"/>
      <c r="Y46" s="3401"/>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79"/>
      <c r="Q47" s="1570">
        <f t="shared" si="11"/>
        <v>111</v>
      </c>
      <c r="R47" s="1571" t="s">
        <v>8</v>
      </c>
      <c r="S47" s="1572">
        <f t="shared" si="12"/>
        <v>100</v>
      </c>
      <c r="T47" s="1571" t="s">
        <v>8</v>
      </c>
      <c r="U47" s="1572">
        <f t="shared" si="13"/>
        <v>100</v>
      </c>
      <c r="V47" s="1571" t="s">
        <v>8</v>
      </c>
      <c r="W47" s="1572">
        <f t="shared" si="14"/>
        <v>100</v>
      </c>
      <c r="X47" s="1565"/>
      <c r="Y47" s="3479"/>
      <c r="Z47" s="1573">
        <f t="shared" si="15"/>
        <v>111</v>
      </c>
      <c r="AA47" s="1574">
        <f t="shared" si="3"/>
        <v>1</v>
      </c>
      <c r="AB47" s="1574">
        <f t="shared" si="4"/>
        <v>1</v>
      </c>
      <c r="AC47" s="1574">
        <f t="shared" si="5"/>
        <v>1</v>
      </c>
    </row>
    <row r="48" spans="1:29" ht="15">
      <c r="A48" s="605" t="s">
        <v>736</v>
      </c>
      <c r="B48" s="885"/>
      <c r="C48" s="2625" t="s">
        <v>1</v>
      </c>
      <c r="D48" s="2626"/>
      <c r="E48" s="2627"/>
      <c r="F48" s="2628"/>
      <c r="G48" s="2629"/>
      <c r="H48" s="2630"/>
      <c r="I48" s="2627"/>
      <c r="J48" s="2630"/>
      <c r="K48" s="1609"/>
      <c r="L48" s="2142"/>
      <c r="M48" s="2132"/>
      <c r="N48" s="2132"/>
      <c r="O48" s="2132"/>
      <c r="P48" s="3360" t="str">
        <f>A48</f>
        <v>成交单价（元/平方米）</v>
      </c>
      <c r="Q48" s="3362"/>
      <c r="R48" s="3478">
        <f>E48</f>
        <v>0</v>
      </c>
      <c r="S48" s="3478"/>
      <c r="T48" s="3478">
        <f>G48</f>
        <v>0</v>
      </c>
      <c r="U48" s="3478"/>
      <c r="V48" s="3478">
        <f>I48</f>
        <v>0</v>
      </c>
      <c r="W48" s="3478"/>
      <c r="X48" s="1557"/>
      <c r="Y48" s="1579"/>
      <c r="Z48" s="1557"/>
      <c r="AA48" s="1557"/>
      <c r="AB48" s="1557"/>
      <c r="AC48" s="1557"/>
    </row>
    <row r="49" spans="1:29" ht="15.75" thickBot="1">
      <c r="A49" s="613" t="s">
        <v>2761</v>
      </c>
      <c r="B49" s="886"/>
      <c r="C49" s="2631" t="e">
        <f>R50</f>
        <v>#DIV/0!</v>
      </c>
      <c r="D49" s="2632"/>
      <c r="E49" s="2633" t="e">
        <f>R49</f>
        <v>#DIV/0!</v>
      </c>
      <c r="F49" s="2633"/>
      <c r="G49" s="2631" t="e">
        <f>T49</f>
        <v>#DIV/0!</v>
      </c>
      <c r="H49" s="2632"/>
      <c r="I49" s="2633" t="e">
        <f>V49</f>
        <v>#DIV/0!</v>
      </c>
      <c r="J49" s="2632"/>
      <c r="K49" s="1610"/>
      <c r="L49" s="2142"/>
      <c r="M49" s="2132"/>
      <c r="N49" s="2132"/>
      <c r="O49" s="2132"/>
      <c r="P49" s="3360" t="str">
        <f>A49</f>
        <v>比较价格（元/平方米）</v>
      </c>
      <c r="Q49" s="3362"/>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7"/>
      <c r="Y49" s="1557"/>
      <c r="Z49" s="1557"/>
      <c r="AA49" s="1557"/>
      <c r="AB49" s="1557"/>
      <c r="AC49" s="1557"/>
    </row>
    <row r="50" spans="1:29" ht="15.75" thickBot="1">
      <c r="A50" s="619" t="s">
        <v>2928</v>
      </c>
      <c r="B50" s="620"/>
      <c r="C50" s="2634" t="e">
        <f>R50</f>
        <v>#DIV/0!</v>
      </c>
      <c r="D50" s="2634"/>
      <c r="E50" s="2634"/>
      <c r="F50" s="2634"/>
      <c r="G50" s="2634"/>
      <c r="H50" s="2634"/>
      <c r="I50" s="2634"/>
      <c r="J50" s="2634"/>
      <c r="K50" s="1611"/>
      <c r="L50" s="2142"/>
      <c r="M50" s="2132"/>
      <c r="N50" s="2132"/>
      <c r="O50" s="2132"/>
      <c r="P50" s="3480" t="str">
        <f>A50</f>
        <v>估价对象XX用房的比较价格（楼面单价，元/平方米）</v>
      </c>
      <c r="Q50" s="3360"/>
      <c r="R50" s="3477" t="e">
        <f>IF(F1="售价",ROUND(AVERAGE(R49:V49),0),ROUND(AVERAGE(R49:V49),1))</f>
        <v>#DIV/0!</v>
      </c>
      <c r="S50" s="3477"/>
      <c r="T50" s="3477"/>
      <c r="U50" s="3477"/>
      <c r="V50" s="3477"/>
      <c r="W50" s="3477"/>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3" t="s">
        <v>529</v>
      </c>
      <c r="B59" s="644"/>
      <c r="C59" s="2800" t="str">
        <f>YEAR(C7)&amp;"-"&amp;MONTH(C7)</f>
        <v>2018-8</v>
      </c>
      <c r="D59" s="2802">
        <f>EDATE(C59,-1)</f>
        <v>43282</v>
      </c>
      <c r="E59" s="2802">
        <f t="shared" ref="E59:O59" si="16">EDATE(D59,-1)</f>
        <v>43252</v>
      </c>
      <c r="F59" s="2802">
        <f t="shared" si="16"/>
        <v>43221</v>
      </c>
      <c r="G59" s="2802">
        <f t="shared" si="16"/>
        <v>43191</v>
      </c>
      <c r="H59" s="2802">
        <f t="shared" si="16"/>
        <v>43160</v>
      </c>
      <c r="I59" s="2802">
        <f t="shared" si="16"/>
        <v>43132</v>
      </c>
      <c r="J59" s="2802">
        <f t="shared" si="16"/>
        <v>43101</v>
      </c>
      <c r="K59" s="2802">
        <f t="shared" si="16"/>
        <v>43070</v>
      </c>
      <c r="L59" s="2802">
        <f t="shared" si="16"/>
        <v>43040</v>
      </c>
      <c r="M59" s="2802">
        <f t="shared" si="16"/>
        <v>43009</v>
      </c>
      <c r="N59" s="2802">
        <f t="shared" si="16"/>
        <v>42979</v>
      </c>
      <c r="O59" s="2802">
        <f t="shared" si="16"/>
        <v>42948</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95" t="s">
        <v>2559</v>
      </c>
      <c r="C83" s="2596" t="s">
        <v>2560</v>
      </c>
      <c r="D83" s="2596" t="s">
        <v>2561</v>
      </c>
      <c r="E83" s="2596" t="s">
        <v>2562</v>
      </c>
      <c r="F83" s="2596" t="s">
        <v>2563</v>
      </c>
      <c r="G83" s="2596" t="s">
        <v>2564</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L30" sqref="L3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521</v>
      </c>
      <c r="B4" s="511"/>
      <c r="C4" s="3368" t="s">
        <v>522</v>
      </c>
      <c r="D4" s="3369"/>
      <c r="E4" s="3405" t="s">
        <v>523</v>
      </c>
      <c r="F4" s="3406"/>
      <c r="G4" s="3368" t="s">
        <v>524</v>
      </c>
      <c r="H4" s="3369"/>
      <c r="I4" s="3368" t="s">
        <v>525</v>
      </c>
      <c r="J4" s="3369"/>
      <c r="K4" s="512" t="s">
        <v>526</v>
      </c>
      <c r="L4" s="2131"/>
      <c r="M4" s="2132"/>
      <c r="N4" s="2132"/>
      <c r="O4" s="2132"/>
      <c r="P4" s="3370" t="s">
        <v>527</v>
      </c>
      <c r="Q4" s="3371"/>
      <c r="R4" s="3376" t="s">
        <v>523</v>
      </c>
      <c r="S4" s="3377"/>
      <c r="T4" s="3376" t="s">
        <v>524</v>
      </c>
      <c r="U4" s="3377"/>
      <c r="V4" s="3363" t="s">
        <v>525</v>
      </c>
      <c r="W4" s="3363"/>
      <c r="X4" s="1565"/>
      <c r="Y4" s="3376" t="s">
        <v>527</v>
      </c>
      <c r="Z4" s="3377"/>
      <c r="AA4" s="3365" t="s">
        <v>523</v>
      </c>
      <c r="AB4" s="3366" t="s">
        <v>524</v>
      </c>
      <c r="AC4" s="3365" t="s">
        <v>525</v>
      </c>
    </row>
    <row r="5" spans="1:29" ht="15">
      <c r="A5" s="513"/>
      <c r="B5" s="514"/>
      <c r="C5" s="3386" t="s">
        <v>2922</v>
      </c>
      <c r="D5" s="3385"/>
      <c r="E5" s="3407" t="s">
        <v>2923</v>
      </c>
      <c r="F5" s="3408"/>
      <c r="G5" s="3386" t="s">
        <v>2924</v>
      </c>
      <c r="H5" s="3385"/>
      <c r="I5" s="3386" t="s">
        <v>2925</v>
      </c>
      <c r="J5" s="3385"/>
      <c r="K5" s="512"/>
      <c r="L5" s="2131"/>
      <c r="M5" s="2132"/>
      <c r="N5" s="2132"/>
      <c r="O5" s="2132"/>
      <c r="P5" s="3372"/>
      <c r="Q5" s="3373"/>
      <c r="R5" s="3378"/>
      <c r="S5" s="3379"/>
      <c r="T5" s="3378"/>
      <c r="U5" s="3379"/>
      <c r="V5" s="3363"/>
      <c r="W5" s="3363"/>
      <c r="X5" s="1565"/>
      <c r="Y5" s="3378"/>
      <c r="Z5" s="3379"/>
      <c r="AA5" s="3366"/>
      <c r="AB5" s="3366"/>
      <c r="AC5" s="3366"/>
    </row>
    <row r="6" spans="1:29" ht="15.75" thickBot="1">
      <c r="A6" s="515"/>
      <c r="B6" s="516"/>
      <c r="C6" s="3402" t="s">
        <v>2926</v>
      </c>
      <c r="D6" s="3383"/>
      <c r="E6" s="3403" t="s">
        <v>2926</v>
      </c>
      <c r="F6" s="3404"/>
      <c r="G6" s="3402" t="s">
        <v>2926</v>
      </c>
      <c r="H6" s="3383"/>
      <c r="I6" s="3402" t="s">
        <v>2926</v>
      </c>
      <c r="J6" s="3383"/>
      <c r="K6" s="512" t="s">
        <v>528</v>
      </c>
      <c r="L6" s="2131"/>
      <c r="M6" s="2132"/>
      <c r="N6" s="2132"/>
      <c r="O6" s="2132"/>
      <c r="P6" s="3374"/>
      <c r="Q6" s="3375"/>
      <c r="R6" s="3378"/>
      <c r="S6" s="3379"/>
      <c r="T6" s="3380"/>
      <c r="U6" s="3381"/>
      <c r="V6" s="3363"/>
      <c r="W6" s="3363"/>
      <c r="X6" s="1565"/>
      <c r="Y6" s="3380"/>
      <c r="Z6" s="3381"/>
      <c r="AA6" s="3367"/>
      <c r="AB6" s="3367"/>
      <c r="AC6" s="3367"/>
    </row>
    <row r="7" spans="1:29" s="1218" customFormat="1" ht="15.75" thickBot="1">
      <c r="A7" s="2909"/>
      <c r="B7" s="2916" t="s">
        <v>529</v>
      </c>
      <c r="C7" s="517">
        <f>'数据-取费表'!B2</f>
        <v>43327</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95"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7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95" t="s">
        <v>533</v>
      </c>
      <c r="Q8" s="3396"/>
      <c r="R8" s="1566" t="s">
        <v>8</v>
      </c>
      <c r="S8" s="1567">
        <f t="shared" si="0"/>
        <v>0</v>
      </c>
      <c r="T8" s="1566" t="s">
        <v>8</v>
      </c>
      <c r="U8" s="1567">
        <f t="shared" si="1"/>
        <v>0</v>
      </c>
      <c r="V8" s="1566" t="s">
        <v>8</v>
      </c>
      <c r="W8" s="1567">
        <f t="shared" si="2"/>
        <v>0</v>
      </c>
      <c r="X8" s="1568"/>
      <c r="Y8" s="3395" t="s">
        <v>533</v>
      </c>
      <c r="Z8" s="3396"/>
      <c r="AA8" s="1569" t="e">
        <f t="shared" ref="AA8:AA40" si="3">D8/F8</f>
        <v>#DIV/0!</v>
      </c>
      <c r="AB8" s="1569" t="e">
        <f t="shared" ref="AB8:AB40" si="4">D8/H8</f>
        <v>#DIV/0!</v>
      </c>
      <c r="AC8" s="1569" t="e">
        <f t="shared" ref="AC8:AC40" si="5">D8/J8</f>
        <v>#DIV/0!</v>
      </c>
    </row>
    <row r="9" spans="1:29" s="1218" customFormat="1" ht="15">
      <c r="A9" s="2911"/>
      <c r="B9" s="2918"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62" t="s">
        <v>535</v>
      </c>
      <c r="Q9" s="1149" t="str">
        <f t="shared" ref="Q9:Q15" si="6">B9</f>
        <v>用途</v>
      </c>
      <c r="R9" s="1566" t="s">
        <v>8</v>
      </c>
      <c r="S9" s="1567">
        <f t="shared" si="0"/>
        <v>100</v>
      </c>
      <c r="T9" s="1566" t="s">
        <v>8</v>
      </c>
      <c r="U9" s="1567">
        <f t="shared" si="1"/>
        <v>100</v>
      </c>
      <c r="V9" s="1566" t="s">
        <v>8</v>
      </c>
      <c r="W9" s="1567">
        <f t="shared" si="2"/>
        <v>100</v>
      </c>
      <c r="X9" s="1568"/>
      <c r="Y9" s="3308" t="s">
        <v>536</v>
      </c>
      <c r="Z9" s="1148" t="str">
        <f t="shared" ref="Z9:Z15" si="7">Q9</f>
        <v>用途</v>
      </c>
      <c r="AA9" s="1569">
        <f t="shared" si="3"/>
        <v>1</v>
      </c>
      <c r="AB9" s="1569">
        <f t="shared" si="4"/>
        <v>1</v>
      </c>
      <c r="AC9" s="1569">
        <f t="shared" si="5"/>
        <v>1</v>
      </c>
    </row>
    <row r="10" spans="1:29" s="1336" customFormat="1" ht="27">
      <c r="A10" s="2912"/>
      <c r="B10" s="2917"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3"/>
      <c r="B11" s="2917"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75"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15">
      <c r="A15" s="2907" t="s">
        <v>2755</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398" t="s">
        <v>540</v>
      </c>
      <c r="Q15" s="1570" t="str">
        <f t="shared" si="6"/>
        <v>产业集聚程度</v>
      </c>
      <c r="R15" s="1571" t="s">
        <v>8</v>
      </c>
      <c r="S15" s="1572">
        <f t="shared" si="0"/>
        <v>100</v>
      </c>
      <c r="T15" s="1571" t="s">
        <v>8</v>
      </c>
      <c r="U15" s="1572">
        <f t="shared" si="1"/>
        <v>100</v>
      </c>
      <c r="V15" s="1571" t="s">
        <v>8</v>
      </c>
      <c r="W15" s="1572">
        <f t="shared" si="2"/>
        <v>100</v>
      </c>
      <c r="X15" s="1565"/>
      <c r="Y15" s="3398"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0"/>
      <c r="M16" s="2132"/>
      <c r="N16" s="2132"/>
      <c r="O16" s="2139"/>
      <c r="P16" s="3399"/>
      <c r="Q16" s="1570"/>
      <c r="R16" s="1571"/>
      <c r="S16" s="1572"/>
      <c r="T16" s="1571"/>
      <c r="U16" s="1572"/>
      <c r="V16" s="1571"/>
      <c r="W16" s="1572"/>
      <c r="X16" s="1565"/>
      <c r="Y16" s="3399"/>
      <c r="Z16" s="1573"/>
      <c r="AA16" s="1574">
        <v>1</v>
      </c>
      <c r="AB16" s="1574">
        <v>1</v>
      </c>
      <c r="AC16" s="1574">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0"/>
      <c r="M18" s="2132"/>
      <c r="N18" s="2132"/>
      <c r="O18" s="2139"/>
      <c r="P18" s="3399"/>
      <c r="Q18" s="1570"/>
      <c r="R18" s="1571"/>
      <c r="S18" s="1572"/>
      <c r="T18" s="1571"/>
      <c r="U18" s="1572"/>
      <c r="V18" s="1571"/>
      <c r="W18" s="1572"/>
      <c r="X18" s="1565"/>
      <c r="Y18" s="3399"/>
      <c r="Z18" s="1573"/>
      <c r="AA18" s="1574">
        <v>1</v>
      </c>
      <c r="AB18" s="1574">
        <v>1</v>
      </c>
      <c r="AC18" s="1574">
        <v>1</v>
      </c>
    </row>
    <row r="19" spans="1:29" ht="15">
      <c r="A19" s="530"/>
      <c r="B19" s="2601" t="s">
        <v>2547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0"/>
      <c r="M20" s="2132"/>
      <c r="N20" s="2132"/>
      <c r="O20" s="2139"/>
      <c r="P20" s="3399"/>
      <c r="Q20" s="1570"/>
      <c r="R20" s="1571"/>
      <c r="S20" s="1572"/>
      <c r="T20" s="1571"/>
      <c r="U20" s="1572"/>
      <c r="V20" s="1571"/>
      <c r="W20" s="1572"/>
      <c r="X20" s="1565"/>
      <c r="Y20" s="3399"/>
      <c r="Z20" s="1573"/>
      <c r="AA20" s="1574">
        <v>1</v>
      </c>
      <c r="AB20" s="1574">
        <v>1</v>
      </c>
      <c r="AC20" s="1574">
        <v>1</v>
      </c>
    </row>
    <row r="21" spans="1:29" ht="15">
      <c r="A21" s="530"/>
      <c r="B21" s="2589" t="s">
        <v>2559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399"/>
      <c r="Q21" s="2577" t="str">
        <f>B21</f>
        <v>基础设施水平</v>
      </c>
      <c r="R21" s="1571" t="s">
        <v>8</v>
      </c>
      <c r="S21" s="1572">
        <f>F21</f>
        <v>100</v>
      </c>
      <c r="T21" s="1571" t="s">
        <v>8</v>
      </c>
      <c r="U21" s="1572">
        <f>H21</f>
        <v>100</v>
      </c>
      <c r="V21" s="1571" t="s">
        <v>8</v>
      </c>
      <c r="W21" s="1572">
        <f>J21</f>
        <v>100</v>
      </c>
      <c r="X21" s="2579"/>
      <c r="Y21" s="3399"/>
      <c r="Z21" s="2578"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00"/>
      <c r="L22" s="2140"/>
      <c r="M22" s="2132"/>
      <c r="N22" s="2132"/>
      <c r="O22" s="2139"/>
      <c r="P22" s="3399"/>
      <c r="Q22" s="2577"/>
      <c r="R22" s="1571"/>
      <c r="S22" s="1572"/>
      <c r="T22" s="1571"/>
      <c r="U22" s="1572"/>
      <c r="V22" s="1571"/>
      <c r="W22" s="1572"/>
      <c r="X22" s="2579"/>
      <c r="Y22" s="3399"/>
      <c r="Z22" s="2578"/>
      <c r="AA22" s="1574">
        <v>1</v>
      </c>
      <c r="AB22" s="1574">
        <v>1</v>
      </c>
      <c r="AC22" s="1574">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399"/>
      <c r="Q23" s="1570" t="str">
        <f>B23</f>
        <v>环境质量</v>
      </c>
      <c r="R23" s="1571" t="s">
        <v>8</v>
      </c>
      <c r="S23" s="1572">
        <f>F23</f>
        <v>100</v>
      </c>
      <c r="T23" s="1571" t="s">
        <v>8</v>
      </c>
      <c r="U23" s="1572">
        <f>H23</f>
        <v>100</v>
      </c>
      <c r="V23" s="1571" t="s">
        <v>8</v>
      </c>
      <c r="W23" s="1572">
        <f>J23</f>
        <v>100</v>
      </c>
      <c r="X23" s="1565"/>
      <c r="Y23" s="3399"/>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0"/>
      <c r="M24" s="2132"/>
      <c r="N24" s="2132"/>
      <c r="O24" s="2139"/>
      <c r="P24" s="3399"/>
      <c r="Q24" s="1570"/>
      <c r="R24" s="1571"/>
      <c r="S24" s="1572"/>
      <c r="T24" s="1571"/>
      <c r="U24" s="1572"/>
      <c r="V24" s="1571"/>
      <c r="W24" s="1572"/>
      <c r="X24" s="1565"/>
      <c r="Y24" s="3399"/>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99"/>
      <c r="Q25" s="1570">
        <f>B25</f>
        <v>111</v>
      </c>
      <c r="R25" s="1571" t="s">
        <v>8</v>
      </c>
      <c r="S25" s="1572">
        <f>F25</f>
        <v>100</v>
      </c>
      <c r="T25" s="1571" t="s">
        <v>8</v>
      </c>
      <c r="U25" s="1572">
        <f>H25</f>
        <v>100</v>
      </c>
      <c r="V25" s="1571" t="s">
        <v>8</v>
      </c>
      <c r="W25" s="1572">
        <f>J25</f>
        <v>100</v>
      </c>
      <c r="X25" s="1565"/>
      <c r="Y25" s="3399"/>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99"/>
      <c r="Q26" s="1570">
        <f t="shared" ref="Q26:Q40" si="11">B26</f>
        <v>111</v>
      </c>
      <c r="R26" s="1571" t="s">
        <v>8</v>
      </c>
      <c r="S26" s="1572">
        <f>F26</f>
        <v>100</v>
      </c>
      <c r="T26" s="1571" t="s">
        <v>8</v>
      </c>
      <c r="U26" s="1572">
        <f>H26</f>
        <v>100</v>
      </c>
      <c r="V26" s="1571" t="s">
        <v>8</v>
      </c>
      <c r="W26" s="1572">
        <f>J26</f>
        <v>100</v>
      </c>
      <c r="X26" s="1565"/>
      <c r="Y26" s="3399"/>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99"/>
      <c r="Q27" s="1149">
        <f t="shared" si="11"/>
        <v>111</v>
      </c>
      <c r="R27" s="1566" t="s">
        <v>8</v>
      </c>
      <c r="S27" s="1567">
        <f>F27</f>
        <v>100</v>
      </c>
      <c r="T27" s="1566" t="s">
        <v>8</v>
      </c>
      <c r="U27" s="1567">
        <f>H27</f>
        <v>100</v>
      </c>
      <c r="V27" s="1566" t="s">
        <v>8</v>
      </c>
      <c r="W27" s="1567">
        <f>J27</f>
        <v>100</v>
      </c>
      <c r="X27" s="1568"/>
      <c r="Y27" s="3399"/>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399"/>
      <c r="Q28" s="1570">
        <f t="shared" si="11"/>
        <v>111</v>
      </c>
      <c r="R28" s="1571" t="s">
        <v>8</v>
      </c>
      <c r="S28" s="1572">
        <f t="shared" ref="S28:S40" si="12">F28</f>
        <v>100</v>
      </c>
      <c r="T28" s="1571" t="s">
        <v>8</v>
      </c>
      <c r="U28" s="1572">
        <f t="shared" ref="U28:U40" si="13">H28</f>
        <v>100</v>
      </c>
      <c r="V28" s="1571" t="s">
        <v>8</v>
      </c>
      <c r="W28" s="1572">
        <f t="shared" ref="W28:W40" si="14">J28</f>
        <v>100</v>
      </c>
      <c r="X28" s="1565"/>
      <c r="Y28" s="3399"/>
      <c r="Z28" s="1573">
        <f t="shared" ref="Z28:Z40" si="15">Q28</f>
        <v>111</v>
      </c>
      <c r="AA28" s="1574">
        <f t="shared" si="3"/>
        <v>1</v>
      </c>
      <c r="AB28" s="1574">
        <f t="shared" si="4"/>
        <v>1</v>
      </c>
      <c r="AC28" s="1574">
        <f t="shared" si="5"/>
        <v>1</v>
      </c>
    </row>
    <row r="29" spans="1:29" ht="15">
      <c r="A29" s="2905" t="s">
        <v>2756</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00" t="s">
        <v>550</v>
      </c>
      <c r="Q29" s="1570" t="str">
        <f t="shared" si="11"/>
        <v>建筑类型</v>
      </c>
      <c r="R29" s="1571" t="s">
        <v>8</v>
      </c>
      <c r="S29" s="1572">
        <f t="shared" si="12"/>
        <v>100</v>
      </c>
      <c r="T29" s="1571" t="s">
        <v>8</v>
      </c>
      <c r="U29" s="1572">
        <f t="shared" si="13"/>
        <v>100</v>
      </c>
      <c r="V29" s="1571" t="s">
        <v>8</v>
      </c>
      <c r="W29" s="1572">
        <f t="shared" si="14"/>
        <v>100</v>
      </c>
      <c r="X29" s="1565"/>
      <c r="Y29" s="3401" t="s">
        <v>550</v>
      </c>
      <c r="Z29" s="1573" t="str">
        <f t="shared" si="15"/>
        <v>建筑类型</v>
      </c>
      <c r="AA29" s="1574">
        <f t="shared" si="3"/>
        <v>1</v>
      </c>
      <c r="AB29" s="1574">
        <f t="shared" si="4"/>
        <v>1</v>
      </c>
      <c r="AC29" s="1574">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01"/>
      <c r="Q30" s="1603" t="str">
        <f t="shared" si="11"/>
        <v>项目建筑规模</v>
      </c>
      <c r="R30" s="1575" t="s">
        <v>8</v>
      </c>
      <c r="S30" s="1576" t="e">
        <f t="shared" si="12"/>
        <v>#N/A</v>
      </c>
      <c r="T30" s="1575" t="s">
        <v>8</v>
      </c>
      <c r="U30" s="1576" t="e">
        <f t="shared" si="13"/>
        <v>#N/A</v>
      </c>
      <c r="V30" s="1575" t="s">
        <v>8</v>
      </c>
      <c r="W30" s="1576" t="e">
        <f t="shared" si="14"/>
        <v>#N/A</v>
      </c>
      <c r="X30" s="1577"/>
      <c r="Y30" s="3401"/>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01"/>
      <c r="Q31" s="1570" t="str">
        <f t="shared" si="11"/>
        <v>建筑结构</v>
      </c>
      <c r="R31" s="1571" t="s">
        <v>8</v>
      </c>
      <c r="S31" s="1572">
        <f t="shared" si="12"/>
        <v>100</v>
      </c>
      <c r="T31" s="1571" t="s">
        <v>8</v>
      </c>
      <c r="U31" s="1572">
        <f t="shared" si="13"/>
        <v>100</v>
      </c>
      <c r="V31" s="1571" t="s">
        <v>8</v>
      </c>
      <c r="W31" s="1572">
        <f t="shared" si="14"/>
        <v>100</v>
      </c>
      <c r="X31" s="1565"/>
      <c r="Y31" s="3401"/>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01"/>
      <c r="Q32" s="1570" t="str">
        <f t="shared" si="11"/>
        <v>公共部分装修</v>
      </c>
      <c r="R32" s="1571" t="s">
        <v>8</v>
      </c>
      <c r="S32" s="1572">
        <f t="shared" si="12"/>
        <v>100</v>
      </c>
      <c r="T32" s="1571" t="s">
        <v>8</v>
      </c>
      <c r="U32" s="1572">
        <f t="shared" si="13"/>
        <v>100</v>
      </c>
      <c r="V32" s="1571" t="s">
        <v>8</v>
      </c>
      <c r="W32" s="1572">
        <f t="shared" si="14"/>
        <v>100</v>
      </c>
      <c r="X32" s="1565"/>
      <c r="Y32" s="3401"/>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01"/>
      <c r="Q33" s="1570" t="str">
        <f t="shared" si="11"/>
        <v>成新度</v>
      </c>
      <c r="R33" s="1571" t="s">
        <v>8</v>
      </c>
      <c r="S33" s="1572" t="e">
        <f t="shared" si="12"/>
        <v>#N/A</v>
      </c>
      <c r="T33" s="1571" t="s">
        <v>8</v>
      </c>
      <c r="U33" s="1572" t="e">
        <f t="shared" si="13"/>
        <v>#N/A</v>
      </c>
      <c r="V33" s="1571" t="s">
        <v>8</v>
      </c>
      <c r="W33" s="1572" t="e">
        <f t="shared" si="14"/>
        <v>#N/A</v>
      </c>
      <c r="X33" s="1565"/>
      <c r="Y33" s="3401"/>
      <c r="Z33" s="1573" t="str">
        <f t="shared" si="15"/>
        <v>成新度</v>
      </c>
      <c r="AA33" s="1574" t="e">
        <f t="shared" si="3"/>
        <v>#N/A</v>
      </c>
      <c r="AB33" s="1574" t="e">
        <f t="shared" si="4"/>
        <v>#N/A</v>
      </c>
      <c r="AC33" s="1574"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01"/>
      <c r="Q34" s="1149" t="str">
        <f t="shared" si="11"/>
        <v>物业管理</v>
      </c>
      <c r="R34" s="1566" t="s">
        <v>8</v>
      </c>
      <c r="S34" s="1567">
        <f t="shared" si="12"/>
        <v>100</v>
      </c>
      <c r="T34" s="1566" t="s">
        <v>8</v>
      </c>
      <c r="U34" s="1567">
        <f t="shared" si="13"/>
        <v>100</v>
      </c>
      <c r="V34" s="1566" t="s">
        <v>8</v>
      </c>
      <c r="W34" s="1567">
        <f t="shared" si="14"/>
        <v>100</v>
      </c>
      <c r="X34" s="1568"/>
      <c r="Y34" s="3401"/>
      <c r="Z34" s="1148" t="str">
        <f t="shared" si="15"/>
        <v>物业管理</v>
      </c>
      <c r="AA34" s="1569">
        <f t="shared" si="3"/>
        <v>1</v>
      </c>
      <c r="AB34" s="1569">
        <f t="shared" si="4"/>
        <v>1</v>
      </c>
      <c r="AC34" s="1569">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01" t="s">
        <v>550</v>
      </c>
      <c r="Q35" s="1570" t="str">
        <f t="shared" si="11"/>
        <v>市政基础设施</v>
      </c>
      <c r="R35" s="1571" t="s">
        <v>8</v>
      </c>
      <c r="S35" s="1572">
        <f t="shared" si="12"/>
        <v>100</v>
      </c>
      <c r="T35" s="1571" t="s">
        <v>8</v>
      </c>
      <c r="U35" s="1572">
        <f t="shared" si="13"/>
        <v>100</v>
      </c>
      <c r="V35" s="1571" t="s">
        <v>8</v>
      </c>
      <c r="W35" s="1572">
        <f t="shared" si="14"/>
        <v>100</v>
      </c>
      <c r="X35" s="1565"/>
      <c r="Y35" s="3401"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01"/>
      <c r="Q36" s="1570" t="str">
        <f t="shared" si="11"/>
        <v>内部装修</v>
      </c>
      <c r="R36" s="1571" t="s">
        <v>8</v>
      </c>
      <c r="S36" s="1572">
        <f t="shared" si="12"/>
        <v>100</v>
      </c>
      <c r="T36" s="1571" t="s">
        <v>8</v>
      </c>
      <c r="U36" s="1572">
        <f t="shared" si="13"/>
        <v>100</v>
      </c>
      <c r="V36" s="1571" t="s">
        <v>8</v>
      </c>
      <c r="W36" s="1572">
        <f t="shared" si="14"/>
        <v>100</v>
      </c>
      <c r="X36" s="1565"/>
      <c r="Y36" s="3401"/>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01"/>
      <c r="Q37" s="1570" t="str">
        <f t="shared" si="11"/>
        <v>内部装修状况</v>
      </c>
      <c r="R37" s="1571" t="s">
        <v>8</v>
      </c>
      <c r="S37" s="1572">
        <f t="shared" si="12"/>
        <v>100</v>
      </c>
      <c r="T37" s="1571" t="s">
        <v>8</v>
      </c>
      <c r="U37" s="1572">
        <f t="shared" si="13"/>
        <v>100</v>
      </c>
      <c r="V37" s="1571" t="s">
        <v>8</v>
      </c>
      <c r="W37" s="1572">
        <f t="shared" si="14"/>
        <v>100</v>
      </c>
      <c r="X37" s="1565"/>
      <c r="Y37" s="3401"/>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01"/>
      <c r="Q38" s="1603">
        <f t="shared" si="11"/>
        <v>111</v>
      </c>
      <c r="R38" s="1575" t="s">
        <v>8</v>
      </c>
      <c r="S38" s="1576">
        <f t="shared" si="12"/>
        <v>100</v>
      </c>
      <c r="T38" s="1575" t="s">
        <v>8</v>
      </c>
      <c r="U38" s="1576">
        <f t="shared" si="13"/>
        <v>100</v>
      </c>
      <c r="V38" s="1575" t="s">
        <v>8</v>
      </c>
      <c r="W38" s="1576">
        <f t="shared" si="14"/>
        <v>100</v>
      </c>
      <c r="X38" s="1577"/>
      <c r="Y38" s="3401"/>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01"/>
      <c r="Q39" s="1570">
        <f t="shared" si="11"/>
        <v>111</v>
      </c>
      <c r="R39" s="1571" t="s">
        <v>8</v>
      </c>
      <c r="S39" s="1572">
        <f t="shared" si="12"/>
        <v>100</v>
      </c>
      <c r="T39" s="1571" t="s">
        <v>8</v>
      </c>
      <c r="U39" s="1572">
        <f t="shared" si="13"/>
        <v>100</v>
      </c>
      <c r="V39" s="1571" t="s">
        <v>8</v>
      </c>
      <c r="W39" s="1572">
        <f t="shared" si="14"/>
        <v>100</v>
      </c>
      <c r="X39" s="1565"/>
      <c r="Y39" s="3401"/>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79"/>
      <c r="Q40" s="1570">
        <f t="shared" si="11"/>
        <v>111</v>
      </c>
      <c r="R40" s="1571" t="s">
        <v>8</v>
      </c>
      <c r="S40" s="1572">
        <f t="shared" si="12"/>
        <v>100</v>
      </c>
      <c r="T40" s="1571" t="s">
        <v>8</v>
      </c>
      <c r="U40" s="1572">
        <f t="shared" si="13"/>
        <v>100</v>
      </c>
      <c r="V40" s="1571" t="s">
        <v>8</v>
      </c>
      <c r="W40" s="1572">
        <f t="shared" si="14"/>
        <v>100</v>
      </c>
      <c r="X40" s="1565"/>
      <c r="Y40" s="3479"/>
      <c r="Z40" s="1573">
        <f t="shared" si="15"/>
        <v>111</v>
      </c>
      <c r="AA40" s="1574">
        <f t="shared" si="3"/>
        <v>1</v>
      </c>
      <c r="AB40" s="1574">
        <f t="shared" si="4"/>
        <v>1</v>
      </c>
      <c r="AC40" s="1574">
        <f t="shared" si="5"/>
        <v>1</v>
      </c>
    </row>
    <row r="41" spans="1:29" ht="15">
      <c r="A41" s="605" t="s">
        <v>736</v>
      </c>
      <c r="B41" s="885"/>
      <c r="C41" s="2625" t="s">
        <v>1</v>
      </c>
      <c r="D41" s="2626"/>
      <c r="E41" s="2627"/>
      <c r="F41" s="2628"/>
      <c r="G41" s="2629"/>
      <c r="H41" s="2630"/>
      <c r="I41" s="2627"/>
      <c r="J41" s="2630"/>
      <c r="K41" s="1609"/>
      <c r="L41" s="2142"/>
      <c r="M41" s="2143"/>
      <c r="N41" s="2132"/>
      <c r="O41" s="2143"/>
      <c r="P41" s="3362" t="str">
        <f>A41</f>
        <v>成交单价（元/平方米）</v>
      </c>
      <c r="Q41" s="3362"/>
      <c r="R41" s="3478">
        <f>E41</f>
        <v>0</v>
      </c>
      <c r="S41" s="3478"/>
      <c r="T41" s="3478">
        <f>G41</f>
        <v>0</v>
      </c>
      <c r="U41" s="3478"/>
      <c r="V41" s="3478">
        <f>I41</f>
        <v>0</v>
      </c>
      <c r="W41" s="3478"/>
      <c r="X41" s="1557"/>
      <c r="Y41" s="1579"/>
      <c r="Z41" s="1557"/>
      <c r="AA41" s="1557"/>
      <c r="AB41" s="1557"/>
      <c r="AC41" s="1557"/>
    </row>
    <row r="42" spans="1:29" ht="15.75" thickBot="1">
      <c r="A42" s="613" t="s">
        <v>2761</v>
      </c>
      <c r="B42" s="886"/>
      <c r="C42" s="2631" t="e">
        <f>R43</f>
        <v>#DIV/0!</v>
      </c>
      <c r="D42" s="2632"/>
      <c r="E42" s="2633" t="e">
        <f>R42</f>
        <v>#DIV/0!</v>
      </c>
      <c r="F42" s="2633"/>
      <c r="G42" s="2631" t="e">
        <f>T42</f>
        <v>#DIV/0!</v>
      </c>
      <c r="H42" s="2632"/>
      <c r="I42" s="2633" t="e">
        <f>V42</f>
        <v>#DIV/0!</v>
      </c>
      <c r="J42" s="2632"/>
      <c r="K42" s="1610"/>
      <c r="L42" s="2142"/>
      <c r="M42" s="2143"/>
      <c r="N42" s="2132"/>
      <c r="O42" s="2143"/>
      <c r="P42" s="3362" t="str">
        <f>A42</f>
        <v>比较价格（元/平方米）</v>
      </c>
      <c r="Q42" s="3362"/>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7"/>
      <c r="Y42" s="1557"/>
      <c r="Z42" s="1557"/>
      <c r="AA42" s="1557"/>
      <c r="AB42" s="1557"/>
      <c r="AC42" s="1557"/>
    </row>
    <row r="43" spans="1:29" ht="15.75" thickBot="1">
      <c r="A43" s="619" t="s">
        <v>2928</v>
      </c>
      <c r="B43" s="620"/>
      <c r="C43" s="2634" t="e">
        <f>R43</f>
        <v>#DIV/0!</v>
      </c>
      <c r="D43" s="2634"/>
      <c r="E43" s="2634"/>
      <c r="F43" s="2634"/>
      <c r="G43" s="2634"/>
      <c r="H43" s="2634"/>
      <c r="I43" s="2634"/>
      <c r="J43" s="2634"/>
      <c r="K43" s="1611"/>
      <c r="L43" s="2142"/>
      <c r="M43" s="2143"/>
      <c r="N43" s="2143"/>
      <c r="O43" s="2143"/>
      <c r="P43" s="3359" t="str">
        <f>A43</f>
        <v>估价对象XX用房的比较价格（楼面单价，元/平方米）</v>
      </c>
      <c r="Q43" s="3360"/>
      <c r="R43" s="3477" t="e">
        <f>IF(F1="售价",ROUND(AVERAGE(R42:V42),0),ROUND(AVERAGE(R42:V42),1))</f>
        <v>#DIV/0!</v>
      </c>
      <c r="S43" s="3477"/>
      <c r="T43" s="3477"/>
      <c r="U43" s="3477"/>
      <c r="V43" s="3477"/>
      <c r="W43" s="3477"/>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3" t="s">
        <v>529</v>
      </c>
      <c r="B52" s="644"/>
      <c r="C52" s="2800" t="str">
        <f>YEAR(C7)&amp;"-"&amp;MONTH(C7)</f>
        <v>2018-8</v>
      </c>
      <c r="D52" s="2802">
        <f>EDATE(C52,-1)</f>
        <v>43282</v>
      </c>
      <c r="E52" s="2802">
        <f t="shared" ref="E52:O52" si="16">EDATE(D52,-1)</f>
        <v>43252</v>
      </c>
      <c r="F52" s="2802">
        <f t="shared" si="16"/>
        <v>43221</v>
      </c>
      <c r="G52" s="2802">
        <f t="shared" si="16"/>
        <v>43191</v>
      </c>
      <c r="H52" s="2802">
        <f t="shared" si="16"/>
        <v>43160</v>
      </c>
      <c r="I52" s="2802">
        <f t="shared" si="16"/>
        <v>43132</v>
      </c>
      <c r="J52" s="2802">
        <f t="shared" si="16"/>
        <v>43101</v>
      </c>
      <c r="K52" s="2802">
        <f t="shared" si="16"/>
        <v>43070</v>
      </c>
      <c r="L52" s="2802">
        <f t="shared" si="16"/>
        <v>43040</v>
      </c>
      <c r="M52" s="2802">
        <f t="shared" si="16"/>
        <v>43009</v>
      </c>
      <c r="N52" s="2802">
        <f t="shared" si="16"/>
        <v>42979</v>
      </c>
      <c r="O52" s="2802">
        <f t="shared" si="16"/>
        <v>42948</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95" t="s">
        <v>2559</v>
      </c>
      <c r="C76" s="2596" t="s">
        <v>2560</v>
      </c>
      <c r="D76" s="2596" t="s">
        <v>2561</v>
      </c>
      <c r="E76" s="2596" t="s">
        <v>2562</v>
      </c>
      <c r="F76" s="2596" t="s">
        <v>2563</v>
      </c>
      <c r="G76" s="2596" t="s">
        <v>2564</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795</v>
      </c>
      <c r="B3" s="508" t="e">
        <f>IF(B37="元/平方米",C39,ROUND(B2*10000/D3,0))</f>
        <v>#DIV/0!</v>
      </c>
      <c r="C3" s="850" t="s">
        <v>796</v>
      </c>
      <c r="D3" s="849">
        <f>SUMIF('数据-汇总表'!$C19:$C33,D1,'数据-汇总表'!$E19:$E33)</f>
        <v>0</v>
      </c>
      <c r="E3" s="1846" t="s">
        <v>2077</v>
      </c>
      <c r="F3" s="849">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797</v>
      </c>
      <c r="B4" s="511"/>
      <c r="C4" s="3368" t="s">
        <v>798</v>
      </c>
      <c r="D4" s="3369"/>
      <c r="E4" s="3368" t="s">
        <v>799</v>
      </c>
      <c r="F4" s="3369"/>
      <c r="G4" s="3368" t="s">
        <v>800</v>
      </c>
      <c r="H4" s="3369"/>
      <c r="I4" s="3368" t="s">
        <v>801</v>
      </c>
      <c r="J4" s="3369"/>
      <c r="K4" s="512" t="s">
        <v>802</v>
      </c>
      <c r="L4" s="2131"/>
      <c r="M4" s="2132"/>
      <c r="N4" s="2132"/>
      <c r="O4" s="2132"/>
      <c r="P4" s="3370" t="s">
        <v>803</v>
      </c>
      <c r="Q4" s="3371"/>
      <c r="R4" s="3376" t="s">
        <v>799</v>
      </c>
      <c r="S4" s="3377"/>
      <c r="T4" s="3376" t="s">
        <v>800</v>
      </c>
      <c r="U4" s="3377"/>
      <c r="V4" s="3363" t="s">
        <v>801</v>
      </c>
      <c r="W4" s="3363"/>
      <c r="X4" s="1565"/>
      <c r="Y4" s="3376" t="s">
        <v>803</v>
      </c>
      <c r="Z4" s="3377"/>
      <c r="AA4" s="3365" t="s">
        <v>799</v>
      </c>
      <c r="AB4" s="3366" t="s">
        <v>800</v>
      </c>
      <c r="AC4" s="3365" t="s">
        <v>801</v>
      </c>
    </row>
    <row r="5" spans="1:29" ht="15">
      <c r="A5" s="513"/>
      <c r="B5" s="514"/>
      <c r="C5" s="3386" t="s">
        <v>2922</v>
      </c>
      <c r="D5" s="3385"/>
      <c r="E5" s="3386" t="s">
        <v>2923</v>
      </c>
      <c r="F5" s="3385"/>
      <c r="G5" s="3386" t="s">
        <v>2924</v>
      </c>
      <c r="H5" s="3385"/>
      <c r="I5" s="3386" t="s">
        <v>2925</v>
      </c>
      <c r="J5" s="3385"/>
      <c r="K5" s="512"/>
      <c r="L5" s="2131"/>
      <c r="M5" s="2132"/>
      <c r="N5" s="2132"/>
      <c r="O5" s="2132"/>
      <c r="P5" s="3372"/>
      <c r="Q5" s="3373"/>
      <c r="R5" s="3378"/>
      <c r="S5" s="3379"/>
      <c r="T5" s="3378"/>
      <c r="U5" s="3379"/>
      <c r="V5" s="3363"/>
      <c r="W5" s="3363"/>
      <c r="X5" s="1565"/>
      <c r="Y5" s="3378"/>
      <c r="Z5" s="3379"/>
      <c r="AA5" s="3366"/>
      <c r="AB5" s="3366"/>
      <c r="AC5" s="3366"/>
    </row>
    <row r="6" spans="1:29" ht="15.75" thickBot="1">
      <c r="A6" s="515"/>
      <c r="B6" s="516"/>
      <c r="C6" s="3402" t="s">
        <v>2926</v>
      </c>
      <c r="D6" s="3383"/>
      <c r="E6" s="3387" t="s">
        <v>2926</v>
      </c>
      <c r="F6" s="3388"/>
      <c r="G6" s="3402" t="s">
        <v>2926</v>
      </c>
      <c r="H6" s="3383"/>
      <c r="I6" s="3402" t="s">
        <v>2926</v>
      </c>
      <c r="J6" s="3383"/>
      <c r="K6" s="512" t="s">
        <v>528</v>
      </c>
      <c r="L6" s="2131"/>
      <c r="M6" s="2132"/>
      <c r="N6" s="2132"/>
      <c r="O6" s="2132"/>
      <c r="P6" s="3374"/>
      <c r="Q6" s="3375"/>
      <c r="R6" s="3378"/>
      <c r="S6" s="3379"/>
      <c r="T6" s="3380"/>
      <c r="U6" s="3381"/>
      <c r="V6" s="3363"/>
      <c r="W6" s="3363"/>
      <c r="X6" s="1565"/>
      <c r="Y6" s="3380"/>
      <c r="Z6" s="3381"/>
      <c r="AA6" s="3367"/>
      <c r="AB6" s="3367"/>
      <c r="AC6" s="3367"/>
    </row>
    <row r="7" spans="1:29" s="1218" customFormat="1" ht="15.75" thickBot="1">
      <c r="A7" s="2909"/>
      <c r="B7" s="2916" t="s">
        <v>529</v>
      </c>
      <c r="C7" s="517">
        <f>'数据-取费表'!B2</f>
        <v>43327</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95" t="s">
        <v>530</v>
      </c>
      <c r="Q7" s="3397"/>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8" customFormat="1" ht="15.7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95" t="s">
        <v>533</v>
      </c>
      <c r="Q8" s="3396"/>
      <c r="R8" s="1566" t="s">
        <v>8</v>
      </c>
      <c r="S8" s="1567">
        <f t="shared" si="0"/>
        <v>0</v>
      </c>
      <c r="T8" s="1566" t="s">
        <v>8</v>
      </c>
      <c r="U8" s="1567">
        <f t="shared" si="1"/>
        <v>0</v>
      </c>
      <c r="V8" s="1566" t="s">
        <v>8</v>
      </c>
      <c r="W8" s="1567">
        <f t="shared" si="2"/>
        <v>0</v>
      </c>
      <c r="X8" s="1568"/>
      <c r="Y8" s="3395" t="s">
        <v>533</v>
      </c>
      <c r="Z8" s="3396"/>
      <c r="AA8" s="1569" t="e">
        <f t="shared" ref="AA8:AA36" si="3">D8/F8</f>
        <v>#DIV/0!</v>
      </c>
      <c r="AB8" s="1569" t="e">
        <f t="shared" ref="AB8:AB36" si="4">D8/H8</f>
        <v>#DIV/0!</v>
      </c>
      <c r="AC8" s="1569" t="e">
        <f t="shared" ref="AC8:AC36" si="5">D8/J8</f>
        <v>#DIV/0!</v>
      </c>
    </row>
    <row r="9" spans="1:29" s="1218" customFormat="1" ht="15">
      <c r="A9" s="2911"/>
      <c r="B9" s="2918"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62" t="s">
        <v>535</v>
      </c>
      <c r="Q9" s="1149" t="str">
        <f t="shared" ref="Q9:Q14" si="6">B9</f>
        <v>用途</v>
      </c>
      <c r="R9" s="1566" t="s">
        <v>8</v>
      </c>
      <c r="S9" s="1567">
        <f t="shared" si="0"/>
        <v>100</v>
      </c>
      <c r="T9" s="1566" t="s">
        <v>8</v>
      </c>
      <c r="U9" s="1567">
        <f t="shared" si="1"/>
        <v>100</v>
      </c>
      <c r="V9" s="1566" t="s">
        <v>8</v>
      </c>
      <c r="W9" s="1567">
        <f t="shared" si="2"/>
        <v>100</v>
      </c>
      <c r="X9" s="1568"/>
      <c r="Y9" s="3308" t="s">
        <v>536</v>
      </c>
      <c r="Z9" s="1148" t="str">
        <f t="shared" ref="Z9:Z14" si="7">Q9</f>
        <v>用途</v>
      </c>
      <c r="AA9" s="1569">
        <f t="shared" si="3"/>
        <v>1</v>
      </c>
      <c r="AB9" s="1569">
        <f t="shared" si="4"/>
        <v>1</v>
      </c>
      <c r="AC9" s="1569">
        <f t="shared" si="5"/>
        <v>1</v>
      </c>
    </row>
    <row r="10" spans="1:29" s="1336" customFormat="1" ht="27">
      <c r="A10" s="2912"/>
      <c r="B10" s="2917"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62"/>
      <c r="Q11" s="1149">
        <f t="shared" si="6"/>
        <v>111</v>
      </c>
      <c r="R11" s="1566" t="s">
        <v>8</v>
      </c>
      <c r="S11" s="1567">
        <f t="shared" si="0"/>
        <v>100</v>
      </c>
      <c r="T11" s="1566" t="s">
        <v>8</v>
      </c>
      <c r="U11" s="1567">
        <f t="shared" si="1"/>
        <v>100</v>
      </c>
      <c r="V11" s="1566" t="s">
        <v>8</v>
      </c>
      <c r="W11" s="1567">
        <f t="shared" si="2"/>
        <v>100</v>
      </c>
      <c r="X11" s="1568"/>
      <c r="Y11" s="3308"/>
      <c r="Z11" s="1148">
        <f t="shared" si="7"/>
        <v>111</v>
      </c>
      <c r="AA11" s="1569">
        <f t="shared" si="3"/>
        <v>1</v>
      </c>
      <c r="AB11" s="1569">
        <f t="shared" si="4"/>
        <v>1</v>
      </c>
      <c r="AC11" s="1569">
        <f t="shared" si="5"/>
        <v>1</v>
      </c>
    </row>
    <row r="12" spans="1:29" s="1218"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75"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
      <c r="A14" s="2907" t="s">
        <v>2755</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398" t="s">
        <v>540</v>
      </c>
      <c r="Q14" s="1570" t="str">
        <f t="shared" si="6"/>
        <v>交通便捷度</v>
      </c>
      <c r="R14" s="1571" t="s">
        <v>8</v>
      </c>
      <c r="S14" s="1572">
        <f t="shared" si="0"/>
        <v>100</v>
      </c>
      <c r="T14" s="1571" t="s">
        <v>8</v>
      </c>
      <c r="U14" s="1572">
        <f t="shared" si="1"/>
        <v>100</v>
      </c>
      <c r="V14" s="1571" t="s">
        <v>8</v>
      </c>
      <c r="W14" s="1572">
        <f t="shared" si="2"/>
        <v>100</v>
      </c>
      <c r="X14" s="1565"/>
      <c r="Y14" s="3398" t="s">
        <v>540</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0"/>
      <c r="M15" s="2132"/>
      <c r="N15" s="2132"/>
      <c r="O15" s="2139"/>
      <c r="P15" s="3399"/>
      <c r="Q15" s="1570"/>
      <c r="R15" s="1571"/>
      <c r="S15" s="1572"/>
      <c r="T15" s="1571"/>
      <c r="U15" s="1572"/>
      <c r="V15" s="1571"/>
      <c r="W15" s="1572"/>
      <c r="X15" s="1565"/>
      <c r="Y15" s="3399"/>
      <c r="Z15" s="1573"/>
      <c r="AA15" s="1574">
        <v>1</v>
      </c>
      <c r="AB15" s="1574">
        <v>1</v>
      </c>
      <c r="AC15" s="1574">
        <v>1</v>
      </c>
    </row>
    <row r="16" spans="1:29" ht="15">
      <c r="A16" s="513"/>
      <c r="B16" s="2601" t="s">
        <v>2547</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399"/>
      <c r="Q16" s="1570" t="str">
        <f>B16</f>
        <v>公共配套设施</v>
      </c>
      <c r="R16" s="1571" t="s">
        <v>8</v>
      </c>
      <c r="S16" s="1572">
        <f>F16</f>
        <v>100</v>
      </c>
      <c r="T16" s="1571" t="s">
        <v>8</v>
      </c>
      <c r="U16" s="1572">
        <f>H16</f>
        <v>100</v>
      </c>
      <c r="V16" s="1571" t="s">
        <v>8</v>
      </c>
      <c r="W16" s="1572">
        <f>J16</f>
        <v>100</v>
      </c>
      <c r="X16" s="1565"/>
      <c r="Y16" s="3399"/>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0"/>
      <c r="M17" s="2132"/>
      <c r="N17" s="2132"/>
      <c r="O17" s="2139"/>
      <c r="P17" s="3399"/>
      <c r="Q17" s="1570"/>
      <c r="R17" s="1571"/>
      <c r="S17" s="1572"/>
      <c r="T17" s="1571"/>
      <c r="U17" s="1572"/>
      <c r="V17" s="1571"/>
      <c r="W17" s="1572"/>
      <c r="X17" s="1565"/>
      <c r="Y17" s="3399"/>
      <c r="Z17" s="1573"/>
      <c r="AA17" s="1574">
        <v>1</v>
      </c>
      <c r="AB17" s="1574">
        <v>1</v>
      </c>
      <c r="AC17" s="1574">
        <v>1</v>
      </c>
    </row>
    <row r="18" spans="1:29" ht="15">
      <c r="A18" s="513"/>
      <c r="B18" s="2589" t="s">
        <v>2559</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399"/>
      <c r="Q18" s="2577" t="str">
        <f>B18</f>
        <v>基础设施水平</v>
      </c>
      <c r="R18" s="1571" t="s">
        <v>8</v>
      </c>
      <c r="S18" s="1572">
        <f>F18</f>
        <v>100</v>
      </c>
      <c r="T18" s="1571" t="s">
        <v>8</v>
      </c>
      <c r="U18" s="1572">
        <f>H18</f>
        <v>100</v>
      </c>
      <c r="V18" s="1571" t="s">
        <v>8</v>
      </c>
      <c r="W18" s="1572">
        <f>J18</f>
        <v>100</v>
      </c>
      <c r="X18" s="2579"/>
      <c r="Y18" s="3399"/>
      <c r="Z18" s="2578"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00"/>
      <c r="L19" s="2140"/>
      <c r="M19" s="2132"/>
      <c r="N19" s="2132"/>
      <c r="O19" s="2139"/>
      <c r="P19" s="3399"/>
      <c r="Q19" s="2577"/>
      <c r="R19" s="1571"/>
      <c r="S19" s="1572"/>
      <c r="T19" s="1571"/>
      <c r="U19" s="1572"/>
      <c r="V19" s="1571"/>
      <c r="W19" s="1572"/>
      <c r="X19" s="2579"/>
      <c r="Y19" s="3399"/>
      <c r="Z19" s="2578"/>
      <c r="AA19" s="1574">
        <v>1</v>
      </c>
      <c r="AB19" s="1574">
        <v>1</v>
      </c>
      <c r="AC19" s="1574">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399"/>
      <c r="Q20" s="1570" t="str">
        <f>B20</f>
        <v>自然及人文环境</v>
      </c>
      <c r="R20" s="1571" t="s">
        <v>8</v>
      </c>
      <c r="S20" s="1572">
        <f>F20</f>
        <v>100</v>
      </c>
      <c r="T20" s="1571" t="s">
        <v>8</v>
      </c>
      <c r="U20" s="1572">
        <f>H20</f>
        <v>100</v>
      </c>
      <c r="V20" s="1571" t="s">
        <v>8</v>
      </c>
      <c r="W20" s="1572">
        <f>J20</f>
        <v>100</v>
      </c>
      <c r="X20" s="1565"/>
      <c r="Y20" s="3399"/>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0"/>
      <c r="M21" s="2132"/>
      <c r="N21" s="2132"/>
      <c r="O21" s="2139"/>
      <c r="P21" s="3399"/>
      <c r="Q21" s="1570"/>
      <c r="R21" s="1571"/>
      <c r="S21" s="1572"/>
      <c r="T21" s="1571"/>
      <c r="U21" s="1572"/>
      <c r="V21" s="1571"/>
      <c r="W21" s="1572"/>
      <c r="X21" s="1565"/>
      <c r="Y21" s="3399"/>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99"/>
      <c r="Q22" s="1570" t="str">
        <f>B22</f>
        <v>楼层</v>
      </c>
      <c r="R22" s="1571" t="s">
        <v>8</v>
      </c>
      <c r="S22" s="1572">
        <f>F22</f>
        <v>100</v>
      </c>
      <c r="T22" s="1571" t="s">
        <v>8</v>
      </c>
      <c r="U22" s="1572">
        <f>H22</f>
        <v>100</v>
      </c>
      <c r="V22" s="1571" t="s">
        <v>8</v>
      </c>
      <c r="W22" s="1572">
        <f>J22</f>
        <v>100</v>
      </c>
      <c r="X22" s="1565"/>
      <c r="Y22" s="3399"/>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99"/>
      <c r="Q23" s="1570">
        <f>B23</f>
        <v>111</v>
      </c>
      <c r="R23" s="1571" t="s">
        <v>8</v>
      </c>
      <c r="S23" s="1572">
        <f>F23</f>
        <v>100</v>
      </c>
      <c r="T23" s="1571" t="s">
        <v>8</v>
      </c>
      <c r="U23" s="1572">
        <f>H23</f>
        <v>100</v>
      </c>
      <c r="V23" s="1571" t="s">
        <v>8</v>
      </c>
      <c r="W23" s="1572">
        <f>J23</f>
        <v>100</v>
      </c>
      <c r="X23" s="1565"/>
      <c r="Y23" s="3399"/>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99"/>
      <c r="Q24" s="1570">
        <f t="shared" ref="Q24:Q36" si="11">B24</f>
        <v>111</v>
      </c>
      <c r="R24" s="1571" t="s">
        <v>8</v>
      </c>
      <c r="S24" s="1572">
        <f>F24</f>
        <v>100</v>
      </c>
      <c r="T24" s="1571" t="s">
        <v>8</v>
      </c>
      <c r="U24" s="1572">
        <f>H24</f>
        <v>100</v>
      </c>
      <c r="V24" s="1571" t="s">
        <v>8</v>
      </c>
      <c r="W24" s="1572">
        <f>J24</f>
        <v>100</v>
      </c>
      <c r="X24" s="1565"/>
      <c r="Y24" s="3399"/>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399"/>
      <c r="Q25" s="1149">
        <f t="shared" si="11"/>
        <v>111</v>
      </c>
      <c r="R25" s="1566" t="s">
        <v>8</v>
      </c>
      <c r="S25" s="1567">
        <f>F25</f>
        <v>100</v>
      </c>
      <c r="T25" s="1566" t="s">
        <v>8</v>
      </c>
      <c r="U25" s="1567">
        <f>H25</f>
        <v>100</v>
      </c>
      <c r="V25" s="1566" t="s">
        <v>8</v>
      </c>
      <c r="W25" s="1567">
        <f>J25</f>
        <v>100</v>
      </c>
      <c r="X25" s="1568"/>
      <c r="Y25" s="3399"/>
      <c r="Z25" s="1148">
        <f>Q25</f>
        <v>111</v>
      </c>
      <c r="AA25" s="1574">
        <f>D25/F25</f>
        <v>1</v>
      </c>
      <c r="AB25" s="1574">
        <f>D25/H25</f>
        <v>1</v>
      </c>
      <c r="AC25" s="1574">
        <f>D25/J25</f>
        <v>1</v>
      </c>
    </row>
    <row r="26" spans="1:29" ht="15">
      <c r="A26" s="2905" t="s">
        <v>2756</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0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1" t="s">
        <v>550</v>
      </c>
      <c r="Z26" s="1573" t="str">
        <f t="shared" ref="Z26:Z36" si="15">Q26</f>
        <v>配套类型</v>
      </c>
      <c r="AA26" s="1574">
        <f t="shared" si="3"/>
        <v>1</v>
      </c>
      <c r="AB26" s="1574">
        <f t="shared" si="4"/>
        <v>1</v>
      </c>
      <c r="AC26" s="1574">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01"/>
      <c r="Q27" s="1603" t="str">
        <f t="shared" si="11"/>
        <v>项目停车位配比</v>
      </c>
      <c r="R27" s="1575" t="s">
        <v>8</v>
      </c>
      <c r="S27" s="1576">
        <f t="shared" si="12"/>
        <v>100</v>
      </c>
      <c r="T27" s="1575" t="s">
        <v>8</v>
      </c>
      <c r="U27" s="1576">
        <f t="shared" si="13"/>
        <v>100</v>
      </c>
      <c r="V27" s="1575" t="s">
        <v>8</v>
      </c>
      <c r="W27" s="1576">
        <f t="shared" si="14"/>
        <v>100</v>
      </c>
      <c r="X27" s="1577"/>
      <c r="Y27" s="3401"/>
      <c r="Z27" s="1578" t="str">
        <f t="shared" si="15"/>
        <v>项目停车位配比</v>
      </c>
      <c r="AA27" s="1574">
        <f t="shared" si="3"/>
        <v>1</v>
      </c>
      <c r="AB27" s="1574">
        <f t="shared" si="4"/>
        <v>1</v>
      </c>
      <c r="AC27" s="1574">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01"/>
      <c r="Q28" s="1570" t="str">
        <f t="shared" si="11"/>
        <v>公共部分装修</v>
      </c>
      <c r="R28" s="1571" t="s">
        <v>8</v>
      </c>
      <c r="S28" s="1572">
        <f t="shared" si="12"/>
        <v>100</v>
      </c>
      <c r="T28" s="1571" t="s">
        <v>8</v>
      </c>
      <c r="U28" s="1572">
        <f t="shared" si="13"/>
        <v>100</v>
      </c>
      <c r="V28" s="1571" t="s">
        <v>8</v>
      </c>
      <c r="W28" s="1572">
        <f t="shared" si="14"/>
        <v>100</v>
      </c>
      <c r="X28" s="1565"/>
      <c r="Y28" s="3401"/>
      <c r="Z28" s="1573" t="str">
        <f t="shared" si="15"/>
        <v>公共部分装修</v>
      </c>
      <c r="AA28" s="1574">
        <f t="shared" si="3"/>
        <v>1</v>
      </c>
      <c r="AB28" s="1574">
        <f t="shared" si="4"/>
        <v>1</v>
      </c>
      <c r="AC28" s="1574">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01"/>
      <c r="Q29" s="1570" t="str">
        <f t="shared" si="11"/>
        <v>成新率</v>
      </c>
      <c r="R29" s="1571" t="s">
        <v>8</v>
      </c>
      <c r="S29" s="1572" t="e">
        <f t="shared" si="12"/>
        <v>#N/A</v>
      </c>
      <c r="T29" s="1571" t="s">
        <v>8</v>
      </c>
      <c r="U29" s="1572" t="e">
        <f t="shared" si="13"/>
        <v>#N/A</v>
      </c>
      <c r="V29" s="1571" t="s">
        <v>8</v>
      </c>
      <c r="W29" s="1572" t="e">
        <f t="shared" si="14"/>
        <v>#N/A</v>
      </c>
      <c r="X29" s="1565"/>
      <c r="Y29" s="3401"/>
      <c r="Z29" s="1573" t="str">
        <f t="shared" si="15"/>
        <v>成新率</v>
      </c>
      <c r="AA29" s="1574" t="e">
        <f t="shared" si="3"/>
        <v>#N/A</v>
      </c>
      <c r="AB29" s="1574" t="e">
        <f t="shared" si="4"/>
        <v>#N/A</v>
      </c>
      <c r="AC29" s="1574"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01"/>
      <c r="Q30" s="1570" t="str">
        <f t="shared" si="11"/>
        <v>物业等级</v>
      </c>
      <c r="R30" s="1571" t="s">
        <v>8</v>
      </c>
      <c r="S30" s="1572">
        <f t="shared" si="12"/>
        <v>100</v>
      </c>
      <c r="T30" s="1571" t="s">
        <v>8</v>
      </c>
      <c r="U30" s="1572">
        <f t="shared" si="13"/>
        <v>100</v>
      </c>
      <c r="V30" s="1571" t="s">
        <v>8</v>
      </c>
      <c r="W30" s="1572">
        <f t="shared" si="14"/>
        <v>100</v>
      </c>
      <c r="X30" s="1565"/>
      <c r="Y30" s="3401"/>
      <c r="Z30" s="1573" t="str">
        <f t="shared" si="15"/>
        <v>物业等级</v>
      </c>
      <c r="AA30" s="1574">
        <f t="shared" si="3"/>
        <v>1</v>
      </c>
      <c r="AB30" s="1574">
        <f t="shared" si="4"/>
        <v>1</v>
      </c>
      <c r="AC30" s="1574">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01"/>
      <c r="Q31" s="1149" t="str">
        <f t="shared" si="11"/>
        <v>停车位面积</v>
      </c>
      <c r="R31" s="1566" t="s">
        <v>8</v>
      </c>
      <c r="S31" s="1567" t="e">
        <f t="shared" si="12"/>
        <v>#N/A</v>
      </c>
      <c r="T31" s="1566" t="s">
        <v>8</v>
      </c>
      <c r="U31" s="1567" t="e">
        <f t="shared" si="13"/>
        <v>#N/A</v>
      </c>
      <c r="V31" s="1566" t="s">
        <v>8</v>
      </c>
      <c r="W31" s="1567" t="e">
        <f t="shared" si="14"/>
        <v>#N/A</v>
      </c>
      <c r="X31" s="1568"/>
      <c r="Y31" s="3401"/>
      <c r="Z31" s="1148" t="str">
        <f t="shared" si="15"/>
        <v>停车位面积</v>
      </c>
      <c r="AA31" s="1569" t="e">
        <f t="shared" si="3"/>
        <v>#N/A</v>
      </c>
      <c r="AB31" s="1569" t="e">
        <f t="shared" si="4"/>
        <v>#N/A</v>
      </c>
      <c r="AC31" s="1569"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01" t="s">
        <v>550</v>
      </c>
      <c r="Q32" s="1570" t="str">
        <f t="shared" si="11"/>
        <v>车位类型</v>
      </c>
      <c r="R32" s="1571" t="s">
        <v>8</v>
      </c>
      <c r="S32" s="1572">
        <f t="shared" si="12"/>
        <v>100</v>
      </c>
      <c r="T32" s="1571" t="s">
        <v>8</v>
      </c>
      <c r="U32" s="1572">
        <f t="shared" si="13"/>
        <v>100</v>
      </c>
      <c r="V32" s="1571" t="s">
        <v>8</v>
      </c>
      <c r="W32" s="1572">
        <f t="shared" si="14"/>
        <v>100</v>
      </c>
      <c r="X32" s="1565"/>
      <c r="Y32" s="3401" t="s">
        <v>550</v>
      </c>
      <c r="Z32" s="1573" t="str">
        <f t="shared" si="15"/>
        <v>车位类型</v>
      </c>
      <c r="AA32" s="1574">
        <f t="shared" si="3"/>
        <v>1</v>
      </c>
      <c r="AB32" s="1574">
        <f t="shared" si="4"/>
        <v>1</v>
      </c>
      <c r="AC32" s="1574">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01"/>
      <c r="Q33" s="1570" t="str">
        <f t="shared" si="11"/>
        <v>是否直接入户</v>
      </c>
      <c r="R33" s="1571" t="s">
        <v>8</v>
      </c>
      <c r="S33" s="1572">
        <f t="shared" si="12"/>
        <v>100</v>
      </c>
      <c r="T33" s="1571" t="s">
        <v>8</v>
      </c>
      <c r="U33" s="1572">
        <f t="shared" si="13"/>
        <v>100</v>
      </c>
      <c r="V33" s="1571" t="s">
        <v>8</v>
      </c>
      <c r="W33" s="1572">
        <f t="shared" si="14"/>
        <v>100</v>
      </c>
      <c r="X33" s="1565"/>
      <c r="Y33" s="3401"/>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01"/>
      <c r="Q34" s="1570">
        <f t="shared" si="11"/>
        <v>111</v>
      </c>
      <c r="R34" s="1571" t="s">
        <v>8</v>
      </c>
      <c r="S34" s="1572">
        <f t="shared" si="12"/>
        <v>100</v>
      </c>
      <c r="T34" s="1571" t="s">
        <v>8</v>
      </c>
      <c r="U34" s="1572">
        <f t="shared" si="13"/>
        <v>100</v>
      </c>
      <c r="V34" s="1571" t="s">
        <v>8</v>
      </c>
      <c r="W34" s="1572">
        <f t="shared" si="14"/>
        <v>100</v>
      </c>
      <c r="X34" s="1565"/>
      <c r="Y34" s="3401"/>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01"/>
      <c r="Q35" s="1603">
        <f t="shared" si="11"/>
        <v>111</v>
      </c>
      <c r="R35" s="1575" t="s">
        <v>8</v>
      </c>
      <c r="S35" s="1576">
        <f t="shared" si="12"/>
        <v>100</v>
      </c>
      <c r="T35" s="1575" t="s">
        <v>8</v>
      </c>
      <c r="U35" s="1576">
        <f t="shared" si="13"/>
        <v>100</v>
      </c>
      <c r="V35" s="1575" t="s">
        <v>8</v>
      </c>
      <c r="W35" s="1576">
        <f t="shared" si="14"/>
        <v>100</v>
      </c>
      <c r="X35" s="1577"/>
      <c r="Y35" s="3401"/>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01"/>
      <c r="Q36" s="1570">
        <f t="shared" si="11"/>
        <v>111</v>
      </c>
      <c r="R36" s="1571" t="s">
        <v>8</v>
      </c>
      <c r="S36" s="1572">
        <f t="shared" si="12"/>
        <v>100</v>
      </c>
      <c r="T36" s="1571" t="s">
        <v>8</v>
      </c>
      <c r="U36" s="1572">
        <f t="shared" si="13"/>
        <v>100</v>
      </c>
      <c r="V36" s="1571" t="s">
        <v>8</v>
      </c>
      <c r="W36" s="1572">
        <f t="shared" si="14"/>
        <v>100</v>
      </c>
      <c r="X36" s="1565"/>
      <c r="Y36" s="3401"/>
      <c r="Z36" s="1573">
        <f t="shared" si="15"/>
        <v>111</v>
      </c>
      <c r="AA36" s="1574">
        <f t="shared" si="3"/>
        <v>1</v>
      </c>
      <c r="AB36" s="1574">
        <f t="shared" si="4"/>
        <v>1</v>
      </c>
      <c r="AC36" s="1574">
        <f t="shared" si="5"/>
        <v>1</v>
      </c>
    </row>
    <row r="37" spans="1:29" ht="15">
      <c r="A37" s="1844" t="s">
        <v>2078</v>
      </c>
      <c r="B37" s="1845" t="s">
        <v>2079</v>
      </c>
      <c r="C37" s="2625" t="s">
        <v>1</v>
      </c>
      <c r="D37" s="2626"/>
      <c r="E37" s="2627"/>
      <c r="F37" s="2628"/>
      <c r="G37" s="2629"/>
      <c r="H37" s="2630"/>
      <c r="I37" s="2627"/>
      <c r="J37" s="2630"/>
      <c r="K37" s="1609"/>
      <c r="L37" s="2142"/>
      <c r="M37" s="2143"/>
      <c r="N37" s="2132"/>
      <c r="O37" s="2143"/>
      <c r="P37" s="3362" t="str">
        <f>A37</f>
        <v>成交单价</v>
      </c>
      <c r="Q37" s="3362"/>
      <c r="R37" s="3478">
        <f>E37</f>
        <v>0</v>
      </c>
      <c r="S37" s="3478"/>
      <c r="T37" s="3478">
        <f>G37</f>
        <v>0</v>
      </c>
      <c r="U37" s="3478"/>
      <c r="V37" s="3478">
        <f>I37</f>
        <v>0</v>
      </c>
      <c r="W37" s="3478"/>
      <c r="X37" s="1557"/>
      <c r="Y37" s="1579"/>
      <c r="Z37" s="1557"/>
      <c r="AA37" s="1557"/>
      <c r="AB37" s="1557"/>
      <c r="AC37" s="1557"/>
    </row>
    <row r="38" spans="1:29" ht="15.75" thickBot="1">
      <c r="A38" s="613" t="s">
        <v>2761</v>
      </c>
      <c r="B38" s="886"/>
      <c r="C38" s="2631" t="e">
        <f>R39</f>
        <v>#DIV/0!</v>
      </c>
      <c r="D38" s="2632"/>
      <c r="E38" s="2633" t="e">
        <f>R38</f>
        <v>#DIV/0!</v>
      </c>
      <c r="F38" s="2633"/>
      <c r="G38" s="2631" t="e">
        <f>T38</f>
        <v>#DIV/0!</v>
      </c>
      <c r="H38" s="2632"/>
      <c r="I38" s="2633" t="e">
        <f>V38</f>
        <v>#DIV/0!</v>
      </c>
      <c r="J38" s="2632"/>
      <c r="K38" s="1610"/>
      <c r="L38" s="2142"/>
      <c r="M38" s="2143"/>
      <c r="N38" s="2143"/>
      <c r="O38" s="2143"/>
      <c r="P38" s="3362" t="str">
        <f>A38</f>
        <v>比较价格（元/平方米）</v>
      </c>
      <c r="Q38" s="3362"/>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7"/>
      <c r="Y38" s="1557"/>
      <c r="Z38" s="1557"/>
      <c r="AA38" s="1557"/>
      <c r="AB38" s="1557"/>
      <c r="AC38" s="1557"/>
    </row>
    <row r="39" spans="1:29" ht="15.75" thickBot="1">
      <c r="A39" s="619" t="s">
        <v>2928</v>
      </c>
      <c r="B39" s="620"/>
      <c r="C39" s="2634" t="e">
        <f>R39</f>
        <v>#DIV/0!</v>
      </c>
      <c r="D39" s="2634"/>
      <c r="E39" s="2634"/>
      <c r="F39" s="2634"/>
      <c r="G39" s="2634"/>
      <c r="H39" s="2634"/>
      <c r="I39" s="2634"/>
      <c r="J39" s="2634"/>
      <c r="K39" s="1611"/>
      <c r="L39" s="2142"/>
      <c r="M39" s="2143"/>
      <c r="N39" s="2143"/>
      <c r="O39" s="2143"/>
      <c r="P39" s="3359" t="str">
        <f>A39</f>
        <v>估价对象XX用房的比较价格（楼面单价，元/平方米）</v>
      </c>
      <c r="Q39" s="3360"/>
      <c r="R39" s="3477" t="e">
        <f>IF(F1="售价",ROUND(AVERAGE(R38:V38),0),ROUND(AVERAGE(R38:V38),1))</f>
        <v>#DIV/0!</v>
      </c>
      <c r="S39" s="3477"/>
      <c r="T39" s="3477"/>
      <c r="U39" s="3477"/>
      <c r="V39" s="3477"/>
      <c r="W39" s="3477"/>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00" t="str">
        <f>YEAR(C7)&amp;"-"&amp;MONTH(C7)</f>
        <v>2018-8</v>
      </c>
      <c r="D48" s="2802">
        <f>EDATE(C48,-1)</f>
        <v>43282</v>
      </c>
      <c r="E48" s="2802">
        <f t="shared" ref="E48:O48" si="16">EDATE(D48,-1)</f>
        <v>43252</v>
      </c>
      <c r="F48" s="2802">
        <f t="shared" si="16"/>
        <v>43221</v>
      </c>
      <c r="G48" s="2802">
        <f t="shared" si="16"/>
        <v>43191</v>
      </c>
      <c r="H48" s="2802">
        <f t="shared" si="16"/>
        <v>43160</v>
      </c>
      <c r="I48" s="2802">
        <f t="shared" si="16"/>
        <v>43132</v>
      </c>
      <c r="J48" s="2802">
        <f t="shared" si="16"/>
        <v>43101</v>
      </c>
      <c r="K48" s="2802">
        <f t="shared" si="16"/>
        <v>43070</v>
      </c>
      <c r="L48" s="2802">
        <f t="shared" si="16"/>
        <v>43040</v>
      </c>
      <c r="M48" s="2802">
        <f t="shared" si="16"/>
        <v>43009</v>
      </c>
      <c r="N48" s="2802">
        <f t="shared" si="16"/>
        <v>42979</v>
      </c>
      <c r="O48" s="2802">
        <f t="shared" si="16"/>
        <v>42948</v>
      </c>
      <c r="P48" s="2158"/>
      <c r="Q48" s="2159"/>
      <c r="R48" s="2159"/>
      <c r="S48" s="2159"/>
      <c r="T48" s="2159"/>
      <c r="U48" s="2159"/>
      <c r="V48" s="2159"/>
      <c r="W48" s="2159"/>
      <c r="X48" s="2159"/>
      <c r="Y48" s="2159"/>
      <c r="Z48" s="2159"/>
      <c r="AA48" s="2159"/>
      <c r="AB48" s="2159"/>
      <c r="AC48" s="2159"/>
    </row>
    <row r="49" spans="1:29" s="1218" customFormat="1" ht="15">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95" t="s">
        <v>2559</v>
      </c>
      <c r="C67" s="2596" t="s">
        <v>2560</v>
      </c>
      <c r="D67" s="2596" t="s">
        <v>2561</v>
      </c>
      <c r="E67" s="2596" t="s">
        <v>2562</v>
      </c>
      <c r="F67" s="2596" t="s">
        <v>2563</v>
      </c>
      <c r="G67" s="2596" t="s">
        <v>2564</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797</v>
      </c>
      <c r="B4" s="511"/>
      <c r="C4" s="3368" t="s">
        <v>798</v>
      </c>
      <c r="D4" s="3369"/>
      <c r="E4" s="3405" t="s">
        <v>799</v>
      </c>
      <c r="F4" s="3406"/>
      <c r="G4" s="3368" t="s">
        <v>800</v>
      </c>
      <c r="H4" s="3369"/>
      <c r="I4" s="3368" t="s">
        <v>801</v>
      </c>
      <c r="J4" s="3369"/>
      <c r="K4" s="512" t="s">
        <v>802</v>
      </c>
      <c r="L4" s="2131"/>
      <c r="M4" s="2132"/>
      <c r="N4" s="2132"/>
      <c r="O4" s="2132"/>
      <c r="P4" s="3370" t="s">
        <v>803</v>
      </c>
      <c r="Q4" s="3371"/>
      <c r="R4" s="3376" t="s">
        <v>799</v>
      </c>
      <c r="S4" s="3377"/>
      <c r="T4" s="3376" t="s">
        <v>800</v>
      </c>
      <c r="U4" s="3377"/>
      <c r="V4" s="3363" t="s">
        <v>801</v>
      </c>
      <c r="W4" s="3363"/>
      <c r="X4" s="1565"/>
      <c r="Y4" s="3376" t="s">
        <v>803</v>
      </c>
      <c r="Z4" s="3377"/>
      <c r="AA4" s="3365" t="s">
        <v>799</v>
      </c>
      <c r="AB4" s="3366" t="s">
        <v>800</v>
      </c>
      <c r="AC4" s="3365" t="s">
        <v>801</v>
      </c>
    </row>
    <row r="5" spans="1:29" ht="15">
      <c r="A5" s="513"/>
      <c r="B5" s="514"/>
      <c r="C5" s="3386" t="s">
        <v>2922</v>
      </c>
      <c r="D5" s="3385"/>
      <c r="E5" s="3407" t="s">
        <v>2923</v>
      </c>
      <c r="F5" s="3408"/>
      <c r="G5" s="3386" t="s">
        <v>2924</v>
      </c>
      <c r="H5" s="3385"/>
      <c r="I5" s="3386" t="s">
        <v>2925</v>
      </c>
      <c r="J5" s="3385"/>
      <c r="K5" s="512"/>
      <c r="L5" s="2131"/>
      <c r="M5" s="2132"/>
      <c r="N5" s="2132"/>
      <c r="O5" s="2132"/>
      <c r="P5" s="3372"/>
      <c r="Q5" s="3373"/>
      <c r="R5" s="3378"/>
      <c r="S5" s="3379"/>
      <c r="T5" s="3378"/>
      <c r="U5" s="3379"/>
      <c r="V5" s="3363"/>
      <c r="W5" s="3363"/>
      <c r="X5" s="1565"/>
      <c r="Y5" s="3378"/>
      <c r="Z5" s="3379"/>
      <c r="AA5" s="3366"/>
      <c r="AB5" s="3366"/>
      <c r="AC5" s="3366"/>
    </row>
    <row r="6" spans="1:29" ht="15.75" thickBot="1">
      <c r="A6" s="515"/>
      <c r="B6" s="516"/>
      <c r="C6" s="3402" t="s">
        <v>2926</v>
      </c>
      <c r="D6" s="3383"/>
      <c r="E6" s="3403" t="s">
        <v>2926</v>
      </c>
      <c r="F6" s="3404"/>
      <c r="G6" s="3402" t="s">
        <v>2926</v>
      </c>
      <c r="H6" s="3383"/>
      <c r="I6" s="3402" t="s">
        <v>2926</v>
      </c>
      <c r="J6" s="3383"/>
      <c r="K6" s="512" t="s">
        <v>528</v>
      </c>
      <c r="L6" s="2131"/>
      <c r="M6" s="2132"/>
      <c r="N6" s="2132"/>
      <c r="O6" s="2132"/>
      <c r="P6" s="3374"/>
      <c r="Q6" s="3375"/>
      <c r="R6" s="3378"/>
      <c r="S6" s="3379"/>
      <c r="T6" s="3380"/>
      <c r="U6" s="3381"/>
      <c r="V6" s="3363"/>
      <c r="W6" s="3363"/>
      <c r="X6" s="1565"/>
      <c r="Y6" s="3380"/>
      <c r="Z6" s="3381"/>
      <c r="AA6" s="3367"/>
      <c r="AB6" s="3367"/>
      <c r="AC6" s="3367"/>
    </row>
    <row r="7" spans="1:29" s="1218" customFormat="1" ht="15.75" thickBot="1">
      <c r="A7" s="2909"/>
      <c r="B7" s="2916" t="s">
        <v>529</v>
      </c>
      <c r="C7" s="517">
        <f>'数据-取费表'!B2</f>
        <v>43327</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95" t="s">
        <v>530</v>
      </c>
      <c r="Q7" s="3397"/>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8" customFormat="1" ht="15.7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95" t="s">
        <v>533</v>
      </c>
      <c r="Q8" s="3396"/>
      <c r="R8" s="1566" t="s">
        <v>8</v>
      </c>
      <c r="S8" s="1567">
        <f t="shared" si="0"/>
        <v>0</v>
      </c>
      <c r="T8" s="1566" t="s">
        <v>8</v>
      </c>
      <c r="U8" s="1567">
        <f t="shared" si="1"/>
        <v>0</v>
      </c>
      <c r="V8" s="1566" t="s">
        <v>8</v>
      </c>
      <c r="W8" s="1567">
        <f t="shared" si="2"/>
        <v>0</v>
      </c>
      <c r="X8" s="1568"/>
      <c r="Y8" s="3395" t="s">
        <v>533</v>
      </c>
      <c r="Z8" s="3396"/>
      <c r="AA8" s="1569" t="e">
        <f t="shared" ref="AA8:AA34" si="3">D8/F8</f>
        <v>#DIV/0!</v>
      </c>
      <c r="AB8" s="1569" t="e">
        <f t="shared" ref="AB8:AB34" si="4">D8/H8</f>
        <v>#DIV/0!</v>
      </c>
      <c r="AC8" s="1569" t="e">
        <f t="shared" ref="AC8:AC34" si="5">D8/J8</f>
        <v>#DIV/0!</v>
      </c>
    </row>
    <row r="9" spans="1:29" s="1218" customFormat="1" ht="15">
      <c r="A9" s="2911"/>
      <c r="B9" s="2918"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62" t="s">
        <v>535</v>
      </c>
      <c r="Q9" s="1149" t="str">
        <f t="shared" ref="Q9:Q14" si="6">B9</f>
        <v>用途</v>
      </c>
      <c r="R9" s="1566" t="s">
        <v>8</v>
      </c>
      <c r="S9" s="1567">
        <f t="shared" si="0"/>
        <v>100</v>
      </c>
      <c r="T9" s="1566" t="s">
        <v>8</v>
      </c>
      <c r="U9" s="1567">
        <f t="shared" si="1"/>
        <v>100</v>
      </c>
      <c r="V9" s="1566" t="s">
        <v>8</v>
      </c>
      <c r="W9" s="1567">
        <f t="shared" si="2"/>
        <v>100</v>
      </c>
      <c r="X9" s="1568"/>
      <c r="Y9" s="3308" t="s">
        <v>536</v>
      </c>
      <c r="Z9" s="1148" t="str">
        <f t="shared" ref="Z9:Z14" si="7">Q9</f>
        <v>用途</v>
      </c>
      <c r="AA9" s="1569">
        <f t="shared" si="3"/>
        <v>1</v>
      </c>
      <c r="AB9" s="1569">
        <f t="shared" si="4"/>
        <v>1</v>
      </c>
      <c r="AC9" s="1569">
        <f t="shared" si="5"/>
        <v>1</v>
      </c>
    </row>
    <row r="10" spans="1:29" s="1336" customFormat="1" ht="27">
      <c r="A10" s="2912"/>
      <c r="B10" s="2917"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362"/>
      <c r="Q11" s="1149">
        <f t="shared" si="6"/>
        <v>111</v>
      </c>
      <c r="R11" s="1566" t="s">
        <v>8</v>
      </c>
      <c r="S11" s="1567">
        <f t="shared" si="0"/>
        <v>100</v>
      </c>
      <c r="T11" s="1566" t="s">
        <v>8</v>
      </c>
      <c r="U11" s="1567">
        <f t="shared" si="1"/>
        <v>100</v>
      </c>
      <c r="V11" s="1566" t="s">
        <v>8</v>
      </c>
      <c r="W11" s="1567">
        <f t="shared" si="2"/>
        <v>100</v>
      </c>
      <c r="X11" s="1568"/>
      <c r="Y11" s="3308"/>
      <c r="Z11" s="1148">
        <f t="shared" si="7"/>
        <v>111</v>
      </c>
      <c r="AA11" s="1569">
        <f t="shared" si="3"/>
        <v>1</v>
      </c>
      <c r="AB11" s="1569">
        <f t="shared" si="4"/>
        <v>1</v>
      </c>
      <c r="AC11" s="1569">
        <f t="shared" si="5"/>
        <v>1</v>
      </c>
    </row>
    <row r="12" spans="1:29" s="1218"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75"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
      <c r="A14" s="2907" t="s">
        <v>2755</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398" t="s">
        <v>540</v>
      </c>
      <c r="Q14" s="1570" t="str">
        <f t="shared" si="6"/>
        <v>交通便捷度</v>
      </c>
      <c r="R14" s="1571" t="s">
        <v>8</v>
      </c>
      <c r="S14" s="1572">
        <f t="shared" si="0"/>
        <v>100</v>
      </c>
      <c r="T14" s="1571" t="s">
        <v>8</v>
      </c>
      <c r="U14" s="1572">
        <f t="shared" si="1"/>
        <v>100</v>
      </c>
      <c r="V14" s="1571" t="s">
        <v>8</v>
      </c>
      <c r="W14" s="1572">
        <f t="shared" si="2"/>
        <v>100</v>
      </c>
      <c r="X14" s="1565"/>
      <c r="Y14" s="3398"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0"/>
      <c r="M15" s="2132"/>
      <c r="N15" s="2132"/>
      <c r="O15" s="2139"/>
      <c r="P15" s="3399"/>
      <c r="Q15" s="1570"/>
      <c r="R15" s="1571"/>
      <c r="S15" s="1572"/>
      <c r="T15" s="1571"/>
      <c r="U15" s="1572"/>
      <c r="V15" s="1571"/>
      <c r="W15" s="1572"/>
      <c r="X15" s="1565"/>
      <c r="Y15" s="3399"/>
      <c r="Z15" s="1573"/>
      <c r="AA15" s="1574">
        <v>1</v>
      </c>
      <c r="AB15" s="1574">
        <v>1</v>
      </c>
      <c r="AC15" s="1574">
        <v>1</v>
      </c>
    </row>
    <row r="16" spans="1:29" ht="15">
      <c r="A16" s="530"/>
      <c r="B16" s="2601" t="s">
        <v>2547</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399"/>
      <c r="Q16" s="1570" t="str">
        <f>B16</f>
        <v>公共配套设施</v>
      </c>
      <c r="R16" s="1571" t="s">
        <v>8</v>
      </c>
      <c r="S16" s="1572">
        <f>F16</f>
        <v>100</v>
      </c>
      <c r="T16" s="1571" t="s">
        <v>8</v>
      </c>
      <c r="U16" s="1572">
        <f>H16</f>
        <v>100</v>
      </c>
      <c r="V16" s="1571" t="s">
        <v>8</v>
      </c>
      <c r="W16" s="1572">
        <f>J16</f>
        <v>100</v>
      </c>
      <c r="X16" s="1565"/>
      <c r="Y16" s="3399"/>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0"/>
      <c r="M17" s="2132"/>
      <c r="N17" s="2132"/>
      <c r="O17" s="2139"/>
      <c r="P17" s="3399"/>
      <c r="Q17" s="1570"/>
      <c r="R17" s="1571"/>
      <c r="S17" s="1572"/>
      <c r="T17" s="1571"/>
      <c r="U17" s="1572"/>
      <c r="V17" s="1571"/>
      <c r="W17" s="1572"/>
      <c r="X17" s="1565"/>
      <c r="Y17" s="3399"/>
      <c r="Z17" s="1573"/>
      <c r="AA17" s="1574">
        <v>1</v>
      </c>
      <c r="AB17" s="1574">
        <v>1</v>
      </c>
      <c r="AC17" s="1574">
        <v>1</v>
      </c>
    </row>
    <row r="18" spans="1:29" ht="15">
      <c r="A18" s="530"/>
      <c r="B18" s="2589" t="s">
        <v>2559</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399"/>
      <c r="Q18" s="2577" t="str">
        <f>B18</f>
        <v>基础设施水平</v>
      </c>
      <c r="R18" s="1571" t="s">
        <v>8</v>
      </c>
      <c r="S18" s="1572">
        <f>F18</f>
        <v>100</v>
      </c>
      <c r="T18" s="1571" t="s">
        <v>8</v>
      </c>
      <c r="U18" s="1572">
        <f>H18</f>
        <v>100</v>
      </c>
      <c r="V18" s="1571" t="s">
        <v>8</v>
      </c>
      <c r="W18" s="1572">
        <f>J18</f>
        <v>100</v>
      </c>
      <c r="X18" s="2579"/>
      <c r="Y18" s="3399"/>
      <c r="Z18" s="2578"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00"/>
      <c r="L19" s="2140"/>
      <c r="M19" s="2132"/>
      <c r="N19" s="2132"/>
      <c r="O19" s="2139"/>
      <c r="P19" s="3399"/>
      <c r="Q19" s="2577"/>
      <c r="R19" s="1571"/>
      <c r="S19" s="1572"/>
      <c r="T19" s="1571"/>
      <c r="U19" s="1572"/>
      <c r="V19" s="1571"/>
      <c r="W19" s="1572"/>
      <c r="X19" s="2579"/>
      <c r="Y19" s="3399"/>
      <c r="Z19" s="2578"/>
      <c r="AA19" s="1574">
        <v>1</v>
      </c>
      <c r="AB19" s="1574">
        <v>1</v>
      </c>
      <c r="AC19" s="1574">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399"/>
      <c r="Q20" s="1570" t="str">
        <f>B20</f>
        <v>自然及人文环境</v>
      </c>
      <c r="R20" s="1571" t="s">
        <v>8</v>
      </c>
      <c r="S20" s="1572">
        <f>F20</f>
        <v>100</v>
      </c>
      <c r="T20" s="1571" t="s">
        <v>8</v>
      </c>
      <c r="U20" s="1572">
        <f>H20</f>
        <v>100</v>
      </c>
      <c r="V20" s="1571" t="s">
        <v>8</v>
      </c>
      <c r="W20" s="1572">
        <f>J20</f>
        <v>100</v>
      </c>
      <c r="X20" s="1565"/>
      <c r="Y20" s="3399"/>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0"/>
      <c r="M21" s="2132"/>
      <c r="N21" s="2132"/>
      <c r="O21" s="2139"/>
      <c r="P21" s="3399"/>
      <c r="Q21" s="1570"/>
      <c r="R21" s="1571"/>
      <c r="S21" s="1572"/>
      <c r="T21" s="1571"/>
      <c r="U21" s="1572"/>
      <c r="V21" s="1571"/>
      <c r="W21" s="1572"/>
      <c r="X21" s="1565"/>
      <c r="Y21" s="3399"/>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99"/>
      <c r="Q22" s="1570" t="str">
        <f>B22</f>
        <v>楼层</v>
      </c>
      <c r="R22" s="1571" t="s">
        <v>8</v>
      </c>
      <c r="S22" s="1572">
        <f>F22</f>
        <v>100</v>
      </c>
      <c r="T22" s="1571" t="s">
        <v>8</v>
      </c>
      <c r="U22" s="1572">
        <f>H22</f>
        <v>100</v>
      </c>
      <c r="V22" s="1571" t="s">
        <v>8</v>
      </c>
      <c r="W22" s="1572">
        <f>J22</f>
        <v>100</v>
      </c>
      <c r="X22" s="1565"/>
      <c r="Y22" s="3399"/>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99"/>
      <c r="Q23" s="1570">
        <f>B23</f>
        <v>111</v>
      </c>
      <c r="R23" s="1571" t="s">
        <v>8</v>
      </c>
      <c r="S23" s="1572">
        <f>F23</f>
        <v>100</v>
      </c>
      <c r="T23" s="1571" t="s">
        <v>8</v>
      </c>
      <c r="U23" s="1572">
        <f>H23</f>
        <v>100</v>
      </c>
      <c r="V23" s="1571" t="s">
        <v>8</v>
      </c>
      <c r="W23" s="1572">
        <f>J23</f>
        <v>100</v>
      </c>
      <c r="X23" s="1565"/>
      <c r="Y23" s="3399"/>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99"/>
      <c r="Q24" s="1570">
        <f t="shared" ref="Q24:Q34" si="11">B24</f>
        <v>111</v>
      </c>
      <c r="R24" s="1571" t="s">
        <v>8</v>
      </c>
      <c r="S24" s="1572">
        <f>F24</f>
        <v>100</v>
      </c>
      <c r="T24" s="1571" t="s">
        <v>8</v>
      </c>
      <c r="U24" s="1572">
        <f>H24</f>
        <v>100</v>
      </c>
      <c r="V24" s="1571" t="s">
        <v>8</v>
      </c>
      <c r="W24" s="1572">
        <f>J24</f>
        <v>100</v>
      </c>
      <c r="X24" s="1565"/>
      <c r="Y24" s="3399"/>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399"/>
      <c r="Q25" s="1149">
        <f t="shared" si="11"/>
        <v>111</v>
      </c>
      <c r="R25" s="1566" t="s">
        <v>8</v>
      </c>
      <c r="S25" s="1567">
        <f>F25</f>
        <v>100</v>
      </c>
      <c r="T25" s="1566" t="s">
        <v>8</v>
      </c>
      <c r="U25" s="1567">
        <f>H25</f>
        <v>100</v>
      </c>
      <c r="V25" s="1566" t="s">
        <v>8</v>
      </c>
      <c r="W25" s="1567">
        <f>J25</f>
        <v>100</v>
      </c>
      <c r="X25" s="1568"/>
      <c r="Y25" s="3399"/>
      <c r="Z25" s="1148">
        <f>Q25</f>
        <v>111</v>
      </c>
      <c r="AA25" s="1574">
        <f>D25/F25</f>
        <v>1</v>
      </c>
      <c r="AB25" s="1574">
        <f>D25/H25</f>
        <v>1</v>
      </c>
      <c r="AC25" s="1574">
        <f>D25/J25</f>
        <v>1</v>
      </c>
    </row>
    <row r="26" spans="1:29" ht="15">
      <c r="A26" s="2905" t="s">
        <v>2756</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0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1" t="s">
        <v>821</v>
      </c>
      <c r="Z26" s="1573" t="str">
        <f t="shared" ref="Z26:Z34" si="15">Q26</f>
        <v>公共部分装修</v>
      </c>
      <c r="AA26" s="1574">
        <f t="shared" si="3"/>
        <v>1</v>
      </c>
      <c r="AB26" s="1574">
        <f t="shared" si="4"/>
        <v>1</v>
      </c>
      <c r="AC26" s="1574">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01"/>
      <c r="Q27" s="1603" t="str">
        <f t="shared" si="11"/>
        <v>成新率</v>
      </c>
      <c r="R27" s="1575" t="s">
        <v>8</v>
      </c>
      <c r="S27" s="1576" t="e">
        <f t="shared" si="12"/>
        <v>#N/A</v>
      </c>
      <c r="T27" s="1575" t="s">
        <v>8</v>
      </c>
      <c r="U27" s="1576" t="e">
        <f t="shared" si="13"/>
        <v>#N/A</v>
      </c>
      <c r="V27" s="1575" t="s">
        <v>8</v>
      </c>
      <c r="W27" s="1576" t="e">
        <f t="shared" si="14"/>
        <v>#N/A</v>
      </c>
      <c r="X27" s="1577"/>
      <c r="Y27" s="3401"/>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01"/>
      <c r="Q28" s="1570" t="str">
        <f t="shared" si="11"/>
        <v>物业等级</v>
      </c>
      <c r="R28" s="1571" t="s">
        <v>8</v>
      </c>
      <c r="S28" s="1572">
        <f t="shared" si="12"/>
        <v>100</v>
      </c>
      <c r="T28" s="1571" t="s">
        <v>8</v>
      </c>
      <c r="U28" s="1572">
        <f t="shared" si="13"/>
        <v>100</v>
      </c>
      <c r="V28" s="1571" t="s">
        <v>8</v>
      </c>
      <c r="W28" s="1572">
        <f t="shared" si="14"/>
        <v>100</v>
      </c>
      <c r="X28" s="1565"/>
      <c r="Y28" s="3401"/>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01"/>
      <c r="Q29" s="1570" t="str">
        <f t="shared" si="11"/>
        <v>有无电梯</v>
      </c>
      <c r="R29" s="1571" t="s">
        <v>8</v>
      </c>
      <c r="S29" s="1572">
        <f t="shared" si="12"/>
        <v>100</v>
      </c>
      <c r="T29" s="1571" t="s">
        <v>8</v>
      </c>
      <c r="U29" s="1572">
        <f t="shared" si="13"/>
        <v>100</v>
      </c>
      <c r="V29" s="1571" t="s">
        <v>8</v>
      </c>
      <c r="W29" s="1572">
        <f t="shared" si="14"/>
        <v>100</v>
      </c>
      <c r="X29" s="1565"/>
      <c r="Y29" s="3401"/>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01"/>
      <c r="Q30" s="1570" t="str">
        <f t="shared" si="11"/>
        <v>建筑面积</v>
      </c>
      <c r="R30" s="1571" t="s">
        <v>8</v>
      </c>
      <c r="S30" s="1572" t="e">
        <f t="shared" si="12"/>
        <v>#N/A</v>
      </c>
      <c r="T30" s="1571" t="s">
        <v>8</v>
      </c>
      <c r="U30" s="1572" t="e">
        <f t="shared" si="13"/>
        <v>#N/A</v>
      </c>
      <c r="V30" s="1571" t="s">
        <v>8</v>
      </c>
      <c r="W30" s="1572" t="e">
        <f t="shared" si="14"/>
        <v>#N/A</v>
      </c>
      <c r="X30" s="1565"/>
      <c r="Y30" s="3401"/>
      <c r="Z30" s="1573" t="str">
        <f t="shared" si="15"/>
        <v>建筑面积</v>
      </c>
      <c r="AA30" s="1574" t="e">
        <f t="shared" si="3"/>
        <v>#N/A</v>
      </c>
      <c r="AB30" s="1574" t="e">
        <f t="shared" si="4"/>
        <v>#N/A</v>
      </c>
      <c r="AC30" s="1574"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01"/>
      <c r="Q31" s="1149" t="str">
        <f t="shared" si="11"/>
        <v>是否封闭</v>
      </c>
      <c r="R31" s="1566" t="s">
        <v>8</v>
      </c>
      <c r="S31" s="1567">
        <f t="shared" si="12"/>
        <v>100</v>
      </c>
      <c r="T31" s="1566" t="s">
        <v>8</v>
      </c>
      <c r="U31" s="1567">
        <f t="shared" si="13"/>
        <v>100</v>
      </c>
      <c r="V31" s="1566" t="s">
        <v>8</v>
      </c>
      <c r="W31" s="1567">
        <f t="shared" si="14"/>
        <v>100</v>
      </c>
      <c r="X31" s="1568"/>
      <c r="Y31" s="3401"/>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01" t="s">
        <v>550</v>
      </c>
      <c r="Q32" s="1570">
        <f t="shared" si="11"/>
        <v>111</v>
      </c>
      <c r="R32" s="1571" t="s">
        <v>8</v>
      </c>
      <c r="S32" s="1572">
        <f t="shared" si="12"/>
        <v>100</v>
      </c>
      <c r="T32" s="1571" t="s">
        <v>8</v>
      </c>
      <c r="U32" s="1572">
        <f t="shared" si="13"/>
        <v>100</v>
      </c>
      <c r="V32" s="1571" t="s">
        <v>8</v>
      </c>
      <c r="W32" s="1572">
        <f t="shared" si="14"/>
        <v>100</v>
      </c>
      <c r="X32" s="1565"/>
      <c r="Y32" s="3401"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01"/>
      <c r="Q33" s="1570">
        <f t="shared" si="11"/>
        <v>111</v>
      </c>
      <c r="R33" s="1571" t="s">
        <v>8</v>
      </c>
      <c r="S33" s="1572">
        <f t="shared" si="12"/>
        <v>100</v>
      </c>
      <c r="T33" s="1571" t="s">
        <v>8</v>
      </c>
      <c r="U33" s="1572">
        <f t="shared" si="13"/>
        <v>100</v>
      </c>
      <c r="V33" s="1571" t="s">
        <v>8</v>
      </c>
      <c r="W33" s="1572">
        <f t="shared" si="14"/>
        <v>100</v>
      </c>
      <c r="X33" s="1565"/>
      <c r="Y33" s="3401"/>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01"/>
      <c r="Q34" s="1570">
        <f t="shared" si="11"/>
        <v>111</v>
      </c>
      <c r="R34" s="1571" t="s">
        <v>8</v>
      </c>
      <c r="S34" s="1572">
        <f t="shared" si="12"/>
        <v>100</v>
      </c>
      <c r="T34" s="1571" t="s">
        <v>8</v>
      </c>
      <c r="U34" s="1572">
        <f t="shared" si="13"/>
        <v>100</v>
      </c>
      <c r="V34" s="1571" t="s">
        <v>8</v>
      </c>
      <c r="W34" s="1572">
        <f t="shared" si="14"/>
        <v>100</v>
      </c>
      <c r="X34" s="1565"/>
      <c r="Y34" s="3401"/>
      <c r="Z34" s="1573">
        <f t="shared" si="15"/>
        <v>111</v>
      </c>
      <c r="AA34" s="1574">
        <f t="shared" si="3"/>
        <v>1</v>
      </c>
      <c r="AB34" s="1574">
        <f t="shared" si="4"/>
        <v>1</v>
      </c>
      <c r="AC34" s="1574">
        <f t="shared" si="5"/>
        <v>1</v>
      </c>
    </row>
    <row r="35" spans="1:29" ht="15">
      <c r="A35" s="605" t="s">
        <v>736</v>
      </c>
      <c r="B35" s="885"/>
      <c r="C35" s="2625" t="s">
        <v>1</v>
      </c>
      <c r="D35" s="2626"/>
      <c r="E35" s="2627"/>
      <c r="F35" s="2628"/>
      <c r="G35" s="2629"/>
      <c r="H35" s="2630"/>
      <c r="I35" s="2627"/>
      <c r="J35" s="2630"/>
      <c r="K35" s="1609"/>
      <c r="L35" s="2142"/>
      <c r="M35" s="2143"/>
      <c r="N35" s="2132"/>
      <c r="O35" s="2143"/>
      <c r="P35" s="3362" t="str">
        <f>A35</f>
        <v>成交单价（元/平方米）</v>
      </c>
      <c r="Q35" s="3362"/>
      <c r="R35" s="3478">
        <f>E35</f>
        <v>0</v>
      </c>
      <c r="S35" s="3478"/>
      <c r="T35" s="3478">
        <f>G35</f>
        <v>0</v>
      </c>
      <c r="U35" s="3478"/>
      <c r="V35" s="3478">
        <f>I35</f>
        <v>0</v>
      </c>
      <c r="W35" s="3478"/>
      <c r="X35" s="1557"/>
      <c r="Y35" s="1579"/>
      <c r="Z35" s="1557"/>
      <c r="AA35" s="1557"/>
      <c r="AB35" s="1557"/>
      <c r="AC35" s="1557"/>
    </row>
    <row r="36" spans="1:29" ht="15.75" thickBot="1">
      <c r="A36" s="613" t="s">
        <v>2761</v>
      </c>
      <c r="B36" s="886"/>
      <c r="C36" s="2631" t="e">
        <f>R37</f>
        <v>#DIV/0!</v>
      </c>
      <c r="D36" s="2632"/>
      <c r="E36" s="2633" t="e">
        <f>R36</f>
        <v>#DIV/0!</v>
      </c>
      <c r="F36" s="2633"/>
      <c r="G36" s="2631" t="e">
        <f>T36</f>
        <v>#DIV/0!</v>
      </c>
      <c r="H36" s="2632"/>
      <c r="I36" s="2633" t="e">
        <f>V36</f>
        <v>#DIV/0!</v>
      </c>
      <c r="J36" s="2632"/>
      <c r="K36" s="1610"/>
      <c r="L36" s="2142"/>
      <c r="M36" s="2143"/>
      <c r="N36" s="2132"/>
      <c r="O36" s="2143"/>
      <c r="P36" s="3362" t="str">
        <f>A36</f>
        <v>比较价格（元/平方米）</v>
      </c>
      <c r="Q36" s="3362"/>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7"/>
      <c r="Y36" s="1557"/>
      <c r="Z36" s="1557"/>
      <c r="AA36" s="1557"/>
      <c r="AB36" s="1557"/>
      <c r="AC36" s="1557"/>
    </row>
    <row r="37" spans="1:29" ht="15.75" thickBot="1">
      <c r="A37" s="619" t="s">
        <v>2928</v>
      </c>
      <c r="B37" s="620"/>
      <c r="C37" s="2634" t="e">
        <f>R37</f>
        <v>#DIV/0!</v>
      </c>
      <c r="D37" s="2634"/>
      <c r="E37" s="2634"/>
      <c r="F37" s="2634"/>
      <c r="G37" s="2634"/>
      <c r="H37" s="2634"/>
      <c r="I37" s="2634"/>
      <c r="J37" s="2634"/>
      <c r="K37" s="1611"/>
      <c r="L37" s="2142"/>
      <c r="M37" s="2143"/>
      <c r="N37" s="2143"/>
      <c r="O37" s="2143"/>
      <c r="P37" s="3359" t="str">
        <f>A37</f>
        <v>估价对象XX用房的比较价格（楼面单价，元/平方米）</v>
      </c>
      <c r="Q37" s="3360"/>
      <c r="R37" s="3477" t="e">
        <f>IF(F1="售价",ROUND(AVERAGE(R36:V36),0),ROUND(AVERAGE(R36:V36),1))</f>
        <v>#DIV/0!</v>
      </c>
      <c r="S37" s="3477"/>
      <c r="T37" s="3477"/>
      <c r="U37" s="3477"/>
      <c r="V37" s="3477"/>
      <c r="W37" s="3477"/>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3" t="s">
        <v>529</v>
      </c>
      <c r="B46" s="644"/>
      <c r="C46" s="2800" t="str">
        <f>YEAR(C7)&amp;"-"&amp;MONTH(C7)</f>
        <v>2018-8</v>
      </c>
      <c r="D46" s="2802">
        <f>EDATE(C46,-1)</f>
        <v>43282</v>
      </c>
      <c r="E46" s="2802">
        <f t="shared" ref="E46:O46" si="16">EDATE(D46,-1)</f>
        <v>43252</v>
      </c>
      <c r="F46" s="2802">
        <f t="shared" si="16"/>
        <v>43221</v>
      </c>
      <c r="G46" s="2802">
        <f t="shared" si="16"/>
        <v>43191</v>
      </c>
      <c r="H46" s="2802">
        <f t="shared" si="16"/>
        <v>43160</v>
      </c>
      <c r="I46" s="2802">
        <f t="shared" si="16"/>
        <v>43132</v>
      </c>
      <c r="J46" s="2802">
        <f t="shared" si="16"/>
        <v>43101</v>
      </c>
      <c r="K46" s="2802">
        <f t="shared" si="16"/>
        <v>43070</v>
      </c>
      <c r="L46" s="2802">
        <f t="shared" si="16"/>
        <v>43040</v>
      </c>
      <c r="M46" s="2802">
        <f t="shared" si="16"/>
        <v>43009</v>
      </c>
      <c r="N46" s="2802">
        <f t="shared" si="16"/>
        <v>42979</v>
      </c>
      <c r="O46" s="2802">
        <f t="shared" si="16"/>
        <v>42948</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95" t="s">
        <v>2559</v>
      </c>
      <c r="C65" s="2596" t="s">
        <v>2560</v>
      </c>
      <c r="D65" s="2596" t="s">
        <v>2561</v>
      </c>
      <c r="E65" s="2596" t="s">
        <v>2562</v>
      </c>
      <c r="F65" s="2596" t="s">
        <v>2563</v>
      </c>
      <c r="G65" s="2596" t="s">
        <v>2564</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2998</v>
      </c>
      <c r="D1" s="3122" t="s">
        <v>3005</v>
      </c>
      <c r="E1" s="2385" t="s">
        <v>2375</v>
      </c>
      <c r="F1" s="2386">
        <f ca="1">J53</f>
        <v>36.25</v>
      </c>
      <c r="G1" s="772">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2207</v>
      </c>
      <c r="C2" s="2055"/>
      <c r="D2" s="2053"/>
      <c r="E2" s="2054"/>
      <c r="F2" s="2054"/>
      <c r="G2" s="1588"/>
      <c r="H2" s="2055"/>
      <c r="I2" s="2055"/>
      <c r="J2" s="2055"/>
      <c r="K2" s="2056"/>
      <c r="L2" s="2055"/>
      <c r="M2" s="2055"/>
    </row>
    <row r="3" spans="1:33" ht="18" customHeight="1" thickBot="1">
      <c r="A3" s="831" t="s">
        <v>1728</v>
      </c>
      <c r="B3" s="832">
        <f ca="1">IF(ISERROR(B2*10000/F43),0,ROUND(B2*10000/F43,0))</f>
        <v>11035</v>
      </c>
      <c r="C3" s="2055"/>
      <c r="D3" s="2053"/>
      <c r="E3" s="2054"/>
      <c r="F3" s="2054"/>
      <c r="G3" s="1588"/>
      <c r="H3" s="774" t="s">
        <v>695</v>
      </c>
      <c r="I3" s="1361"/>
      <c r="J3" s="1361"/>
      <c r="K3" s="1589"/>
      <c r="L3" s="1361"/>
      <c r="M3" s="1361"/>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2459</v>
      </c>
      <c r="C5" s="55">
        <f ca="1">C6+C10+C12</f>
        <v>131</v>
      </c>
      <c r="D5" s="2494" t="s">
        <v>2462</v>
      </c>
      <c r="E5" s="2488"/>
      <c r="F5" s="2489"/>
      <c r="G5" s="1590"/>
      <c r="H5" s="779">
        <v>1</v>
      </c>
      <c r="I5" s="780" t="s">
        <v>2459</v>
      </c>
      <c r="J5" s="55">
        <f ca="1">J6+J10+J12</f>
        <v>0</v>
      </c>
      <c r="K5" s="2494" t="s">
        <v>2462</v>
      </c>
      <c r="L5" s="2488"/>
      <c r="M5" s="2489"/>
    </row>
    <row r="6" spans="1:33" ht="18" customHeight="1">
      <c r="A6" s="1828" t="s">
        <v>1825</v>
      </c>
      <c r="B6" s="3438" t="s">
        <v>2464</v>
      </c>
      <c r="C6" s="781">
        <f ca="1">ROUND(F6*F8*F7*(1-F9)/10000,0)</f>
        <v>131</v>
      </c>
      <c r="D6" s="2495" t="s">
        <v>2463</v>
      </c>
      <c r="E6" s="782" t="s">
        <v>1739</v>
      </c>
      <c r="F6" s="783">
        <f ca="1">INDIRECT("'数据-取费表'!u"&amp;$G$1)</f>
        <v>2</v>
      </c>
      <c r="G6" s="1590"/>
      <c r="H6" s="2502" t="s">
        <v>2469</v>
      </c>
      <c r="I6" s="3438" t="s">
        <v>2464</v>
      </c>
      <c r="J6" s="781">
        <f ca="1">ROUND(M6*M8*M7*(1-M9)/10000,0)</f>
        <v>0</v>
      </c>
      <c r="K6" s="339" t="s">
        <v>1738</v>
      </c>
      <c r="L6" s="782" t="s">
        <v>1739</v>
      </c>
      <c r="M6" s="783">
        <f ca="1">INDIRECT("'数据-取费表'!z"&amp;$G$1)</f>
        <v>0</v>
      </c>
    </row>
    <row r="7" spans="1:33" ht="18" customHeight="1">
      <c r="A7" s="2498"/>
      <c r="B7" s="3439"/>
      <c r="C7" s="786"/>
      <c r="D7" s="787"/>
      <c r="E7" s="782" t="s">
        <v>1740</v>
      </c>
      <c r="F7" s="783">
        <f ca="1">IF(INDIRECT("'数据-取费表'!ah"&amp;$G$1)="",INDIRECT("'数据-取费表'!k"&amp;$G$1),INDIRECT("'数据-取费表'!ah"&amp;$G$1))</f>
        <v>2000</v>
      </c>
      <c r="G7" s="1590"/>
      <c r="H7" s="2487"/>
      <c r="I7" s="3439"/>
      <c r="J7" s="786"/>
      <c r="K7" s="787"/>
      <c r="L7" s="782" t="s">
        <v>1740</v>
      </c>
      <c r="M7" s="783">
        <f ca="1">F7</f>
        <v>2000</v>
      </c>
    </row>
    <row r="8" spans="1:33" ht="18" customHeight="1">
      <c r="A8" s="2491"/>
      <c r="B8" s="3440"/>
      <c r="C8" s="786"/>
      <c r="D8" s="787"/>
      <c r="E8" s="782" t="s">
        <v>1741</v>
      </c>
      <c r="F8" s="783">
        <f ca="1">INDIRECT("'数据-取费表'!ai"&amp;$G$1)</f>
        <v>365</v>
      </c>
      <c r="G8" s="1590"/>
      <c r="H8" s="2487"/>
      <c r="I8" s="3440"/>
      <c r="J8" s="786"/>
      <c r="K8" s="787"/>
      <c r="L8" s="782" t="s">
        <v>1741</v>
      </c>
      <c r="M8" s="783">
        <f ca="1">INDIRECT("'数据-取费表'!ai"&amp;$G$1)</f>
        <v>365</v>
      </c>
    </row>
    <row r="9" spans="1:33" ht="18" customHeight="1">
      <c r="A9" s="784"/>
      <c r="B9" s="3441"/>
      <c r="C9" s="786"/>
      <c r="D9" s="787"/>
      <c r="E9" s="782" t="s">
        <v>1742</v>
      </c>
      <c r="F9" s="792">
        <f ca="1">INDIRECT("'数据-取费表'!w"&amp;$G$1)</f>
        <v>0.1</v>
      </c>
      <c r="G9" s="1590"/>
      <c r="H9" s="2503"/>
      <c r="I9" s="3440"/>
      <c r="J9" s="786"/>
      <c r="K9" s="787"/>
      <c r="L9" s="793" t="s">
        <v>1742</v>
      </c>
      <c r="M9" s="794">
        <f ca="1">INDIRECT("'数据-取费表'!ab"&amp;$G$1)</f>
        <v>0</v>
      </c>
    </row>
    <row r="10" spans="1:33" ht="18" customHeight="1">
      <c r="A10" s="1828" t="s">
        <v>2467</v>
      </c>
      <c r="B10" s="2492" t="s">
        <v>2460</v>
      </c>
      <c r="C10" s="797">
        <f ca="1">ROUND(IF(F10="押一",C6/12*F11,IF(F10="押二",C6/12*2*F11,IF(F10="押三",C6/12*3*F11,C11*F11))),0)</f>
        <v>0</v>
      </c>
      <c r="D10" s="2499" t="s">
        <v>2969</v>
      </c>
      <c r="E10" s="2496" t="s">
        <v>2465</v>
      </c>
      <c r="F10" s="2619" t="s">
        <v>3076</v>
      </c>
      <c r="G10" s="1590"/>
      <c r="H10" s="2559" t="s">
        <v>2470</v>
      </c>
      <c r="I10" s="2564" t="s">
        <v>2460</v>
      </c>
      <c r="J10" s="781">
        <f ca="1">ROUND(IF(M10="押一",J6/12*M11,IF(M10="押二",J6/12*2*M11,IF(M10="押三",J6/12*3*M11,J11*M11))),0)</f>
        <v>0</v>
      </c>
      <c r="K10" s="2499" t="s">
        <v>2969</v>
      </c>
      <c r="L10" s="2496" t="s">
        <v>2465</v>
      </c>
      <c r="M10" s="2619"/>
    </row>
    <row r="11" spans="1:33" ht="18" customHeight="1">
      <c r="A11" s="788"/>
      <c r="B11" s="2493" t="s">
        <v>2574</v>
      </c>
      <c r="C11" s="2497"/>
      <c r="D11" s="787"/>
      <c r="E11" s="2496" t="s">
        <v>2466</v>
      </c>
      <c r="F11" s="794">
        <f ca="1">'数据-取费表'!B39</f>
        <v>1.4999999999999999E-2</v>
      </c>
      <c r="G11" s="1590"/>
      <c r="H11" s="2560"/>
      <c r="I11" s="2493" t="s">
        <v>2574</v>
      </c>
      <c r="J11" s="2497"/>
      <c r="K11" s="2561"/>
      <c r="L11" s="2496" t="s">
        <v>2466</v>
      </c>
      <c r="M11" s="2490">
        <f ca="1">'数据-取费表'!B39</f>
        <v>1.4999999999999999E-2</v>
      </c>
    </row>
    <row r="12" spans="1:33" ht="18" customHeight="1" thickBot="1">
      <c r="A12" s="2535" t="s">
        <v>2468</v>
      </c>
      <c r="B12" s="2536" t="s">
        <v>2461</v>
      </c>
      <c r="C12" s="2537"/>
      <c r="D12" s="2538"/>
      <c r="E12" s="2539"/>
      <c r="F12" s="2540"/>
      <c r="G12" s="1590"/>
      <c r="H12" s="2549" t="s">
        <v>2471</v>
      </c>
      <c r="I12" s="2562" t="s">
        <v>2461</v>
      </c>
      <c r="J12" s="2563"/>
      <c r="K12" s="2538"/>
      <c r="L12" s="2539"/>
      <c r="M12" s="2552"/>
    </row>
    <row r="13" spans="1:33" ht="18" customHeight="1" thickTop="1">
      <c r="A13" s="1827">
        <v>2</v>
      </c>
      <c r="B13" s="1825" t="s">
        <v>1743</v>
      </c>
      <c r="C13" s="790">
        <f ca="1">ROUND(C29*F13,0)</f>
        <v>736</v>
      </c>
      <c r="D13" s="1832" t="s">
        <v>2298</v>
      </c>
      <c r="E13" s="1832" t="s">
        <v>1745</v>
      </c>
      <c r="F13" s="2534">
        <f ca="1">INDIRECT("'数据-取费表'!y"&amp;$G$1)</f>
        <v>1</v>
      </c>
      <c r="G13" s="1590"/>
      <c r="H13" s="1827">
        <v>2</v>
      </c>
      <c r="I13" s="1825" t="s">
        <v>1743</v>
      </c>
      <c r="J13" s="1817">
        <f ca="1">ROUND(J14*J15,0)</f>
        <v>0</v>
      </c>
      <c r="K13" s="1819" t="s">
        <v>1744</v>
      </c>
      <c r="L13" s="2550"/>
      <c r="M13" s="2551"/>
    </row>
    <row r="14" spans="1:33" ht="18" customHeight="1">
      <c r="A14" s="1646" t="s">
        <v>1885</v>
      </c>
      <c r="B14" s="782" t="s">
        <v>645</v>
      </c>
      <c r="C14" s="802">
        <f ca="1">INDIRECT("'数据-取费表'!m"&amp;$G$1)+INDIRECT("'数据-取费表'!t"&amp;$G$1)</f>
        <v>540</v>
      </c>
      <c r="D14" s="3176" t="s">
        <v>1746</v>
      </c>
      <c r="E14" s="3177"/>
      <c r="F14" s="803"/>
      <c r="G14" s="1590"/>
      <c r="H14" s="1647" t="s">
        <v>1831</v>
      </c>
      <c r="I14" s="2229" t="s">
        <v>2827</v>
      </c>
      <c r="J14" s="53">
        <f ca="1">C29</f>
        <v>736</v>
      </c>
      <c r="K14" s="26"/>
      <c r="L14" s="799"/>
      <c r="M14" s="800"/>
    </row>
    <row r="15" spans="1:33" s="2062" customFormat="1" ht="18" customHeight="1" thickBot="1">
      <c r="A15" s="1646" t="s">
        <v>1886</v>
      </c>
      <c r="B15" s="782" t="s">
        <v>647</v>
      </c>
      <c r="C15" s="53">
        <f ca="1">ROUND(C14*F15,0)</f>
        <v>16</v>
      </c>
      <c r="D15" s="804" t="s">
        <v>1747</v>
      </c>
      <c r="E15" s="804" t="s">
        <v>1748</v>
      </c>
      <c r="F15" s="805">
        <f>'数据-取费表'!B33</f>
        <v>0.03</v>
      </c>
      <c r="G15" s="1591"/>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2" t="s">
        <v>650</v>
      </c>
      <c r="C16" s="53">
        <f ca="1">ROUND(INDIRECT("'数据-取费表'!m"&amp;$G$1)*F16,0)</f>
        <v>0</v>
      </c>
      <c r="D16" s="782" t="s">
        <v>1747</v>
      </c>
      <c r="E16" s="782" t="s">
        <v>1748</v>
      </c>
      <c r="F16" s="807">
        <f ca="1">IF(INDIRECT("'数据-取费表'!c"&amp;$G$1)="住宅",'数据-取费表'!B34,0)</f>
        <v>0</v>
      </c>
      <c r="G16" s="1590"/>
      <c r="H16" s="1827" t="s">
        <v>1749</v>
      </c>
      <c r="I16" s="1825" t="s">
        <v>1750</v>
      </c>
      <c r="J16" s="790">
        <f ca="1">ROUND(J17+J22+J23+J24,0)</f>
        <v>73</v>
      </c>
      <c r="K16" s="1819" t="s">
        <v>1751</v>
      </c>
      <c r="L16" s="3178"/>
      <c r="M16" s="2489"/>
    </row>
    <row r="17" spans="1:33" s="2062" customFormat="1" ht="18" customHeight="1">
      <c r="A17" s="1646" t="s">
        <v>1888</v>
      </c>
      <c r="B17" s="782" t="s">
        <v>653</v>
      </c>
      <c r="C17" s="53">
        <f ca="1">ROUND(F17*(F43+INDIRECT("'数据-取费表'!S"&amp;$G$1))/10000,0)</f>
        <v>44</v>
      </c>
      <c r="D17" s="782" t="s">
        <v>1752</v>
      </c>
      <c r="E17" s="782" t="s">
        <v>1753</v>
      </c>
      <c r="F17" s="56">
        <f>'数据-取费表'!B35</f>
        <v>200</v>
      </c>
      <c r="G17" s="1591"/>
      <c r="H17" s="1647" t="s">
        <v>1831</v>
      </c>
      <c r="I17" s="782" t="s">
        <v>656</v>
      </c>
      <c r="J17" s="53">
        <f ca="1">ROUND(IF(项目基本情况!B11="自然人",J5*M17,J18+J19+J20),0)</f>
        <v>62</v>
      </c>
      <c r="K17" s="3176" t="s">
        <v>1754</v>
      </c>
      <c r="L17" s="3175"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8</v>
      </c>
      <c r="D18" s="782" t="s">
        <v>1747</v>
      </c>
      <c r="E18" s="782" t="s">
        <v>1748</v>
      </c>
      <c r="F18" s="807">
        <f>'数据-取费表'!B36</f>
        <v>1.4999999999999999E-2</v>
      </c>
      <c r="G18" s="1591"/>
      <c r="H18" s="1646" t="s">
        <v>1885</v>
      </c>
      <c r="I18" s="782" t="s">
        <v>1756</v>
      </c>
      <c r="J18" s="53">
        <f ca="1">ROUND(J5*M18/1.05,1)</f>
        <v>0</v>
      </c>
      <c r="K18" s="3175" t="s">
        <v>1757</v>
      </c>
      <c r="L18" s="782" t="s">
        <v>1748</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2" t="s">
        <v>662</v>
      </c>
      <c r="C19" s="53">
        <f ca="1">SUM(C14:C18)</f>
        <v>608</v>
      </c>
      <c r="D19" s="259" t="s">
        <v>1758</v>
      </c>
      <c r="E19" s="3180"/>
      <c r="F19" s="56"/>
      <c r="G19" s="1590"/>
      <c r="H19" s="1646" t="s">
        <v>1886</v>
      </c>
      <c r="I19" s="782" t="s">
        <v>1759</v>
      </c>
      <c r="J19" s="53">
        <f ca="1">IF(K19="按租金收入计税",ROUND(J5*M19,1),ROUND(C29*F33*0.7,1))</f>
        <v>61.8</v>
      </c>
      <c r="K19" s="809" t="s">
        <v>665</v>
      </c>
      <c r="L19" s="782" t="s">
        <v>1748</v>
      </c>
      <c r="M19" s="807">
        <f>IF(K19="按租金收入计税",'数据-取费表'!B51,'数据-取费表'!B50)</f>
        <v>1.2E-2</v>
      </c>
    </row>
    <row r="20" spans="1:33" s="2062" customFormat="1" ht="18" customHeight="1">
      <c r="A20" s="1647" t="s">
        <v>1890</v>
      </c>
      <c r="B20" s="782" t="s">
        <v>666</v>
      </c>
      <c r="C20" s="53">
        <f ca="1">ROUND(C19*F20,0)</f>
        <v>6</v>
      </c>
      <c r="D20" s="810" t="s">
        <v>1760</v>
      </c>
      <c r="E20" s="782" t="s">
        <v>1748</v>
      </c>
      <c r="F20" s="807">
        <f>'数据-取费表'!B37</f>
        <v>0.01</v>
      </c>
      <c r="G20" s="1591"/>
      <c r="H20" s="1649" t="s">
        <v>1881</v>
      </c>
      <c r="I20" s="339" t="s">
        <v>1761</v>
      </c>
      <c r="J20" s="54">
        <f ca="1">ROUND(M20*M21/10000,0)</f>
        <v>0</v>
      </c>
      <c r="K20" s="812" t="s">
        <v>1762</v>
      </c>
      <c r="L20" s="782" t="s">
        <v>1763</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1764</v>
      </c>
      <c r="C21" s="53" t="s">
        <v>1765</v>
      </c>
      <c r="D21" s="810" t="s">
        <v>2299</v>
      </c>
      <c r="E21" s="782" t="s">
        <v>1766</v>
      </c>
      <c r="F21" s="807">
        <f>'数据-取费表'!B38</f>
        <v>0.01</v>
      </c>
      <c r="G21" s="1591"/>
      <c r="H21" s="2504"/>
      <c r="I21" s="791"/>
      <c r="J21" s="69"/>
      <c r="K21" s="814"/>
      <c r="L21" s="782" t="s">
        <v>1767</v>
      </c>
      <c r="M21" s="783">
        <f ca="1">INDIRECT("'数据-取费表'!r"&amp;$G$1)</f>
        <v>1087.79</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1768</v>
      </c>
      <c r="C22" s="53"/>
      <c r="D22" s="2570" t="str">
        <f>IF(F23&lt;=1,"单利计息。","复利计息。")&amp;"建造成本、管理费用、销售费用产生的利息。"</f>
        <v>复利计息。建造成本、管理费用、销售费用产生的利息。</v>
      </c>
      <c r="E22" s="3180"/>
      <c r="F22" s="56"/>
      <c r="G22" s="1590"/>
      <c r="H22" s="1647" t="s">
        <v>1890</v>
      </c>
      <c r="I22" s="782" t="s">
        <v>1769</v>
      </c>
      <c r="J22" s="53">
        <f ca="1">ROUND(J14*M22,0)</f>
        <v>11</v>
      </c>
      <c r="K22" s="3175" t="s">
        <v>1770</v>
      </c>
      <c r="L22" s="782" t="s">
        <v>1748</v>
      </c>
      <c r="M22" s="815">
        <f ca="1">INDIRECT("'数据-取费表'!Ak"&amp;$G$1)</f>
        <v>1.4999999999999999E-2</v>
      </c>
    </row>
    <row r="23" spans="1:33" s="2062" customFormat="1" ht="18" customHeight="1">
      <c r="A23" s="1646" t="s">
        <v>1832</v>
      </c>
      <c r="B23" s="782" t="s">
        <v>2536</v>
      </c>
      <c r="C23" s="53">
        <f ca="1">ROUND(IF('数据-取费表'!B22&lt;=1,(C19+C20)*F24*F23/2,(C19+C20)*(POWER((1+F24),F23/2)-1)),0)</f>
        <v>44</v>
      </c>
      <c r="D23" s="2569" t="str">
        <f>IF(F23&lt;=1,"(建造成本+管理费用)×利率×(建设周期÷2)","(建造成本+管理费用)×((1+利率)^(建设周期÷2)-1)")</f>
        <v>(建造成本+管理费用)×((1+利率)^(建设周期÷2)-1)</v>
      </c>
      <c r="E23" s="782" t="s">
        <v>1771</v>
      </c>
      <c r="F23" s="638">
        <f>'数据-取费表'!B20</f>
        <v>3</v>
      </c>
      <c r="G23" s="1591"/>
      <c r="H23" s="1647" t="s">
        <v>1891</v>
      </c>
      <c r="I23" s="782" t="s">
        <v>679</v>
      </c>
      <c r="J23" s="53">
        <f ca="1">ROUND(J13*M23,0)</f>
        <v>0</v>
      </c>
      <c r="K23" s="3175"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1773</v>
      </c>
      <c r="C24" s="53">
        <f ca="1">ROUND(IF('数据-取费表'!B22&lt;=1,F21*F24*F23/2,F21*(POWER((1+F24),F23/2)-1)),4)</f>
        <v>6.9999999999999999E-4</v>
      </c>
      <c r="D24" s="2569" t="str">
        <f>IF(F23&lt;=1,"销售费用×利率×(建设周期÷2)","销售费用×((1+利率)^(建设周期÷2)-1)")</f>
        <v>销售费用×((1+利率)^(建设周期÷2)-1)</v>
      </c>
      <c r="E24" s="782" t="s">
        <v>1774</v>
      </c>
      <c r="F24" s="817">
        <f ca="1">'数据-取费表'!B40</f>
        <v>4.7500000000000001E-2</v>
      </c>
      <c r="G24" s="1591"/>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1776</v>
      </c>
      <c r="E25" s="3180"/>
      <c r="F25" s="56"/>
      <c r="G25" s="1590"/>
      <c r="H25" s="1827" t="s">
        <v>1777</v>
      </c>
      <c r="I25" s="3007" t="s">
        <v>2823</v>
      </c>
      <c r="J25" s="790">
        <f ca="1">J5-J16</f>
        <v>-73</v>
      </c>
      <c r="K25" s="2546" t="s">
        <v>1778</v>
      </c>
      <c r="L25" s="2547"/>
      <c r="M25" s="2548"/>
    </row>
    <row r="26" spans="1:33" ht="18" customHeight="1">
      <c r="A26" s="1646" t="s">
        <v>1832</v>
      </c>
      <c r="B26" s="782" t="s">
        <v>2439</v>
      </c>
      <c r="C26" s="53">
        <f ca="1">ROUND((C19+C20)*F26,0)</f>
        <v>31</v>
      </c>
      <c r="D26" s="810" t="s">
        <v>1779</v>
      </c>
      <c r="E26" s="793" t="s">
        <v>1780</v>
      </c>
      <c r="F26" s="792">
        <f ca="1">INDIRECT("'数据-取费表'!q"&amp;$G$1)</f>
        <v>0.05</v>
      </c>
      <c r="G26" s="1590"/>
      <c r="H26" s="2500" t="s">
        <v>1781</v>
      </c>
      <c r="I26" s="2230" t="s">
        <v>2828</v>
      </c>
      <c r="J26" s="781">
        <f ca="1">IF(J5&lt;&gt;0,ROUND(J25*(1-((1+M28)/(1+M26))^M27)/(M26-M28),0),0)</f>
        <v>0</v>
      </c>
      <c r="K26" s="812" t="s">
        <v>1782</v>
      </c>
      <c r="L26" s="782" t="s">
        <v>2420</v>
      </c>
      <c r="M26" s="792">
        <f ca="1">INDIRECT("'数据-取费表'!I"&amp;$G$1)</f>
        <v>5.5E-2</v>
      </c>
    </row>
    <row r="27" spans="1:33" ht="18" customHeight="1">
      <c r="A27" s="1646" t="s">
        <v>1833</v>
      </c>
      <c r="B27" s="782" t="s">
        <v>686</v>
      </c>
      <c r="C27" s="53">
        <f ca="1">ROUND(F21*F26,4)</f>
        <v>5.0000000000000001E-4</v>
      </c>
      <c r="D27" s="810" t="s">
        <v>1783</v>
      </c>
      <c r="E27" s="804"/>
      <c r="F27" s="805"/>
      <c r="G27" s="1590"/>
      <c r="H27" s="2501"/>
      <c r="I27" s="785"/>
      <c r="J27" s="786"/>
      <c r="K27" s="819" t="s">
        <v>1784</v>
      </c>
      <c r="L27" s="782" t="s">
        <v>1785</v>
      </c>
      <c r="M27" s="820">
        <f ca="1">INDIRECT("'数据-取费表'!ag"&amp;$G$1)</f>
        <v>0</v>
      </c>
    </row>
    <row r="28" spans="1:33" s="2062" customFormat="1" ht="18" customHeight="1">
      <c r="A28" s="1648" t="s">
        <v>1842</v>
      </c>
      <c r="B28" s="782" t="s">
        <v>687</v>
      </c>
      <c r="C28" s="53">
        <f>ROUND(F28/(1+'数据-取费表'!C42),4)</f>
        <v>5.2400000000000002E-2</v>
      </c>
      <c r="D28" s="810" t="s">
        <v>2300</v>
      </c>
      <c r="E28" s="782" t="s">
        <v>1786</v>
      </c>
      <c r="F28" s="807">
        <f>'数据-取费表'!B41</f>
        <v>5.5000000000000007E-2</v>
      </c>
      <c r="G28" s="1591"/>
      <c r="H28" s="1827"/>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2301</v>
      </c>
      <c r="C29" s="2542">
        <f ca="1">ROUND((C19+C20+C23+C26)/(1-F21-C24-C27-C28),0)</f>
        <v>736</v>
      </c>
      <c r="D29" s="2543"/>
      <c r="E29" s="2544"/>
      <c r="F29" s="2545"/>
      <c r="G29" s="1591"/>
      <c r="H29" s="821" t="s">
        <v>1788</v>
      </c>
      <c r="I29" s="822" t="s">
        <v>1789</v>
      </c>
      <c r="J29" s="823">
        <f ca="1">ROUND(J26/(1+F40)^F41,0)</f>
        <v>0</v>
      </c>
      <c r="K29" s="824" t="s">
        <v>1790</v>
      </c>
      <c r="L29" s="825"/>
      <c r="M29" s="826">
        <f ca="1">INDIRECT("'数据-取费表'!k"&amp;$G$1)</f>
        <v>2000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36</v>
      </c>
      <c r="D30" s="1819" t="s">
        <v>1792</v>
      </c>
      <c r="E30" s="3178"/>
      <c r="F30" s="2489"/>
      <c r="G30" s="2060"/>
      <c r="H30" s="2063"/>
      <c r="I30" s="2064"/>
      <c r="J30" s="2065"/>
      <c r="K30" s="2066"/>
      <c r="L30" s="2067"/>
      <c r="M30" s="2068"/>
    </row>
    <row r="31" spans="1:33" ht="18" customHeight="1">
      <c r="A31" s="1647" t="s">
        <v>1831</v>
      </c>
      <c r="B31" s="782" t="s">
        <v>656</v>
      </c>
      <c r="C31" s="53">
        <f ca="1">ROUND(IF(项目基本情况!B11="自然人",C5*F31,C32+C33+C34),1)</f>
        <v>22.8</v>
      </c>
      <c r="D31" s="3176" t="s">
        <v>1793</v>
      </c>
      <c r="E31" s="31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1795</v>
      </c>
      <c r="C32" s="53">
        <f ca="1">ROUND(C5*F32/1.05,1)</f>
        <v>6.9</v>
      </c>
      <c r="D32" s="3175" t="s">
        <v>1796</v>
      </c>
      <c r="E32" s="782" t="s">
        <v>1797</v>
      </c>
      <c r="F32" s="807">
        <f>'数据-取费表'!B41</f>
        <v>5.5000000000000007E-2</v>
      </c>
      <c r="G32" s="2060"/>
      <c r="H32" s="2069"/>
      <c r="I32" s="2070"/>
      <c r="J32" s="2071"/>
      <c r="K32" s="2072"/>
      <c r="L32" s="2073"/>
      <c r="M32" s="2074"/>
    </row>
    <row r="33" spans="1:18" ht="18" customHeight="1">
      <c r="A33" s="1646" t="s">
        <v>1833</v>
      </c>
      <c r="B33" s="782" t="s">
        <v>1798</v>
      </c>
      <c r="C33" s="53">
        <f ca="1">IF(D33="按租金收入计税",ROUND(C5*F33,1),IF(D33="按房产原值计税",ROUND(C29*F33*0.7,1),INDIRECT("'数据-取费表'!Aj"&amp;$G$1)))</f>
        <v>15.7</v>
      </c>
      <c r="D33" s="809" t="s">
        <v>3006</v>
      </c>
      <c r="E33" s="782" t="s">
        <v>1797</v>
      </c>
      <c r="F33" s="807">
        <f>IF(D33="按租金收入计税",'数据-取费表'!B51,'数据-取费表'!B50)</f>
        <v>0.12</v>
      </c>
      <c r="G33" s="2060"/>
      <c r="H33" s="2075"/>
      <c r="I33" s="2075"/>
      <c r="J33" s="2075"/>
      <c r="K33" s="2076"/>
      <c r="L33" s="2075"/>
      <c r="M33" s="2075"/>
    </row>
    <row r="34" spans="1:18" ht="18" customHeight="1">
      <c r="A34" s="1649" t="s">
        <v>1834</v>
      </c>
      <c r="B34" s="339" t="s">
        <v>1799</v>
      </c>
      <c r="C34" s="54">
        <f ca="1">ROUND(F34*F35/10000,1)</f>
        <v>0.2</v>
      </c>
      <c r="D34" s="812" t="s">
        <v>1800</v>
      </c>
      <c r="E34" s="782" t="s">
        <v>1801</v>
      </c>
      <c r="F34" s="638">
        <f>'数据-取费表'!B52</f>
        <v>1.5</v>
      </c>
      <c r="G34" s="2060"/>
      <c r="H34" s="2063"/>
      <c r="I34" s="833" t="s">
        <v>1814</v>
      </c>
      <c r="J34" s="834"/>
      <c r="K34" s="2078"/>
      <c r="L34" s="2077"/>
      <c r="M34" s="2077"/>
    </row>
    <row r="35" spans="1:18" ht="18" customHeight="1">
      <c r="A35" s="813"/>
      <c r="B35" s="791"/>
      <c r="C35" s="69"/>
      <c r="D35" s="814"/>
      <c r="E35" s="782" t="s">
        <v>1802</v>
      </c>
      <c r="F35" s="783">
        <f ca="1">INDIRECT("'数据-取费表'!r"&amp;$G$1)</f>
        <v>1087.79</v>
      </c>
      <c r="G35" s="2060"/>
      <c r="H35" s="2063"/>
      <c r="I35" s="835" t="s">
        <v>1815</v>
      </c>
      <c r="J35" s="836">
        <f ca="1">ROUND(C13*J36,0)</f>
        <v>63</v>
      </c>
      <c r="K35" s="2076"/>
      <c r="L35" s="2075"/>
      <c r="M35" s="2075"/>
    </row>
    <row r="36" spans="1:18" ht="18" customHeight="1">
      <c r="A36" s="1647" t="s">
        <v>1890</v>
      </c>
      <c r="B36" s="782" t="s">
        <v>1803</v>
      </c>
      <c r="C36" s="53">
        <f ca="1">ROUND(C29*F36,1)</f>
        <v>11</v>
      </c>
      <c r="D36" s="31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1.1000000000000001</v>
      </c>
      <c r="D37" s="3175"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1.3</v>
      </c>
      <c r="D38" s="2543" t="s">
        <v>1806</v>
      </c>
      <c r="E38" s="2544" t="s">
        <v>1797</v>
      </c>
      <c r="F38" s="2540">
        <f ca="1">INDIRECT("'数据-取费表'!Am"&amp;$G$1)</f>
        <v>0.01</v>
      </c>
      <c r="G38" s="2060"/>
      <c r="H38" s="2075"/>
      <c r="I38" s="841" t="s">
        <v>1818</v>
      </c>
      <c r="J38" s="842"/>
      <c r="K38" s="2081"/>
      <c r="L38" s="2075"/>
      <c r="M38" s="2075"/>
    </row>
    <row r="39" spans="1:18" ht="24.6" customHeight="1" thickTop="1">
      <c r="A39" s="1827" t="s">
        <v>1895</v>
      </c>
      <c r="B39" s="3007" t="s">
        <v>2823</v>
      </c>
      <c r="C39" s="790">
        <f ca="1">C5-C30</f>
        <v>95</v>
      </c>
      <c r="D39" s="2546" t="s">
        <v>1807</v>
      </c>
      <c r="E39" s="2547"/>
      <c r="F39" s="2548"/>
      <c r="G39" s="2060"/>
      <c r="H39" s="2075"/>
      <c r="I39" s="835" t="s">
        <v>1819</v>
      </c>
      <c r="J39" s="843">
        <f ca="1">ROUND(J35/C39,3)</f>
        <v>0.66300000000000003</v>
      </c>
      <c r="K39" s="2081"/>
      <c r="L39" s="2075"/>
      <c r="M39" s="2075"/>
    </row>
    <row r="40" spans="1:18" ht="18" customHeight="1">
      <c r="A40" s="779" t="s">
        <v>1896</v>
      </c>
      <c r="B40" s="2230" t="s">
        <v>2302</v>
      </c>
      <c r="C40" s="781">
        <f ca="1">ROUND(C39*(1-((1+F42)/(1+F40))^F41)/(F40-F42),0)</f>
        <v>2207</v>
      </c>
      <c r="D40" s="812" t="s">
        <v>1808</v>
      </c>
      <c r="E40" s="782" t="s">
        <v>2420</v>
      </c>
      <c r="F40" s="792">
        <f ca="1">INDIRECT("'数据-取费表'!I"&amp;$G$1)</f>
        <v>5.5E-2</v>
      </c>
      <c r="G40" s="2060"/>
      <c r="H40" s="2060"/>
      <c r="I40" s="835" t="s">
        <v>1820</v>
      </c>
      <c r="J40" s="843">
        <f ca="1">1-J39</f>
        <v>0.33699999999999997</v>
      </c>
      <c r="K40" s="2081"/>
      <c r="L40" s="2060"/>
      <c r="M40" s="2060"/>
    </row>
    <row r="41" spans="1:18" ht="18" customHeight="1">
      <c r="A41" s="784"/>
      <c r="B41" s="785"/>
      <c r="C41" s="786"/>
      <c r="D41" s="819" t="s">
        <v>1809</v>
      </c>
      <c r="E41" s="782" t="s">
        <v>2959</v>
      </c>
      <c r="F41" s="820">
        <f ca="1">IF(INDIRECT("'数据-取费表'!af"&amp;$G$1)=0,INDIRECT("'数据-取费表'!ae"&amp;$G$1),INDIRECT("'数据-取费表'!af"&amp;$G$1))</f>
        <v>36.25</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0.33300000000000002</v>
      </c>
      <c r="K42" s="2080"/>
      <c r="L42" s="1986"/>
      <c r="M42" s="1986"/>
    </row>
    <row r="43" spans="1:18" ht="18" customHeight="1" thickBot="1">
      <c r="A43" s="821" t="s">
        <v>1788</v>
      </c>
      <c r="B43" s="822" t="s">
        <v>1811</v>
      </c>
      <c r="C43" s="823">
        <f ca="1">ROUND(C40*10000/F43,0)</f>
        <v>11035</v>
      </c>
      <c r="D43" s="824" t="s">
        <v>1812</v>
      </c>
      <c r="E43" s="825" t="s">
        <v>1813</v>
      </c>
      <c r="F43" s="826">
        <f ca="1">INDIRECT("'数据-取费表'!k"&amp;$G$1)</f>
        <v>2000</v>
      </c>
      <c r="G43" s="2060"/>
      <c r="H43" s="1986"/>
      <c r="I43" s="845" t="s">
        <v>1823</v>
      </c>
      <c r="J43" s="846">
        <f ca="1">1-J42</f>
        <v>0.66700000000000004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-2394</v>
      </c>
      <c r="D46" s="2083"/>
      <c r="E46" s="2083"/>
      <c r="F46" s="2083"/>
      <c r="I46" s="2376" t="s">
        <v>2344</v>
      </c>
      <c r="J46" s="2377"/>
      <c r="K46" s="2378"/>
      <c r="L46" s="3157">
        <f>IF(OR(M47="住宅",D1="土地（套用方法）"),0,IF(L48&gt;J51,L60,J60))</f>
        <v>0</v>
      </c>
      <c r="O46" s="2392" t="s">
        <v>2411</v>
      </c>
      <c r="P46" s="1590"/>
      <c r="Q46" s="1602"/>
      <c r="R46" s="1590"/>
    </row>
    <row r="47" spans="1:18" s="2057" customFormat="1" ht="18" customHeight="1" thickBot="1">
      <c r="A47" s="2370">
        <v>1</v>
      </c>
      <c r="B47" s="2371" t="s">
        <v>635</v>
      </c>
      <c r="C47" s="2572">
        <f ca="1">C48+C52+C54</f>
        <v>0</v>
      </c>
      <c r="D47" s="2083"/>
      <c r="E47" s="2083"/>
      <c r="F47" s="2083"/>
      <c r="I47" s="3147" t="s">
        <v>2345</v>
      </c>
      <c r="J47" s="2379" t="s">
        <v>3007</v>
      </c>
      <c r="K47" s="3154" t="s">
        <v>2350</v>
      </c>
      <c r="L47" s="3158">
        <f ca="1">INDIRECT("'数据-取费表'!d"&amp;$G$1)</f>
        <v>40</v>
      </c>
      <c r="M47" s="1602" t="str">
        <f>IF(ISNUMBER(FIND("住宅",C1)),"住宅","非住宅")</f>
        <v>非住宅</v>
      </c>
      <c r="O47" s="2393" t="s">
        <v>2376</v>
      </c>
      <c r="P47" s="2394" t="s">
        <v>2377</v>
      </c>
      <c r="Q47" s="2395" t="s">
        <v>2378</v>
      </c>
      <c r="R47" s="2394" t="s">
        <v>2379</v>
      </c>
    </row>
    <row r="48" spans="1:18" s="2057" customFormat="1" ht="18" customHeight="1" thickBot="1">
      <c r="A48" s="2640" t="s">
        <v>2538</v>
      </c>
      <c r="B48" s="2641" t="s">
        <v>2539</v>
      </c>
      <c r="C48" s="2372">
        <f ca="1">ROUND(F48*F50*F49*(1-F51)/10000,0)</f>
        <v>0</v>
      </c>
      <c r="D48" s="2373" t="s">
        <v>636</v>
      </c>
      <c r="E48" s="2374" t="s">
        <v>2297</v>
      </c>
      <c r="F48" s="2375"/>
      <c r="G48" s="2088"/>
      <c r="I48" s="3123" t="s">
        <v>2346</v>
      </c>
      <c r="J48" s="2380" t="s">
        <v>2351</v>
      </c>
      <c r="K48" s="3155" t="s">
        <v>2352</v>
      </c>
      <c r="L48" s="1906">
        <f ca="1">INDIRECT("'数据-取费表'!f"&amp;$G$1)</f>
        <v>39.25</v>
      </c>
      <c r="O48" s="2396" t="s">
        <v>2380</v>
      </c>
      <c r="P48" s="2397" t="s">
        <v>2406</v>
      </c>
      <c r="Q48" s="2398">
        <f ca="1">C40+J29</f>
        <v>2207</v>
      </c>
      <c r="R48" s="2397" t="s">
        <v>2381</v>
      </c>
    </row>
    <row r="49" spans="1:18" s="2057" customFormat="1" ht="18" customHeight="1" thickBot="1">
      <c r="A49" s="784"/>
      <c r="B49" s="785"/>
      <c r="C49" s="786"/>
      <c r="D49" s="787"/>
      <c r="E49" s="782" t="s">
        <v>1740</v>
      </c>
      <c r="F49" s="783">
        <f ca="1">F7</f>
        <v>2000</v>
      </c>
      <c r="G49" s="2088"/>
      <c r="H49" s="2091"/>
      <c r="I49" s="3123" t="s">
        <v>2347</v>
      </c>
      <c r="J49" s="2381"/>
      <c r="K49" s="3156" t="s">
        <v>2353</v>
      </c>
      <c r="L49" s="2382"/>
      <c r="O49" s="2396" t="s">
        <v>2382</v>
      </c>
      <c r="P49" s="2397" t="s">
        <v>2407</v>
      </c>
      <c r="Q49" s="2398" t="str">
        <f ca="1">J60</f>
        <v>0</v>
      </c>
      <c r="R49" s="2397" t="s">
        <v>2383</v>
      </c>
    </row>
    <row r="50" spans="1:18" s="2057" customFormat="1" ht="18" customHeight="1" thickBot="1">
      <c r="A50" s="784"/>
      <c r="B50" s="785"/>
      <c r="C50" s="786"/>
      <c r="D50" s="787"/>
      <c r="E50" s="782" t="s">
        <v>1741</v>
      </c>
      <c r="F50" s="783">
        <f ca="1">F8</f>
        <v>365</v>
      </c>
      <c r="G50" s="2093"/>
      <c r="H50" s="2091"/>
      <c r="I50" s="3123" t="s">
        <v>2348</v>
      </c>
      <c r="J50" s="3151">
        <f>SUMPRODUCT((I63:I65=J47)*(J62:L62=J48)*(J63:L65))</f>
        <v>60</v>
      </c>
      <c r="K50" s="3156" t="s">
        <v>2354</v>
      </c>
      <c r="L50" s="2382"/>
      <c r="O50" s="2399" t="s">
        <v>2384</v>
      </c>
      <c r="P50" s="2397" t="s">
        <v>2408</v>
      </c>
      <c r="Q50" s="2398">
        <f ca="1">C29</f>
        <v>736</v>
      </c>
      <c r="R50" s="2397" t="s">
        <v>2381</v>
      </c>
    </row>
    <row r="51" spans="1:18" s="2057" customFormat="1" ht="18" customHeight="1" thickBot="1">
      <c r="A51" s="784"/>
      <c r="B51" s="785"/>
      <c r="C51" s="786"/>
      <c r="D51" s="787"/>
      <c r="E51" s="782" t="s">
        <v>640</v>
      </c>
      <c r="F51" s="2369"/>
      <c r="H51" s="2091"/>
      <c r="I51" s="3148" t="s">
        <v>2349</v>
      </c>
      <c r="J51" s="3152">
        <f>IF(J49="",J50,J49+J50-YEAR('数据-取费表'!B2))</f>
        <v>60</v>
      </c>
      <c r="K51" s="3123" t="s">
        <v>2355</v>
      </c>
      <c r="L51" s="3159">
        <f ca="1">ROUND(-PV(INDIRECT("'数据-取费表'!h"&amp;$G$1),L48,(C39-C13*J36),0),0)</f>
        <v>553</v>
      </c>
      <c r="O51" s="2399" t="s">
        <v>2385</v>
      </c>
      <c r="P51" s="2397" t="s">
        <v>2386</v>
      </c>
      <c r="Q51" s="2400" t="e">
        <f ca="1">J58</f>
        <v>#VALUE!</v>
      </c>
      <c r="R51" s="2401"/>
    </row>
    <row r="52" spans="1:18" s="2057" customFormat="1" ht="18" customHeight="1" thickBot="1">
      <c r="A52" s="779" t="s">
        <v>2537</v>
      </c>
      <c r="B52" s="2492" t="s">
        <v>2460</v>
      </c>
      <c r="C52" s="797">
        <f ca="1">ROUND(IF(F52="押一",C48/12*F11,IF(F52="押二",C48/12*2*F11,IF(F52="押三",C48/12*3*F11,C53*F11))),0)</f>
        <v>0</v>
      </c>
      <c r="D52" s="2499" t="s">
        <v>2970</v>
      </c>
      <c r="E52" s="2496" t="s">
        <v>2465</v>
      </c>
      <c r="F52" s="2619"/>
      <c r="I52" s="3149" t="s">
        <v>2422</v>
      </c>
      <c r="J52" s="2383">
        <v>0.09</v>
      </c>
      <c r="K52" s="3149" t="s">
        <v>2421</v>
      </c>
      <c r="L52" s="2383">
        <v>0.05</v>
      </c>
      <c r="O52" s="2399" t="s">
        <v>2387</v>
      </c>
      <c r="P52" s="2397" t="s">
        <v>2388</v>
      </c>
      <c r="Q52" s="2400">
        <f>J52</f>
        <v>0.09</v>
      </c>
      <c r="R52" s="2401"/>
    </row>
    <row r="53" spans="1:18" s="2057" customFormat="1" ht="39.75" customHeight="1" thickBot="1">
      <c r="A53" s="784"/>
      <c r="B53" s="2493" t="s">
        <v>2574</v>
      </c>
      <c r="C53" s="2497"/>
      <c r="D53" s="2499"/>
      <c r="E53" s="2496"/>
      <c r="F53" s="798"/>
      <c r="I53" s="3150" t="s">
        <v>2974</v>
      </c>
      <c r="J53" s="3153">
        <f ca="1">IF(M47="住宅",IF(D1="——",MAX(J51,L48),MAX(J51,L48-'数据-取费表'!B20)),IF(D1="——",MIN(J51,L48),MIN(J51,L48-'数据-取费表'!B20)))</f>
        <v>36.25</v>
      </c>
      <c r="K53" s="3454" t="s">
        <v>2961</v>
      </c>
      <c r="L53" s="3455"/>
      <c r="O53" s="2399" t="s">
        <v>2389</v>
      </c>
      <c r="P53" s="2397" t="s">
        <v>2390</v>
      </c>
      <c r="Q53" s="2398">
        <f ca="1">J53</f>
        <v>36.25</v>
      </c>
      <c r="R53" s="2397" t="s">
        <v>2391</v>
      </c>
    </row>
    <row r="54" spans="1:18" s="2057" customFormat="1" ht="18" customHeight="1" thickBot="1">
      <c r="A54" s="2535" t="s">
        <v>2468</v>
      </c>
      <c r="B54" s="2536" t="s">
        <v>2461</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2392</v>
      </c>
      <c r="P54" s="2397" t="s">
        <v>2409</v>
      </c>
      <c r="Q54" s="2398">
        <f ca="1">Q48+Q49</f>
        <v>2207</v>
      </c>
      <c r="R54" s="2401" t="s">
        <v>2393</v>
      </c>
    </row>
    <row r="55" spans="1:18" s="2057" customFormat="1" ht="18" customHeight="1" thickTop="1" thickBot="1">
      <c r="A55" s="795">
        <v>2</v>
      </c>
      <c r="B55" s="796" t="s">
        <v>644</v>
      </c>
      <c r="C55" s="797">
        <f ca="1">C13</f>
        <v>736</v>
      </c>
      <c r="D55" s="793"/>
      <c r="E55" s="793"/>
      <c r="F55" s="798"/>
      <c r="I55" s="3162" t="s">
        <v>2356</v>
      </c>
      <c r="J55" s="3098" t="e">
        <f ca="1">ROUND(IF(J47="钢混",J57/J50,1-(1-2%)*(J50-J57)/J50),3)</f>
        <v>#VALUE!</v>
      </c>
      <c r="K55" s="3163" t="s">
        <v>2357</v>
      </c>
      <c r="L55" s="2384"/>
      <c r="O55" s="2402" t="s">
        <v>2412</v>
      </c>
      <c r="P55" s="1590"/>
      <c r="Q55" s="1602"/>
      <c r="R55" s="1590"/>
    </row>
    <row r="56" spans="1:18" s="2057" customFormat="1" ht="42.75" customHeight="1" thickBot="1">
      <c r="A56" s="1648"/>
      <c r="B56" s="2229" t="s">
        <v>2303</v>
      </c>
      <c r="C56" s="53">
        <f ca="1">C29</f>
        <v>736</v>
      </c>
      <c r="D56" s="3175"/>
      <c r="E56" s="782"/>
      <c r="F56" s="807"/>
      <c r="I56" s="3164" t="s">
        <v>2358</v>
      </c>
      <c r="J56" s="3174" t="s">
        <v>1679</v>
      </c>
      <c r="K56" s="3123" t="s">
        <v>2363</v>
      </c>
      <c r="L56" s="1906" t="str">
        <f ca="1">IF(L48&lt;J51,"——",L48-J51)</f>
        <v>——</v>
      </c>
      <c r="O56" s="2393" t="s">
        <v>2376</v>
      </c>
      <c r="P56" s="2394" t="s">
        <v>2377</v>
      </c>
      <c r="Q56" s="2395" t="s">
        <v>2378</v>
      </c>
      <c r="R56" s="2394" t="s">
        <v>2379</v>
      </c>
    </row>
    <row r="57" spans="1:18" s="2057" customFormat="1" ht="28.5" customHeight="1" thickBot="1">
      <c r="A57" s="795" t="s">
        <v>1749</v>
      </c>
      <c r="B57" s="796" t="s">
        <v>651</v>
      </c>
      <c r="C57" s="797">
        <f ca="1">ROUND(C58+C63+C64+C65,0)</f>
        <v>12</v>
      </c>
      <c r="D57" s="26" t="s">
        <v>1751</v>
      </c>
      <c r="E57" s="3180"/>
      <c r="F57" s="56"/>
      <c r="I57" s="3165" t="s">
        <v>2359</v>
      </c>
      <c r="J57" s="3166" t="str">
        <f ca="1">IF(OR(M47="住宅",J51&lt;L48,J56="是"),"——",J51-L48)</f>
        <v>——</v>
      </c>
      <c r="K57" s="3123" t="s">
        <v>2364</v>
      </c>
      <c r="L57" s="1906" t="str">
        <f ca="1">IF(L48&lt;J51,"——",IF(L55="比较法",L49,IF(L55="基准地价",L50,L51)))</f>
        <v>——</v>
      </c>
      <c r="O57" s="2396" t="s">
        <v>2380</v>
      </c>
      <c r="P57" s="2397" t="s">
        <v>2410</v>
      </c>
      <c r="Q57" s="2398">
        <f ca="1">C40+J29</f>
        <v>2207</v>
      </c>
      <c r="R57" s="2397" t="s">
        <v>2381</v>
      </c>
    </row>
    <row r="58" spans="1:18" s="2057" customFormat="1" ht="28.5" customHeight="1" thickBot="1">
      <c r="A58" s="1647" t="s">
        <v>1825</v>
      </c>
      <c r="B58" s="782" t="s">
        <v>656</v>
      </c>
      <c r="C58" s="53">
        <f ca="1">ROUND(IF(项目基本情况!B11="自然人",C47*F58,C59+C60+C61),1)</f>
        <v>0.2</v>
      </c>
      <c r="D58" s="3176" t="s">
        <v>657</v>
      </c>
      <c r="E58" s="3175" t="s">
        <v>690</v>
      </c>
      <c r="F58" s="808" t="str">
        <f ca="1">IF(项目基本情况!B11="企业","",IF(INDIRECT("'数据-取费表'!c"&amp;$G$1)="住宅",5%,IF(F48*F49*F50/12/(1+'数据-取费表'!C42)&gt;20000,12%,7%)))</f>
        <v/>
      </c>
      <c r="I58" s="3165" t="s">
        <v>2360</v>
      </c>
      <c r="J58" s="3099" t="e">
        <f ca="1">IF(J55&lt;0.4,0.4,J55)</f>
        <v>#VALUE!</v>
      </c>
      <c r="K58" s="3123" t="s">
        <v>2365</v>
      </c>
      <c r="L58" s="1906">
        <f ca="1">ROUND(POWER(1+L52,L47-L48)*(POWER(1+L52,L48)-1)/(POWER(1+L52,L47)-1),4)</f>
        <v>0.99380000000000002</v>
      </c>
      <c r="O58" s="2396" t="s">
        <v>2382</v>
      </c>
      <c r="P58" s="2397" t="s">
        <v>2413</v>
      </c>
      <c r="Q58" s="2398">
        <f ca="1">L60</f>
        <v>0</v>
      </c>
      <c r="R58" s="2401" t="s">
        <v>2415</v>
      </c>
    </row>
    <row r="59" spans="1:18" s="2057" customFormat="1" ht="28.5" customHeight="1" thickBot="1">
      <c r="A59" s="1646" t="s">
        <v>1832</v>
      </c>
      <c r="B59" s="782" t="s">
        <v>660</v>
      </c>
      <c r="C59" s="53">
        <f ca="1">ROUND(C47*F59/1.05,1)</f>
        <v>0</v>
      </c>
      <c r="D59" s="3175" t="s">
        <v>1757</v>
      </c>
      <c r="E59" s="782" t="s">
        <v>1748</v>
      </c>
      <c r="F59" s="807">
        <f t="shared" ref="F59:F65" si="0">F32</f>
        <v>5.5000000000000007E-2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6">
        <f ca="1">ROUND(IF(D1="土地（套用方法）",POWER(1+L52,L47-(J51+'数据-取费表'!B20))*(POWER(1+L52,(J51+'数据-取费表'!B20))-1)/(POWER(1+L52,L47)-1),POWER(1+L52,L47-J51)*(POWER(1+L52,J51)-1)/(POWER(1+L52,L47)-1)),4)</f>
        <v>1.1116999999999999</v>
      </c>
      <c r="O59" s="2399" t="s">
        <v>2384</v>
      </c>
      <c r="P59" s="2397" t="s">
        <v>2414</v>
      </c>
      <c r="Q59" s="2398">
        <f>IF(L55="比较法",L49,IF(L55="基准地价",L50,0))</f>
        <v>0</v>
      </c>
      <c r="R59" s="2397" t="s">
        <v>2381</v>
      </c>
    </row>
    <row r="60" spans="1:18" s="2057" customFormat="1" ht="18" customHeight="1" thickBot="1">
      <c r="A60" s="1646" t="s">
        <v>1833</v>
      </c>
      <c r="B60" s="782" t="s">
        <v>1759</v>
      </c>
      <c r="C60" s="53">
        <f ca="1">IF(D60="按租金收入计税",ROUND(C47*F60,1),IF(D60="按房产原值计税",ROUND(C56*F60*0.7,1),INDIRECT("'数据-取费表'!Aj"&amp;$G$1)))</f>
        <v>0</v>
      </c>
      <c r="D60" s="3175"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9" t="s">
        <v>2385</v>
      </c>
      <c r="P60" s="2397" t="s">
        <v>2394</v>
      </c>
      <c r="Q60" s="2400">
        <f>L52</f>
        <v>0.05</v>
      </c>
      <c r="R60" s="2401"/>
    </row>
    <row r="61" spans="1:18" s="2057" customFormat="1" ht="18" customHeight="1" thickBot="1">
      <c r="A61" s="1649" t="s">
        <v>1834</v>
      </c>
      <c r="B61" s="339" t="s">
        <v>668</v>
      </c>
      <c r="C61" s="54">
        <f ca="1">ROUND(F61*F62/10000,1)</f>
        <v>0.2</v>
      </c>
      <c r="D61" s="812" t="s">
        <v>669</v>
      </c>
      <c r="E61" s="782" t="s">
        <v>670</v>
      </c>
      <c r="F61" s="638">
        <f t="shared" si="0"/>
        <v>1.5</v>
      </c>
      <c r="K61" s="2084"/>
      <c r="O61" s="2399" t="s">
        <v>2387</v>
      </c>
      <c r="P61" s="2397" t="s">
        <v>2395</v>
      </c>
      <c r="Q61" s="2398">
        <f ca="1">L58</f>
        <v>0.99380000000000002</v>
      </c>
      <c r="R61" s="2401" t="s">
        <v>2396</v>
      </c>
    </row>
    <row r="62" spans="1:18" s="2057" customFormat="1" ht="15.75" thickBot="1">
      <c r="A62" s="813"/>
      <c r="B62" s="791"/>
      <c r="C62" s="69"/>
      <c r="D62" s="814"/>
      <c r="E62" s="782" t="s">
        <v>674</v>
      </c>
      <c r="F62" s="783">
        <f t="shared" ca="1" si="0"/>
        <v>1087.79</v>
      </c>
      <c r="I62" s="3170" t="s">
        <v>2368</v>
      </c>
      <c r="J62" s="3171" t="s">
        <v>2369</v>
      </c>
      <c r="K62" s="3171" t="s">
        <v>2370</v>
      </c>
      <c r="L62" s="3171" t="s">
        <v>2351</v>
      </c>
      <c r="M62" s="3172" t="s">
        <v>2937</v>
      </c>
      <c r="O62" s="2399" t="s">
        <v>2389</v>
      </c>
      <c r="P62" s="2397" t="str">
        <f>K59</f>
        <v>建设期及建筑物耐用年限下的土地年期修正系数Kn</v>
      </c>
      <c r="Q62" s="2398">
        <f ca="1">L59</f>
        <v>1.1116999999999999</v>
      </c>
      <c r="R62" s="2401" t="s">
        <v>2398</v>
      </c>
    </row>
    <row r="63" spans="1:18" s="2057" customFormat="1" ht="15.75" thickBot="1">
      <c r="A63" s="1647" t="s">
        <v>1890</v>
      </c>
      <c r="B63" s="782" t="s">
        <v>676</v>
      </c>
      <c r="C63" s="53">
        <f ca="1">ROUND(C56*F63,1)</f>
        <v>11</v>
      </c>
      <c r="D63" s="3175" t="s">
        <v>1804</v>
      </c>
      <c r="E63" s="782" t="s">
        <v>1748</v>
      </c>
      <c r="F63" s="815">
        <f t="shared" ca="1" si="0"/>
        <v>1.4999999999999999E-2</v>
      </c>
      <c r="I63" s="3170" t="s">
        <v>2371</v>
      </c>
      <c r="J63" s="3171">
        <v>70</v>
      </c>
      <c r="K63" s="3171">
        <v>50</v>
      </c>
      <c r="L63" s="3171">
        <v>80</v>
      </c>
      <c r="M63" s="3173">
        <v>0.02</v>
      </c>
      <c r="O63" s="2396" t="s">
        <v>2392</v>
      </c>
      <c r="P63" s="2397" t="s">
        <v>2409</v>
      </c>
      <c r="Q63" s="2398">
        <f ca="1">Q57+Q58</f>
        <v>2207</v>
      </c>
      <c r="R63" s="2401" t="s">
        <v>2393</v>
      </c>
    </row>
    <row r="64" spans="1:18" s="2057" customFormat="1" ht="16.5" thickBot="1">
      <c r="A64" s="1647" t="s">
        <v>1891</v>
      </c>
      <c r="B64" s="782" t="s">
        <v>679</v>
      </c>
      <c r="C64" s="53">
        <f ca="1">ROUND(C55*F64,1)</f>
        <v>1.1000000000000001</v>
      </c>
      <c r="D64" s="3175" t="s">
        <v>680</v>
      </c>
      <c r="E64" s="782" t="s">
        <v>1748</v>
      </c>
      <c r="F64" s="816">
        <f t="shared" ca="1" si="0"/>
        <v>1.5E-3</v>
      </c>
      <c r="I64" s="3170" t="s">
        <v>2372</v>
      </c>
      <c r="J64" s="3171">
        <v>50</v>
      </c>
      <c r="K64" s="3171">
        <v>35</v>
      </c>
      <c r="L64" s="3171">
        <v>60</v>
      </c>
      <c r="M64" s="844">
        <v>0</v>
      </c>
      <c r="O64" s="2402" t="s">
        <v>2416</v>
      </c>
      <c r="P64" s="1590"/>
      <c r="Q64" s="1602"/>
      <c r="R64" s="1590"/>
    </row>
    <row r="65" spans="1:18" s="2057" customFormat="1" ht="15.75" thickBot="1">
      <c r="A65" s="1647" t="s">
        <v>1892</v>
      </c>
      <c r="B65" s="782" t="s">
        <v>666</v>
      </c>
      <c r="C65" s="53">
        <f ca="1">ROUND(C47*F65,1)</f>
        <v>0</v>
      </c>
      <c r="D65" s="3175" t="s">
        <v>683</v>
      </c>
      <c r="E65" s="782" t="s">
        <v>1748</v>
      </c>
      <c r="F65" s="792">
        <f t="shared" ca="1" si="0"/>
        <v>0.01</v>
      </c>
      <c r="I65" s="3170" t="s">
        <v>2373</v>
      </c>
      <c r="J65" s="3171">
        <v>40</v>
      </c>
      <c r="K65" s="3171">
        <v>30</v>
      </c>
      <c r="L65" s="3171">
        <v>50</v>
      </c>
      <c r="M65" s="3173">
        <v>0.02</v>
      </c>
      <c r="O65" s="2393" t="s">
        <v>2376</v>
      </c>
      <c r="P65" s="2394" t="s">
        <v>2377</v>
      </c>
      <c r="Q65" s="2395" t="s">
        <v>2378</v>
      </c>
      <c r="R65" s="2394" t="s">
        <v>2379</v>
      </c>
    </row>
    <row r="66" spans="1:18" s="2057" customFormat="1" ht="24.75" thickBot="1">
      <c r="A66" s="795" t="s">
        <v>1777</v>
      </c>
      <c r="B66" s="3008" t="s">
        <v>2823</v>
      </c>
      <c r="C66" s="797">
        <f ca="1">C47-C57</f>
        <v>-12</v>
      </c>
      <c r="D66" s="3176" t="s">
        <v>700</v>
      </c>
      <c r="E66" s="3179"/>
      <c r="F66" s="818"/>
      <c r="K66" s="2084"/>
      <c r="O66" s="2396" t="s">
        <v>2380</v>
      </c>
      <c r="P66" s="2397" t="s">
        <v>2410</v>
      </c>
      <c r="Q66" s="2398">
        <f ca="1">C40+J29</f>
        <v>2207</v>
      </c>
      <c r="R66" s="2397" t="s">
        <v>2381</v>
      </c>
    </row>
    <row r="67" spans="1:18" s="2057" customFormat="1" ht="20.25" thickBot="1">
      <c r="A67" s="779" t="s">
        <v>1781</v>
      </c>
      <c r="B67" s="2230" t="s">
        <v>2302</v>
      </c>
      <c r="C67" s="781">
        <f ca="1">ROUND(C66*(1-((1+F69)/(1+F67))^F68)/(F67-F69),0)</f>
        <v>-187</v>
      </c>
      <c r="D67" s="812" t="s">
        <v>704</v>
      </c>
      <c r="E67" s="782" t="s">
        <v>705</v>
      </c>
      <c r="F67" s="792">
        <f ca="1">F40</f>
        <v>5.5E-2</v>
      </c>
      <c r="K67" s="2084"/>
      <c r="O67" s="2396" t="s">
        <v>2382</v>
      </c>
      <c r="P67" s="2397" t="s">
        <v>2413</v>
      </c>
      <c r="Q67" s="2398">
        <f ca="1">L60</f>
        <v>0</v>
      </c>
      <c r="R67" s="2401" t="s">
        <v>2415</v>
      </c>
    </row>
    <row r="68" spans="1:18" ht="21.75" thickBot="1">
      <c r="A68" s="784"/>
      <c r="B68" s="785"/>
      <c r="C68" s="786"/>
      <c r="D68" s="819" t="s">
        <v>1809</v>
      </c>
      <c r="E68" s="782" t="s">
        <v>1785</v>
      </c>
      <c r="F68" s="820">
        <f ca="1">F41</f>
        <v>36.25</v>
      </c>
      <c r="O68" s="2399" t="s">
        <v>2384</v>
      </c>
      <c r="P68" s="2397" t="s">
        <v>2414</v>
      </c>
      <c r="Q68" s="2403">
        <f ca="1">L51</f>
        <v>553</v>
      </c>
      <c r="R68" s="2404" t="s">
        <v>2417</v>
      </c>
    </row>
    <row r="69" spans="1:18" ht="20.25" thickBot="1">
      <c r="A69" s="788"/>
      <c r="B69" s="789"/>
      <c r="C69" s="790"/>
      <c r="D69" s="814"/>
      <c r="E69" s="782" t="s">
        <v>710</v>
      </c>
      <c r="F69" s="2369"/>
      <c r="O69" s="2399" t="s">
        <v>2385</v>
      </c>
      <c r="P69" s="2405" t="s">
        <v>2399</v>
      </c>
      <c r="Q69" s="2398">
        <f ca="1">ROUND(Q70-Q71*Q72,0)</f>
        <v>32</v>
      </c>
      <c r="R69" s="2401"/>
    </row>
    <row r="70" spans="1:18" ht="15.75" thickBot="1">
      <c r="A70" s="821" t="s">
        <v>1788</v>
      </c>
      <c r="B70" s="822" t="s">
        <v>1811</v>
      </c>
      <c r="C70" s="823">
        <f ca="1">ROUND(C67*10000/F70,0)</f>
        <v>-935</v>
      </c>
      <c r="D70" s="824" t="s">
        <v>1812</v>
      </c>
      <c r="E70" s="825" t="s">
        <v>1813</v>
      </c>
      <c r="F70" s="826">
        <f ca="1">F43</f>
        <v>2000</v>
      </c>
      <c r="O70" s="2399" t="s">
        <v>2400</v>
      </c>
      <c r="P70" s="2405" t="s">
        <v>2401</v>
      </c>
      <c r="Q70" s="2398">
        <f ca="1">C39</f>
        <v>95</v>
      </c>
      <c r="R70" s="2397" t="s">
        <v>2381</v>
      </c>
    </row>
    <row r="71" spans="1:18" ht="15.75" thickBot="1">
      <c r="O71" s="2399" t="s">
        <v>2402</v>
      </c>
      <c r="P71" s="2405" t="s">
        <v>2403</v>
      </c>
      <c r="Q71" s="2398">
        <f ca="1">C13</f>
        <v>736</v>
      </c>
      <c r="R71" s="2397" t="s">
        <v>2381</v>
      </c>
    </row>
    <row r="72" spans="1:18" ht="15.75" thickBot="1">
      <c r="O72" s="2399" t="s">
        <v>2404</v>
      </c>
      <c r="P72" s="2405" t="s">
        <v>2405</v>
      </c>
      <c r="Q72" s="2400">
        <f ca="1">J36</f>
        <v>8.5000000000000006E-2</v>
      </c>
      <c r="R72" s="2401"/>
    </row>
    <row r="73" spans="1:18" ht="15.75" thickBot="1">
      <c r="O73" s="2399" t="s">
        <v>2387</v>
      </c>
      <c r="P73" s="2397" t="s">
        <v>2394</v>
      </c>
      <c r="Q73" s="2400">
        <f>L52</f>
        <v>0.05</v>
      </c>
      <c r="R73" s="2401"/>
    </row>
    <row r="74" spans="1:18" ht="20.25" thickBot="1">
      <c r="O74" s="2399" t="s">
        <v>2389</v>
      </c>
      <c r="P74" s="2397" t="s">
        <v>2395</v>
      </c>
      <c r="Q74" s="2398">
        <f ca="1">L58</f>
        <v>0.99380000000000002</v>
      </c>
      <c r="R74" s="2401" t="s">
        <v>2396</v>
      </c>
    </row>
    <row r="75" spans="1:18" ht="15.75" thickBot="1">
      <c r="O75" s="2399" t="s">
        <v>2418</v>
      </c>
      <c r="P75" s="2397" t="str">
        <f>K59</f>
        <v>建设期及建筑物耐用年限下的土地年期修正系数Kn</v>
      </c>
      <c r="Q75" s="2398">
        <f ca="1">L59</f>
        <v>1.1116999999999999</v>
      </c>
      <c r="R75" s="2401" t="s">
        <v>2398</v>
      </c>
    </row>
    <row r="76" spans="1:18" ht="15.75" thickBot="1">
      <c r="O76" s="2396" t="s">
        <v>2392</v>
      </c>
      <c r="P76" s="2397" t="s">
        <v>2409</v>
      </c>
      <c r="Q76" s="2398">
        <f ca="1">Q66+Q67</f>
        <v>2207</v>
      </c>
      <c r="R76" s="240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北京房地钧洋房地产开发有限公司：</v>
      </c>
    </row>
    <row r="4" spans="1:4" ht="37.5">
      <c r="A4" s="1789" t="str">
        <f>"受贵公司委托，我公司对"&amp;项目基本情况!K2&amp;项目基本情况!B9&amp;"进行了预评估。"</f>
        <v>受贵公司委托，我公司对北京市通州区西集镇西集村TZ07-0103-0029地块二类居住用地出让国有建设用地使用权抵押价格进行了预评估。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房地钧洋房地产开发有限公司使用的、位于北京市通州区西集镇西集村TZ07-0103-0029地块二类居住用地出让国有建设用地使用权。根据《国有土地使用证》[]，估价对象（分摊）出让国有建设用地使用权面积为81664.26平方米。根据《建设工程规划许可证》[]、《出让合同》[]，估价对象规划建筑面积为165129.68平方米。</v>
      </c>
    </row>
    <row r="7" spans="1:4" ht="93.75">
      <c r="A7" s="2871" t="s">
        <v>2749</v>
      </c>
    </row>
    <row r="8" spans="1:4" ht="18.75">
      <c r="A8" s="1792" t="s">
        <v>1907</v>
      </c>
    </row>
    <row r="9" spans="1:4" ht="56.25">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2018年8月15日（评估专业人员勘察现场之日）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根据《国有土地使用证》[]，本次评估估价对象证载（地类）用途为住宅、商业。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根据《国有土地使用证》[]，估价对象（分摊）出让国有建设用地使用权面积为81664.26平方米。根据《建设工程规划许可证》[]、《出让合同》[]，估价对象规划建筑面积为165129.68平方米。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73" t="s">
        <v>2750</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8月15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Normal="100" workbookViewId="0">
      <selection activeCell="C45" sqref="C4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35</v>
      </c>
      <c r="D1" s="3122" t="s">
        <v>3005</v>
      </c>
      <c r="E1" s="2385" t="s">
        <v>2375</v>
      </c>
      <c r="F1" s="2386">
        <f ca="1">J53</f>
        <v>46.26</v>
      </c>
      <c r="G1" s="772">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10693</v>
      </c>
      <c r="C2" s="2055"/>
      <c r="D2" s="2053"/>
      <c r="E2" s="2054"/>
      <c r="F2" s="2054"/>
      <c r="G2" s="1588"/>
      <c r="H2" s="2055"/>
      <c r="I2" s="2055"/>
      <c r="J2" s="2055"/>
      <c r="K2" s="2056"/>
      <c r="L2" s="2055"/>
      <c r="M2" s="2055"/>
    </row>
    <row r="3" spans="1:33" ht="18" customHeight="1" thickBot="1">
      <c r="A3" s="831" t="s">
        <v>1728</v>
      </c>
      <c r="B3" s="832">
        <f ca="1">IF(ISERROR(B2*10000/F43),0,ROUND(B2*10000/F43,0))</f>
        <v>2689</v>
      </c>
      <c r="C3" s="2055"/>
      <c r="D3" s="2053"/>
      <c r="E3" s="2054"/>
      <c r="F3" s="2054"/>
      <c r="G3" s="1588"/>
      <c r="H3" s="774" t="s">
        <v>695</v>
      </c>
      <c r="I3" s="1361"/>
      <c r="J3" s="1361"/>
      <c r="K3" s="1589"/>
      <c r="L3" s="1361"/>
      <c r="M3" s="1361"/>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2459</v>
      </c>
      <c r="C5" s="55">
        <f ca="1">C6+C10+C12</f>
        <v>648</v>
      </c>
      <c r="D5" s="2494" t="s">
        <v>2462</v>
      </c>
      <c r="E5" s="2488"/>
      <c r="F5" s="2489"/>
      <c r="G5" s="1590"/>
      <c r="H5" s="779">
        <v>1</v>
      </c>
      <c r="I5" s="780" t="s">
        <v>2459</v>
      </c>
      <c r="J5" s="55">
        <f ca="1">J6+J10+J12</f>
        <v>0</v>
      </c>
      <c r="K5" s="2494" t="s">
        <v>2462</v>
      </c>
      <c r="L5" s="2488"/>
      <c r="M5" s="2489"/>
    </row>
    <row r="6" spans="1:33" ht="18" customHeight="1">
      <c r="A6" s="1828" t="s">
        <v>1825</v>
      </c>
      <c r="B6" s="3438" t="s">
        <v>2464</v>
      </c>
      <c r="C6" s="781">
        <f ca="1">ROUND(F6*F8*F7*(1-F9)/10000,0)</f>
        <v>648</v>
      </c>
      <c r="D6" s="2495" t="s">
        <v>2463</v>
      </c>
      <c r="E6" s="782" t="s">
        <v>1739</v>
      </c>
      <c r="F6" s="783">
        <f ca="1">INDIRECT("'数据-取费表'!u"&amp;$G$1)</f>
        <v>500</v>
      </c>
      <c r="G6" s="1590"/>
      <c r="H6" s="2502" t="s">
        <v>2469</v>
      </c>
      <c r="I6" s="3438" t="s">
        <v>2464</v>
      </c>
      <c r="J6" s="781">
        <f ca="1">ROUND(M6*M8*M7*(1-M9)/10000,0)</f>
        <v>0</v>
      </c>
      <c r="K6" s="339" t="s">
        <v>1738</v>
      </c>
      <c r="L6" s="782" t="s">
        <v>1739</v>
      </c>
      <c r="M6" s="783">
        <f ca="1">INDIRECT("'数据-取费表'!z"&amp;$G$1)</f>
        <v>0</v>
      </c>
    </row>
    <row r="7" spans="1:33" ht="18" customHeight="1">
      <c r="A7" s="2498"/>
      <c r="B7" s="3439"/>
      <c r="C7" s="786"/>
      <c r="D7" s="787"/>
      <c r="E7" s="782" t="s">
        <v>1740</v>
      </c>
      <c r="F7" s="783">
        <f ca="1">IF(INDIRECT("'数据-取费表'!ah"&amp;$G$1)="",INDIRECT("'数据-取费表'!k"&amp;$G$1),INDIRECT("'数据-取费表'!ah"&amp;$G$1))</f>
        <v>1136</v>
      </c>
      <c r="G7" s="1590"/>
      <c r="H7" s="2487"/>
      <c r="I7" s="3439"/>
      <c r="J7" s="786"/>
      <c r="K7" s="787"/>
      <c r="L7" s="782" t="s">
        <v>1740</v>
      </c>
      <c r="M7" s="783">
        <f ca="1">F7</f>
        <v>1136</v>
      </c>
    </row>
    <row r="8" spans="1:33" ht="18" customHeight="1">
      <c r="A8" s="2491"/>
      <c r="B8" s="3440"/>
      <c r="C8" s="786"/>
      <c r="D8" s="787"/>
      <c r="E8" s="782" t="s">
        <v>1741</v>
      </c>
      <c r="F8" s="783">
        <f ca="1">INDIRECT("'数据-取费表'!ai"&amp;$G$1)</f>
        <v>12</v>
      </c>
      <c r="G8" s="1590"/>
      <c r="H8" s="2487"/>
      <c r="I8" s="3440"/>
      <c r="J8" s="786"/>
      <c r="K8" s="787"/>
      <c r="L8" s="782" t="s">
        <v>1741</v>
      </c>
      <c r="M8" s="783">
        <f ca="1">INDIRECT("'数据-取费表'!ai"&amp;$G$1)</f>
        <v>12</v>
      </c>
    </row>
    <row r="9" spans="1:33" ht="18" customHeight="1">
      <c r="A9" s="784"/>
      <c r="B9" s="3441"/>
      <c r="C9" s="786"/>
      <c r="D9" s="787"/>
      <c r="E9" s="782" t="s">
        <v>1742</v>
      </c>
      <c r="F9" s="792">
        <f ca="1">INDIRECT("'数据-取费表'!w"&amp;$G$1)</f>
        <v>0.05</v>
      </c>
      <c r="G9" s="1590"/>
      <c r="H9" s="2503"/>
      <c r="I9" s="3440"/>
      <c r="J9" s="786"/>
      <c r="K9" s="787"/>
      <c r="L9" s="793" t="s">
        <v>1742</v>
      </c>
      <c r="M9" s="794">
        <f ca="1">INDIRECT("'数据-取费表'!ab"&amp;$G$1)</f>
        <v>0</v>
      </c>
    </row>
    <row r="10" spans="1:33" ht="18" customHeight="1">
      <c r="A10" s="1828" t="s">
        <v>2467</v>
      </c>
      <c r="B10" s="2492" t="s">
        <v>2460</v>
      </c>
      <c r="C10" s="797">
        <f ca="1">ROUND(IF(F10="押一",C6/12*F11,IF(F10="押二",C6/12*2*F11,IF(F10="押三",C6/12*3*F11,C11*F11))),0)</f>
        <v>0</v>
      </c>
      <c r="D10" s="2499" t="s">
        <v>2969</v>
      </c>
      <c r="E10" s="2496" t="s">
        <v>2465</v>
      </c>
      <c r="F10" s="2619" t="s">
        <v>3015</v>
      </c>
      <c r="G10" s="1590"/>
      <c r="H10" s="2559" t="s">
        <v>2470</v>
      </c>
      <c r="I10" s="2564" t="s">
        <v>2460</v>
      </c>
      <c r="J10" s="781">
        <f ca="1">ROUND(IF(M10="押一",J6/12*M11,IF(M10="押二",J6/12*2*M11,IF(M10="押三",J6/12*3*M11,J11*M11))),0)</f>
        <v>0</v>
      </c>
      <c r="K10" s="2499" t="s">
        <v>2969</v>
      </c>
      <c r="L10" s="2496" t="s">
        <v>2465</v>
      </c>
      <c r="M10" s="2619"/>
    </row>
    <row r="11" spans="1:33" ht="18" customHeight="1">
      <c r="A11" s="788"/>
      <c r="B11" s="2493" t="s">
        <v>2574</v>
      </c>
      <c r="C11" s="2497"/>
      <c r="D11" s="787"/>
      <c r="E11" s="2496" t="s">
        <v>2466</v>
      </c>
      <c r="F11" s="794">
        <f ca="1">'数据-取费表'!B39</f>
        <v>1.4999999999999999E-2</v>
      </c>
      <c r="G11" s="1590"/>
      <c r="H11" s="2560"/>
      <c r="I11" s="2493" t="s">
        <v>2574</v>
      </c>
      <c r="J11" s="2497"/>
      <c r="K11" s="2561"/>
      <c r="L11" s="2496" t="s">
        <v>2466</v>
      </c>
      <c r="M11" s="2490">
        <f ca="1">'数据-取费表'!B39</f>
        <v>1.4999999999999999E-2</v>
      </c>
    </row>
    <row r="12" spans="1:33" ht="18" customHeight="1" thickBot="1">
      <c r="A12" s="2535" t="s">
        <v>2468</v>
      </c>
      <c r="B12" s="2536" t="s">
        <v>2461</v>
      </c>
      <c r="C12" s="2537"/>
      <c r="D12" s="2538"/>
      <c r="E12" s="2539"/>
      <c r="F12" s="2540"/>
      <c r="G12" s="1590"/>
      <c r="H12" s="2549" t="s">
        <v>2471</v>
      </c>
      <c r="I12" s="2562" t="s">
        <v>2461</v>
      </c>
      <c r="J12" s="2563"/>
      <c r="K12" s="2538"/>
      <c r="L12" s="2539"/>
      <c r="M12" s="2552"/>
    </row>
    <row r="13" spans="1:33" ht="18" customHeight="1" thickTop="1">
      <c r="A13" s="1827">
        <v>2</v>
      </c>
      <c r="B13" s="1825" t="s">
        <v>1743</v>
      </c>
      <c r="C13" s="790">
        <f ca="1">ROUND(C29*F13,0)</f>
        <v>11899</v>
      </c>
      <c r="D13" s="1832" t="s">
        <v>2298</v>
      </c>
      <c r="E13" s="1832" t="s">
        <v>1745</v>
      </c>
      <c r="F13" s="2534">
        <f ca="1">INDIRECT("'数据-取费表'!y"&amp;$G$1)</f>
        <v>1</v>
      </c>
      <c r="G13" s="1590"/>
      <c r="H13" s="1827">
        <v>2</v>
      </c>
      <c r="I13" s="1825" t="s">
        <v>1743</v>
      </c>
      <c r="J13" s="1817">
        <f ca="1">ROUND(J14*J15,0)</f>
        <v>0</v>
      </c>
      <c r="K13" s="1819" t="s">
        <v>1744</v>
      </c>
      <c r="L13" s="2550"/>
      <c r="M13" s="2551"/>
    </row>
    <row r="14" spans="1:33" ht="18" customHeight="1">
      <c r="A14" s="1646" t="s">
        <v>1885</v>
      </c>
      <c r="B14" s="782" t="s">
        <v>645</v>
      </c>
      <c r="C14" s="802">
        <f ca="1">INDIRECT("'数据-取费表'!m"&amp;$G$1)+INDIRECT("'数据-取费表'!t"&amp;$G$1)</f>
        <v>8745</v>
      </c>
      <c r="D14" s="3176" t="s">
        <v>1746</v>
      </c>
      <c r="E14" s="3177"/>
      <c r="F14" s="803"/>
      <c r="G14" s="1590"/>
      <c r="H14" s="1647" t="s">
        <v>1831</v>
      </c>
      <c r="I14" s="2229" t="s">
        <v>2827</v>
      </c>
      <c r="J14" s="53">
        <f ca="1">C29</f>
        <v>11899</v>
      </c>
      <c r="K14" s="26"/>
      <c r="L14" s="799"/>
      <c r="M14" s="800"/>
    </row>
    <row r="15" spans="1:33" s="2062" customFormat="1" ht="18" customHeight="1" thickBot="1">
      <c r="A15" s="1646" t="s">
        <v>1886</v>
      </c>
      <c r="B15" s="782" t="s">
        <v>647</v>
      </c>
      <c r="C15" s="53">
        <f ca="1">ROUND(C14*F15,0)</f>
        <v>262</v>
      </c>
      <c r="D15" s="804" t="s">
        <v>1747</v>
      </c>
      <c r="E15" s="804" t="s">
        <v>1748</v>
      </c>
      <c r="F15" s="805">
        <f>'数据-取费表'!B33</f>
        <v>0.03</v>
      </c>
      <c r="G15" s="1591"/>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2" t="s">
        <v>650</v>
      </c>
      <c r="C16" s="53">
        <f ca="1">ROUND(INDIRECT("'数据-取费表'!m"&amp;$G$1)*F16,0)</f>
        <v>0</v>
      </c>
      <c r="D16" s="782" t="s">
        <v>1747</v>
      </c>
      <c r="E16" s="782" t="s">
        <v>1748</v>
      </c>
      <c r="F16" s="807">
        <f ca="1">IF(INDIRECT("'数据-取费表'!c"&amp;$G$1)="住宅",'数据-取费表'!B34,0)</f>
        <v>0</v>
      </c>
      <c r="G16" s="1590"/>
      <c r="H16" s="1827" t="s">
        <v>1749</v>
      </c>
      <c r="I16" s="1825" t="s">
        <v>1750</v>
      </c>
      <c r="J16" s="790">
        <f ca="1">ROUND(J17+J22+J23+J24,0)</f>
        <v>1181</v>
      </c>
      <c r="K16" s="1819" t="s">
        <v>1751</v>
      </c>
      <c r="L16" s="3178"/>
      <c r="M16" s="2489"/>
    </row>
    <row r="17" spans="1:33" s="2062" customFormat="1" ht="18" customHeight="1">
      <c r="A17" s="1646" t="s">
        <v>1888</v>
      </c>
      <c r="B17" s="782" t="s">
        <v>653</v>
      </c>
      <c r="C17" s="53">
        <f ca="1">ROUND(F17*(F43+INDIRECT("'数据-取费表'!S"&amp;$G$1))/10000,0)</f>
        <v>875</v>
      </c>
      <c r="D17" s="782" t="s">
        <v>1752</v>
      </c>
      <c r="E17" s="782" t="s">
        <v>1753</v>
      </c>
      <c r="F17" s="56">
        <f>'数据-取费表'!B35</f>
        <v>200</v>
      </c>
      <c r="G17" s="1591"/>
      <c r="H17" s="1647" t="s">
        <v>1831</v>
      </c>
      <c r="I17" s="782" t="s">
        <v>656</v>
      </c>
      <c r="J17" s="53">
        <f ca="1">ROUND(IF(项目基本情况!B11="自然人",J5*M17,J18+J19+J20),0)</f>
        <v>1003</v>
      </c>
      <c r="K17" s="3176" t="s">
        <v>1754</v>
      </c>
      <c r="L17" s="3175"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131</v>
      </c>
      <c r="D18" s="782" t="s">
        <v>1747</v>
      </c>
      <c r="E18" s="782" t="s">
        <v>1748</v>
      </c>
      <c r="F18" s="807">
        <f>'数据-取费表'!B36</f>
        <v>1.4999999999999999E-2</v>
      </c>
      <c r="G18" s="1591"/>
      <c r="H18" s="1646" t="s">
        <v>1885</v>
      </c>
      <c r="I18" s="782" t="s">
        <v>1756</v>
      </c>
      <c r="J18" s="53">
        <f ca="1">ROUND(J5*M18/1.05,1)</f>
        <v>0</v>
      </c>
      <c r="K18" s="3175" t="s">
        <v>1757</v>
      </c>
      <c r="L18" s="782" t="s">
        <v>1748</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2" t="s">
        <v>662</v>
      </c>
      <c r="C19" s="53">
        <f ca="1">SUM(C14:C18)</f>
        <v>10013</v>
      </c>
      <c r="D19" s="259" t="s">
        <v>1758</v>
      </c>
      <c r="E19" s="3180"/>
      <c r="F19" s="56"/>
      <c r="G19" s="1590"/>
      <c r="H19" s="1646" t="s">
        <v>1886</v>
      </c>
      <c r="I19" s="782" t="s">
        <v>1759</v>
      </c>
      <c r="J19" s="53">
        <f ca="1">IF(K19="按租金收入计税",ROUND(J5*M19,1),ROUND(C29*F33*0.7,1))</f>
        <v>999.5</v>
      </c>
      <c r="K19" s="809" t="s">
        <v>665</v>
      </c>
      <c r="L19" s="782" t="s">
        <v>1748</v>
      </c>
      <c r="M19" s="807">
        <f>IF(K19="按租金收入计税",'数据-取费表'!B51,'数据-取费表'!B50)</f>
        <v>1.2E-2</v>
      </c>
    </row>
    <row r="20" spans="1:33" s="2062" customFormat="1" ht="18" customHeight="1">
      <c r="A20" s="1647" t="s">
        <v>1890</v>
      </c>
      <c r="B20" s="782" t="s">
        <v>666</v>
      </c>
      <c r="C20" s="53">
        <f ca="1">ROUND(C19*F20,0)</f>
        <v>100</v>
      </c>
      <c r="D20" s="810" t="s">
        <v>1760</v>
      </c>
      <c r="E20" s="782" t="s">
        <v>1748</v>
      </c>
      <c r="F20" s="807">
        <f>'数据-取费表'!B37</f>
        <v>0.01</v>
      </c>
      <c r="G20" s="1591"/>
      <c r="H20" s="1649" t="s">
        <v>1881</v>
      </c>
      <c r="I20" s="339" t="s">
        <v>1761</v>
      </c>
      <c r="J20" s="54">
        <f ca="1">ROUND(M20*M21/10000,0)</f>
        <v>3</v>
      </c>
      <c r="K20" s="812" t="s">
        <v>1762</v>
      </c>
      <c r="L20" s="782" t="s">
        <v>1763</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1764</v>
      </c>
      <c r="C21" s="53" t="s">
        <v>1765</v>
      </c>
      <c r="D21" s="810" t="s">
        <v>2299</v>
      </c>
      <c r="E21" s="782" t="s">
        <v>1766</v>
      </c>
      <c r="F21" s="807">
        <f>'数据-取费表'!B38</f>
        <v>0.01</v>
      </c>
      <c r="G21" s="1591"/>
      <c r="H21" s="2504"/>
      <c r="I21" s="791"/>
      <c r="J21" s="69"/>
      <c r="K21" s="814"/>
      <c r="L21" s="782" t="s">
        <v>1767</v>
      </c>
      <c r="M21" s="783">
        <f ca="1">INDIRECT("'数据-取费表'!r"&amp;$G$1)</f>
        <v>21625.22</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1768</v>
      </c>
      <c r="C22" s="53"/>
      <c r="D22" s="2570" t="str">
        <f>IF(F23&lt;=1,"单利计息。","复利计息。")&amp;"建造成本、管理费用、销售费用产生的利息。"</f>
        <v>复利计息。建造成本、管理费用、销售费用产生的利息。</v>
      </c>
      <c r="E22" s="3180"/>
      <c r="F22" s="56"/>
      <c r="G22" s="1590"/>
      <c r="H22" s="1647" t="s">
        <v>1890</v>
      </c>
      <c r="I22" s="782" t="s">
        <v>1769</v>
      </c>
      <c r="J22" s="53">
        <f ca="1">ROUND(J14*M22,0)</f>
        <v>178</v>
      </c>
      <c r="K22" s="3175" t="s">
        <v>1770</v>
      </c>
      <c r="L22" s="782" t="s">
        <v>1748</v>
      </c>
      <c r="M22" s="815">
        <f ca="1">INDIRECT("'数据-取费表'!Ak"&amp;$G$1)</f>
        <v>1.4999999999999999E-2</v>
      </c>
    </row>
    <row r="23" spans="1:33" s="2062" customFormat="1" ht="18" customHeight="1">
      <c r="A23" s="1646" t="s">
        <v>1832</v>
      </c>
      <c r="B23" s="782" t="s">
        <v>2536</v>
      </c>
      <c r="C23" s="53">
        <f ca="1">ROUND(IF('数据-取费表'!B22&lt;=1,(C19+C20)*F24*F23/2,(C19+C20)*(POWER((1+F24),F23/2)-1)),0)</f>
        <v>729</v>
      </c>
      <c r="D23" s="2569" t="str">
        <f>IF(F23&lt;=1,"(建造成本+管理费用)×利率×(建设周期÷2)","(建造成本+管理费用)×((1+利率)^(建设周期÷2)-1)")</f>
        <v>(建造成本+管理费用)×((1+利率)^(建设周期÷2)-1)</v>
      </c>
      <c r="E23" s="782" t="s">
        <v>1771</v>
      </c>
      <c r="F23" s="638">
        <f>'数据-取费表'!B20</f>
        <v>3</v>
      </c>
      <c r="G23" s="1591"/>
      <c r="H23" s="1647" t="s">
        <v>1891</v>
      </c>
      <c r="I23" s="782" t="s">
        <v>679</v>
      </c>
      <c r="J23" s="53">
        <f ca="1">ROUND(J13*M23,0)</f>
        <v>0</v>
      </c>
      <c r="K23" s="3175"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1773</v>
      </c>
      <c r="C24" s="53">
        <f ca="1">ROUND(IF('数据-取费表'!B22&lt;=1,F21*F24*F23/2,F21*(POWER((1+F24),F23/2)-1)),4)</f>
        <v>6.9999999999999999E-4</v>
      </c>
      <c r="D24" s="2569" t="str">
        <f>IF(F23&lt;=1,"销售费用×利率×(建设周期÷2)","销售费用×((1+利率)^(建设周期÷2)-1)")</f>
        <v>销售费用×((1+利率)^(建设周期÷2)-1)</v>
      </c>
      <c r="E24" s="782" t="s">
        <v>1774</v>
      </c>
      <c r="F24" s="817">
        <f ca="1">'数据-取费表'!B40</f>
        <v>4.7500000000000001E-2</v>
      </c>
      <c r="G24" s="1591"/>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1776</v>
      </c>
      <c r="E25" s="3180"/>
      <c r="F25" s="56"/>
      <c r="G25" s="1590"/>
      <c r="H25" s="1827" t="s">
        <v>1777</v>
      </c>
      <c r="I25" s="3007" t="s">
        <v>2823</v>
      </c>
      <c r="J25" s="790">
        <f ca="1">J5-J16</f>
        <v>-1181</v>
      </c>
      <c r="K25" s="2546" t="s">
        <v>1778</v>
      </c>
      <c r="L25" s="2547"/>
      <c r="M25" s="2548"/>
    </row>
    <row r="26" spans="1:33" ht="18" customHeight="1">
      <c r="A26" s="1646" t="s">
        <v>1832</v>
      </c>
      <c r="B26" s="782" t="s">
        <v>2439</v>
      </c>
      <c r="C26" s="53">
        <f ca="1">ROUND((C19+C20)*F26,0)</f>
        <v>303</v>
      </c>
      <c r="D26" s="810" t="s">
        <v>1779</v>
      </c>
      <c r="E26" s="793" t="s">
        <v>1780</v>
      </c>
      <c r="F26" s="792">
        <f ca="1">INDIRECT("'数据-取费表'!q"&amp;$G$1)</f>
        <v>0.03</v>
      </c>
      <c r="G26" s="1590"/>
      <c r="H26" s="2500" t="s">
        <v>1781</v>
      </c>
      <c r="I26" s="2230" t="s">
        <v>2828</v>
      </c>
      <c r="J26" s="781">
        <f ca="1">IF(J5&lt;&gt;0,ROUND(J25*(1-((1+M28)/(1+M26))^M27)/(M26-M28),0),0)</f>
        <v>0</v>
      </c>
      <c r="K26" s="812" t="s">
        <v>1782</v>
      </c>
      <c r="L26" s="782" t="s">
        <v>2420</v>
      </c>
      <c r="M26" s="792">
        <f ca="1">INDIRECT("'数据-取费表'!I"&amp;$G$1)</f>
        <v>0.05</v>
      </c>
    </row>
    <row r="27" spans="1:33" ht="18" customHeight="1">
      <c r="A27" s="1646" t="s">
        <v>1833</v>
      </c>
      <c r="B27" s="782" t="s">
        <v>686</v>
      </c>
      <c r="C27" s="53">
        <f ca="1">ROUND(F21*F26,4)</f>
        <v>2.9999999999999997E-4</v>
      </c>
      <c r="D27" s="810" t="s">
        <v>1783</v>
      </c>
      <c r="E27" s="804"/>
      <c r="F27" s="805"/>
      <c r="G27" s="1590"/>
      <c r="H27" s="2501"/>
      <c r="I27" s="785"/>
      <c r="J27" s="786"/>
      <c r="K27" s="819" t="s">
        <v>1784</v>
      </c>
      <c r="L27" s="782" t="s">
        <v>1785</v>
      </c>
      <c r="M27" s="820">
        <f ca="1">INDIRECT("'数据-取费表'!ag"&amp;$G$1)</f>
        <v>0</v>
      </c>
    </row>
    <row r="28" spans="1:33" s="2062" customFormat="1" ht="18" customHeight="1">
      <c r="A28" s="1648" t="s">
        <v>1842</v>
      </c>
      <c r="B28" s="782" t="s">
        <v>687</v>
      </c>
      <c r="C28" s="53">
        <f>ROUND(F28/(1+'数据-取费表'!C42),4)</f>
        <v>5.2400000000000002E-2</v>
      </c>
      <c r="D28" s="810" t="s">
        <v>2300</v>
      </c>
      <c r="E28" s="782" t="s">
        <v>1786</v>
      </c>
      <c r="F28" s="807">
        <f>'数据-取费表'!B41</f>
        <v>5.5000000000000007E-2</v>
      </c>
      <c r="G28" s="1591"/>
      <c r="H28" s="1827"/>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2301</v>
      </c>
      <c r="C29" s="2542">
        <f ca="1">ROUND((C19+C20+C23+C26)/(1-F21-C24-C27-C28),0)</f>
        <v>11899</v>
      </c>
      <c r="D29" s="2543"/>
      <c r="E29" s="2544"/>
      <c r="F29" s="2545"/>
      <c r="G29" s="1591"/>
      <c r="H29" s="821" t="s">
        <v>1788</v>
      </c>
      <c r="I29" s="822" t="s">
        <v>1789</v>
      </c>
      <c r="J29" s="823">
        <f ca="1">ROUND(J26/(1+F40)^F41,0)</f>
        <v>0</v>
      </c>
      <c r="K29" s="824" t="s">
        <v>1790</v>
      </c>
      <c r="L29" s="825"/>
      <c r="M29" s="826">
        <f ca="1">INDIRECT("'数据-取费表'!k"&amp;$G$1)</f>
        <v>39760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318</v>
      </c>
      <c r="D30" s="1819" t="s">
        <v>1792</v>
      </c>
      <c r="E30" s="3178"/>
      <c r="F30" s="2489"/>
      <c r="G30" s="2060"/>
      <c r="H30" s="2063"/>
      <c r="I30" s="2064"/>
      <c r="J30" s="2065"/>
      <c r="K30" s="2066"/>
      <c r="L30" s="2067"/>
      <c r="M30" s="2068"/>
    </row>
    <row r="31" spans="1:33" ht="18" customHeight="1">
      <c r="A31" s="1647" t="s">
        <v>1831</v>
      </c>
      <c r="B31" s="782" t="s">
        <v>656</v>
      </c>
      <c r="C31" s="53">
        <f ca="1">ROUND(IF(项目基本情况!B11="自然人",C5*F31,C32+C33+C34),1)</f>
        <v>114.9</v>
      </c>
      <c r="D31" s="3176" t="s">
        <v>1793</v>
      </c>
      <c r="E31" s="31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1795</v>
      </c>
      <c r="C32" s="53">
        <f ca="1">ROUND(C5*F32/1.05,1)</f>
        <v>33.9</v>
      </c>
      <c r="D32" s="3175" t="s">
        <v>1796</v>
      </c>
      <c r="E32" s="782" t="s">
        <v>1797</v>
      </c>
      <c r="F32" s="807">
        <f>'数据-取费表'!B41</f>
        <v>5.5000000000000007E-2</v>
      </c>
      <c r="G32" s="2060"/>
      <c r="H32" s="2069"/>
      <c r="I32" s="2070"/>
      <c r="J32" s="2071"/>
      <c r="K32" s="2072"/>
      <c r="L32" s="2073"/>
      <c r="M32" s="2074"/>
    </row>
    <row r="33" spans="1:18" ht="18" customHeight="1">
      <c r="A33" s="1646" t="s">
        <v>1833</v>
      </c>
      <c r="B33" s="782" t="s">
        <v>1798</v>
      </c>
      <c r="C33" s="53">
        <f ca="1">IF(D33="按租金收入计税",ROUND(C5*F33,1),IF(D33="按房产原值计税",ROUND(C29*F33*0.7,1),INDIRECT("'数据-取费表'!Aj"&amp;$G$1)))</f>
        <v>77.8</v>
      </c>
      <c r="D33" s="809" t="s">
        <v>3006</v>
      </c>
      <c r="E33" s="782" t="s">
        <v>1797</v>
      </c>
      <c r="F33" s="807">
        <f>IF(D33="按租金收入计税",'数据-取费表'!B51,'数据-取费表'!B50)</f>
        <v>0.12</v>
      </c>
      <c r="G33" s="2060"/>
      <c r="H33" s="2075"/>
      <c r="I33" s="2075"/>
      <c r="J33" s="2075"/>
      <c r="K33" s="2076"/>
      <c r="L33" s="2075"/>
      <c r="M33" s="2075"/>
    </row>
    <row r="34" spans="1:18" ht="18" customHeight="1">
      <c r="A34" s="1649" t="s">
        <v>1834</v>
      </c>
      <c r="B34" s="339" t="s">
        <v>1799</v>
      </c>
      <c r="C34" s="54">
        <f ca="1">ROUND(F34*F35/10000,1)</f>
        <v>3.2</v>
      </c>
      <c r="D34" s="812" t="s">
        <v>1800</v>
      </c>
      <c r="E34" s="782" t="s">
        <v>1801</v>
      </c>
      <c r="F34" s="638">
        <f>'数据-取费表'!B52</f>
        <v>1.5</v>
      </c>
      <c r="G34" s="2060"/>
      <c r="H34" s="2063"/>
      <c r="I34" s="833" t="s">
        <v>1814</v>
      </c>
      <c r="J34" s="834"/>
      <c r="K34" s="2078"/>
      <c r="L34" s="2077"/>
      <c r="M34" s="2077"/>
    </row>
    <row r="35" spans="1:18" ht="18" customHeight="1">
      <c r="A35" s="813"/>
      <c r="B35" s="791"/>
      <c r="C35" s="69"/>
      <c r="D35" s="814"/>
      <c r="E35" s="782" t="s">
        <v>1802</v>
      </c>
      <c r="F35" s="783">
        <f ca="1">INDIRECT("'数据-取费表'!r"&amp;$G$1)</f>
        <v>21625.22</v>
      </c>
      <c r="G35" s="2060"/>
      <c r="H35" s="2063"/>
      <c r="I35" s="835" t="s">
        <v>1815</v>
      </c>
      <c r="J35" s="836">
        <f ca="1">ROUND(C13*J36,0)</f>
        <v>1011</v>
      </c>
      <c r="K35" s="2076"/>
      <c r="L35" s="2075"/>
      <c r="M35" s="2075"/>
    </row>
    <row r="36" spans="1:18" ht="18" customHeight="1">
      <c r="A36" s="1647" t="s">
        <v>1890</v>
      </c>
      <c r="B36" s="782" t="s">
        <v>1803</v>
      </c>
      <c r="C36" s="53">
        <f ca="1">ROUND(C29*F36,1)</f>
        <v>178.5</v>
      </c>
      <c r="D36" s="31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17.8</v>
      </c>
      <c r="D37" s="3175"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6.5</v>
      </c>
      <c r="D38" s="2543" t="s">
        <v>1806</v>
      </c>
      <c r="E38" s="2544" t="s">
        <v>1797</v>
      </c>
      <c r="F38" s="2540">
        <f ca="1">INDIRECT("'数据-取费表'!Am"&amp;$G$1)</f>
        <v>0.01</v>
      </c>
      <c r="G38" s="2060"/>
      <c r="H38" s="2075"/>
      <c r="I38" s="841" t="s">
        <v>1818</v>
      </c>
      <c r="J38" s="842"/>
      <c r="K38" s="2081"/>
      <c r="L38" s="2075"/>
      <c r="M38" s="2075"/>
    </row>
    <row r="39" spans="1:18" ht="24.6" customHeight="1" thickTop="1">
      <c r="A39" s="1827" t="s">
        <v>1895</v>
      </c>
      <c r="B39" s="3007" t="s">
        <v>2823</v>
      </c>
      <c r="C39" s="790">
        <f ca="1">C5-C30</f>
        <v>330</v>
      </c>
      <c r="D39" s="2546" t="s">
        <v>1807</v>
      </c>
      <c r="E39" s="2547"/>
      <c r="F39" s="2548"/>
      <c r="G39" s="2060"/>
      <c r="H39" s="2075"/>
      <c r="I39" s="835" t="s">
        <v>1819</v>
      </c>
      <c r="J39" s="843">
        <f ca="1">ROUND(J35/C39,3)</f>
        <v>3.0640000000000001</v>
      </c>
      <c r="K39" s="2081"/>
      <c r="L39" s="2075"/>
      <c r="M39" s="2075"/>
    </row>
    <row r="40" spans="1:18" ht="18" customHeight="1">
      <c r="A40" s="779" t="s">
        <v>1896</v>
      </c>
      <c r="B40" s="2230" t="s">
        <v>2302</v>
      </c>
      <c r="C40" s="781">
        <f ca="1">ROUND(C39*(1-((1+F42)/(1+F40))^F41)/(F40-F42),0)</f>
        <v>10693</v>
      </c>
      <c r="D40" s="812" t="s">
        <v>1808</v>
      </c>
      <c r="E40" s="782" t="s">
        <v>2420</v>
      </c>
      <c r="F40" s="792">
        <f ca="1">INDIRECT("'数据-取费表'!I"&amp;$G$1)</f>
        <v>0.05</v>
      </c>
      <c r="G40" s="2060"/>
      <c r="H40" s="2060"/>
      <c r="I40" s="835" t="s">
        <v>1820</v>
      </c>
      <c r="J40" s="843">
        <f ca="1">1-J39</f>
        <v>-2.0640000000000001</v>
      </c>
      <c r="K40" s="2081"/>
      <c r="L40" s="2060"/>
      <c r="M40" s="2060"/>
    </row>
    <row r="41" spans="1:18" ht="18" customHeight="1">
      <c r="A41" s="784"/>
      <c r="B41" s="785"/>
      <c r="C41" s="786"/>
      <c r="D41" s="819" t="s">
        <v>1809</v>
      </c>
      <c r="E41" s="782" t="s">
        <v>2959</v>
      </c>
      <c r="F41" s="820">
        <f ca="1">IF(INDIRECT("'数据-取费表'!af"&amp;$G$1)=0,INDIRECT("'数据-取费表'!ae"&amp;$G$1),INDIRECT("'数据-取费表'!af"&amp;$G$1))</f>
        <v>46.26</v>
      </c>
      <c r="G41" s="2060"/>
      <c r="H41" s="1986"/>
      <c r="I41" s="841" t="s">
        <v>1821</v>
      </c>
      <c r="J41" s="844"/>
      <c r="K41" s="2080"/>
      <c r="L41" s="1986"/>
      <c r="M41" s="1986"/>
    </row>
    <row r="42" spans="1:18" ht="18" customHeight="1">
      <c r="A42" s="788"/>
      <c r="B42" s="789"/>
      <c r="C42" s="790"/>
      <c r="D42" s="814"/>
      <c r="E42" s="782" t="s">
        <v>1810</v>
      </c>
      <c r="F42" s="792">
        <f ca="1">INDIRECT("'数据-取费表'!v"&amp;$G$1)</f>
        <v>3.5000000000000003E-2</v>
      </c>
      <c r="G42" s="2060"/>
      <c r="H42" s="1986"/>
      <c r="I42" s="845" t="s">
        <v>1822</v>
      </c>
      <c r="J42" s="843">
        <f ca="1">ROUND(C13/C40,3)</f>
        <v>1.113</v>
      </c>
      <c r="K42" s="2080"/>
      <c r="L42" s="1986"/>
      <c r="M42" s="1986"/>
    </row>
    <row r="43" spans="1:18" ht="18" customHeight="1" thickBot="1">
      <c r="A43" s="821" t="s">
        <v>1788</v>
      </c>
      <c r="B43" s="822" t="s">
        <v>1811</v>
      </c>
      <c r="C43" s="823">
        <f ca="1">ROUND(C40*10000/F43,0)</f>
        <v>2689</v>
      </c>
      <c r="D43" s="824" t="s">
        <v>1812</v>
      </c>
      <c r="E43" s="825" t="s">
        <v>1813</v>
      </c>
      <c r="F43" s="826">
        <f ca="1">INDIRECT("'数据-取费表'!k"&amp;$G$1)</f>
        <v>39760</v>
      </c>
      <c r="G43" s="2060"/>
      <c r="H43" s="1986"/>
      <c r="I43" s="845" t="s">
        <v>1823</v>
      </c>
      <c r="J43" s="846">
        <f ca="1">1-J42</f>
        <v>-0.11299999999999999</v>
      </c>
      <c r="K43" s="2080"/>
      <c r="L43" s="1986"/>
      <c r="M43" s="1986"/>
    </row>
    <row r="44" spans="1:18" s="2057" customFormat="1" ht="18" customHeight="1">
      <c r="A44" s="2083"/>
      <c r="B44" s="2083"/>
      <c r="C44" s="2100">
        <f ca="1">35*C43</f>
        <v>94115</v>
      </c>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-14274</v>
      </c>
      <c r="D46" s="2083"/>
      <c r="E46" s="2083"/>
      <c r="F46" s="2083"/>
      <c r="I46" s="2376" t="s">
        <v>2344</v>
      </c>
      <c r="J46" s="2377"/>
      <c r="K46" s="2378"/>
      <c r="L46" s="3157">
        <f>IF(OR(M47="住宅",D1="土地（套用方法）"),0,IF(L48&gt;J51,L60,J60))</f>
        <v>0</v>
      </c>
      <c r="O46" s="2392" t="s">
        <v>2411</v>
      </c>
      <c r="P46" s="1590"/>
      <c r="Q46" s="1602"/>
      <c r="R46" s="1590"/>
    </row>
    <row r="47" spans="1:18" s="2057" customFormat="1" ht="18" customHeight="1" thickBot="1">
      <c r="A47" s="2370">
        <v>1</v>
      </c>
      <c r="B47" s="2371" t="s">
        <v>635</v>
      </c>
      <c r="C47" s="2572">
        <f ca="1">C48+C52+C54</f>
        <v>0</v>
      </c>
      <c r="D47" s="2083"/>
      <c r="E47" s="2083"/>
      <c r="F47" s="2083"/>
      <c r="I47" s="3147" t="s">
        <v>2345</v>
      </c>
      <c r="J47" s="2379" t="s">
        <v>3007</v>
      </c>
      <c r="K47" s="3154" t="s">
        <v>2350</v>
      </c>
      <c r="L47" s="3158">
        <f ca="1">INDIRECT("'数据-取费表'!d"&amp;$G$1)</f>
        <v>50</v>
      </c>
      <c r="M47" s="1602" t="str">
        <f>IF(ISNUMBER(FIND("住宅",C1)),"住宅","非住宅")</f>
        <v>非住宅</v>
      </c>
      <c r="O47" s="2393" t="s">
        <v>2376</v>
      </c>
      <c r="P47" s="2394" t="s">
        <v>2377</v>
      </c>
      <c r="Q47" s="2395" t="s">
        <v>2378</v>
      </c>
      <c r="R47" s="2394" t="s">
        <v>2379</v>
      </c>
    </row>
    <row r="48" spans="1:18" s="2057" customFormat="1" ht="18" customHeight="1" thickBot="1">
      <c r="A48" s="2640" t="s">
        <v>2538</v>
      </c>
      <c r="B48" s="2641" t="s">
        <v>2539</v>
      </c>
      <c r="C48" s="2372">
        <f ca="1">ROUND(F48*F50*F49*(1-F51)/10000,0)</f>
        <v>0</v>
      </c>
      <c r="D48" s="2373" t="s">
        <v>636</v>
      </c>
      <c r="E48" s="2374" t="s">
        <v>2297</v>
      </c>
      <c r="F48" s="2375"/>
      <c r="G48" s="2088"/>
      <c r="I48" s="3123" t="s">
        <v>2346</v>
      </c>
      <c r="J48" s="2380" t="s">
        <v>2351</v>
      </c>
      <c r="K48" s="3155" t="s">
        <v>2352</v>
      </c>
      <c r="L48" s="1906">
        <f ca="1">INDIRECT("'数据-取费表'!f"&amp;$G$1)</f>
        <v>49.26</v>
      </c>
      <c r="O48" s="2396" t="s">
        <v>2380</v>
      </c>
      <c r="P48" s="2397" t="s">
        <v>2406</v>
      </c>
      <c r="Q48" s="2398">
        <f ca="1">C40+J29</f>
        <v>10693</v>
      </c>
      <c r="R48" s="2397" t="s">
        <v>2381</v>
      </c>
    </row>
    <row r="49" spans="1:18" s="2057" customFormat="1" ht="18" customHeight="1" thickBot="1">
      <c r="A49" s="784"/>
      <c r="B49" s="785"/>
      <c r="C49" s="786"/>
      <c r="D49" s="787"/>
      <c r="E49" s="782" t="s">
        <v>1740</v>
      </c>
      <c r="F49" s="783">
        <f ca="1">F7</f>
        <v>1136</v>
      </c>
      <c r="G49" s="2088"/>
      <c r="H49" s="2091"/>
      <c r="I49" s="3123" t="s">
        <v>2347</v>
      </c>
      <c r="J49" s="2381"/>
      <c r="K49" s="3156" t="s">
        <v>2353</v>
      </c>
      <c r="L49" s="2382"/>
      <c r="O49" s="2396" t="s">
        <v>2382</v>
      </c>
      <c r="P49" s="2397" t="s">
        <v>2407</v>
      </c>
      <c r="Q49" s="2398" t="str">
        <f ca="1">J60</f>
        <v>0</v>
      </c>
      <c r="R49" s="2397" t="s">
        <v>2383</v>
      </c>
    </row>
    <row r="50" spans="1:18" s="2057" customFormat="1" ht="18" customHeight="1" thickBot="1">
      <c r="A50" s="784"/>
      <c r="B50" s="785"/>
      <c r="C50" s="786"/>
      <c r="D50" s="787"/>
      <c r="E50" s="782" t="s">
        <v>1741</v>
      </c>
      <c r="F50" s="783">
        <f ca="1">F8</f>
        <v>12</v>
      </c>
      <c r="G50" s="2093"/>
      <c r="H50" s="2091"/>
      <c r="I50" s="3123" t="s">
        <v>2348</v>
      </c>
      <c r="J50" s="3151">
        <f>SUMPRODUCT((I63:I65=J47)*(J62:L62=J48)*(J63:L65))</f>
        <v>60</v>
      </c>
      <c r="K50" s="3156" t="s">
        <v>2354</v>
      </c>
      <c r="L50" s="2382"/>
      <c r="O50" s="2399" t="s">
        <v>2384</v>
      </c>
      <c r="P50" s="2397" t="s">
        <v>2408</v>
      </c>
      <c r="Q50" s="2398">
        <f ca="1">C29</f>
        <v>11899</v>
      </c>
      <c r="R50" s="2397" t="s">
        <v>2381</v>
      </c>
    </row>
    <row r="51" spans="1:18" s="2057" customFormat="1" ht="18" customHeight="1" thickBot="1">
      <c r="A51" s="784"/>
      <c r="B51" s="785"/>
      <c r="C51" s="786"/>
      <c r="D51" s="787"/>
      <c r="E51" s="782" t="s">
        <v>640</v>
      </c>
      <c r="F51" s="2369"/>
      <c r="H51" s="2091"/>
      <c r="I51" s="3148" t="s">
        <v>2349</v>
      </c>
      <c r="J51" s="3152">
        <f>IF(J49="",J50,J49+J50-YEAR('数据-取费表'!B2))</f>
        <v>60</v>
      </c>
      <c r="K51" s="3123" t="s">
        <v>2355</v>
      </c>
      <c r="L51" s="3159">
        <f ca="1">ROUND(-PV(INDIRECT("'数据-取费表'!h"&amp;$G$1),L48,(C39-C13*J36),0),0)</f>
        <v>-13411</v>
      </c>
      <c r="O51" s="2399" t="s">
        <v>2385</v>
      </c>
      <c r="P51" s="2397" t="s">
        <v>2386</v>
      </c>
      <c r="Q51" s="2400" t="e">
        <f ca="1">J58</f>
        <v>#VALUE!</v>
      </c>
      <c r="R51" s="2401"/>
    </row>
    <row r="52" spans="1:18" s="2057" customFormat="1" ht="18" customHeight="1" thickBot="1">
      <c r="A52" s="779" t="s">
        <v>2537</v>
      </c>
      <c r="B52" s="2492" t="s">
        <v>2460</v>
      </c>
      <c r="C52" s="797">
        <f ca="1">ROUND(IF(F52="押一",C48/12*F11,IF(F52="押二",C48/12*2*F11,IF(F52="押三",C48/12*3*F11,C53*F11))),0)</f>
        <v>0</v>
      </c>
      <c r="D52" s="2499" t="s">
        <v>2970</v>
      </c>
      <c r="E52" s="2496" t="s">
        <v>2465</v>
      </c>
      <c r="F52" s="2619"/>
      <c r="I52" s="3149" t="s">
        <v>2422</v>
      </c>
      <c r="J52" s="2383">
        <v>0.09</v>
      </c>
      <c r="K52" s="3149" t="s">
        <v>2421</v>
      </c>
      <c r="L52" s="2383">
        <v>4.4999999999999998E-2</v>
      </c>
      <c r="O52" s="2399" t="s">
        <v>2387</v>
      </c>
      <c r="P52" s="2397" t="s">
        <v>2388</v>
      </c>
      <c r="Q52" s="2400">
        <f>J52</f>
        <v>0.09</v>
      </c>
      <c r="R52" s="2401"/>
    </row>
    <row r="53" spans="1:18" s="2057" customFormat="1" ht="39.75" customHeight="1" thickBot="1">
      <c r="A53" s="784"/>
      <c r="B53" s="2493" t="s">
        <v>2574</v>
      </c>
      <c r="C53" s="2497"/>
      <c r="D53" s="2499"/>
      <c r="E53" s="2496"/>
      <c r="F53" s="798"/>
      <c r="I53" s="3150" t="s">
        <v>2974</v>
      </c>
      <c r="J53" s="3153">
        <f ca="1">IF(M47="住宅",IF(D1="——",MAX(J51,L48),MAX(J51,L48-'数据-取费表'!B20)),IF(D1="——",MIN(J51,L48),MIN(J51,L48-'数据-取费表'!B20)))</f>
        <v>46.26</v>
      </c>
      <c r="K53" s="3454" t="s">
        <v>2961</v>
      </c>
      <c r="L53" s="3455"/>
      <c r="O53" s="2399" t="s">
        <v>2389</v>
      </c>
      <c r="P53" s="2397" t="s">
        <v>2390</v>
      </c>
      <c r="Q53" s="2398">
        <f ca="1">J53</f>
        <v>46.26</v>
      </c>
      <c r="R53" s="2397" t="s">
        <v>2391</v>
      </c>
    </row>
    <row r="54" spans="1:18" s="2057" customFormat="1" ht="18" customHeight="1" thickBot="1">
      <c r="A54" s="2535" t="s">
        <v>2468</v>
      </c>
      <c r="B54" s="2536" t="s">
        <v>2461</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2392</v>
      </c>
      <c r="P54" s="2397" t="s">
        <v>2409</v>
      </c>
      <c r="Q54" s="2398">
        <f ca="1">Q48+Q49</f>
        <v>10693</v>
      </c>
      <c r="R54" s="2401" t="s">
        <v>2393</v>
      </c>
    </row>
    <row r="55" spans="1:18" s="2057" customFormat="1" ht="18" customHeight="1" thickTop="1" thickBot="1">
      <c r="A55" s="795">
        <v>2</v>
      </c>
      <c r="B55" s="796" t="s">
        <v>644</v>
      </c>
      <c r="C55" s="797">
        <f ca="1">C13</f>
        <v>11899</v>
      </c>
      <c r="D55" s="793"/>
      <c r="E55" s="793"/>
      <c r="F55" s="798"/>
      <c r="I55" s="3162" t="s">
        <v>2356</v>
      </c>
      <c r="J55" s="3098" t="e">
        <f ca="1">ROUND(IF(J47="钢混",J57/J50,1-(1-2%)*(J50-J57)/J50),3)</f>
        <v>#VALUE!</v>
      </c>
      <c r="K55" s="3163" t="s">
        <v>2357</v>
      </c>
      <c r="L55" s="2384"/>
      <c r="O55" s="2402" t="s">
        <v>2412</v>
      </c>
      <c r="P55" s="1590"/>
      <c r="Q55" s="1602"/>
      <c r="R55" s="1590"/>
    </row>
    <row r="56" spans="1:18" s="2057" customFormat="1" ht="42.75" customHeight="1" thickBot="1">
      <c r="A56" s="1648"/>
      <c r="B56" s="2229" t="s">
        <v>2303</v>
      </c>
      <c r="C56" s="53">
        <f ca="1">C29</f>
        <v>11899</v>
      </c>
      <c r="D56" s="3175"/>
      <c r="E56" s="782"/>
      <c r="F56" s="807"/>
      <c r="I56" s="3164" t="s">
        <v>2358</v>
      </c>
      <c r="J56" s="3174" t="s">
        <v>1679</v>
      </c>
      <c r="K56" s="3123" t="s">
        <v>2363</v>
      </c>
      <c r="L56" s="1906" t="str">
        <f ca="1">IF(L48&lt;J51,"——",L48-J51)</f>
        <v>——</v>
      </c>
      <c r="O56" s="2393" t="s">
        <v>2376</v>
      </c>
      <c r="P56" s="2394" t="s">
        <v>2377</v>
      </c>
      <c r="Q56" s="2395" t="s">
        <v>2378</v>
      </c>
      <c r="R56" s="2394" t="s">
        <v>2379</v>
      </c>
    </row>
    <row r="57" spans="1:18" s="2057" customFormat="1" ht="28.5" customHeight="1" thickBot="1">
      <c r="A57" s="795" t="s">
        <v>1749</v>
      </c>
      <c r="B57" s="796" t="s">
        <v>651</v>
      </c>
      <c r="C57" s="797">
        <f ca="1">ROUND(C58+C63+C64+C65,0)</f>
        <v>200</v>
      </c>
      <c r="D57" s="26" t="s">
        <v>1751</v>
      </c>
      <c r="E57" s="3180"/>
      <c r="F57" s="56"/>
      <c r="I57" s="3165" t="s">
        <v>2359</v>
      </c>
      <c r="J57" s="3166" t="str">
        <f ca="1">IF(OR(M47="住宅",J51&lt;L48,J56="是"),"——",J51-L48)</f>
        <v>——</v>
      </c>
      <c r="K57" s="3123" t="s">
        <v>2364</v>
      </c>
      <c r="L57" s="1906" t="str">
        <f ca="1">IF(L48&lt;J51,"——",IF(L55="比较法",L49,IF(L55="基准地价",L50,L51)))</f>
        <v>——</v>
      </c>
      <c r="O57" s="2396" t="s">
        <v>2380</v>
      </c>
      <c r="P57" s="2397" t="s">
        <v>2410</v>
      </c>
      <c r="Q57" s="2398">
        <f ca="1">C40+J29</f>
        <v>10693</v>
      </c>
      <c r="R57" s="2397" t="s">
        <v>2381</v>
      </c>
    </row>
    <row r="58" spans="1:18" s="2057" customFormat="1" ht="28.5" customHeight="1" thickBot="1">
      <c r="A58" s="1647" t="s">
        <v>1825</v>
      </c>
      <c r="B58" s="782" t="s">
        <v>656</v>
      </c>
      <c r="C58" s="53">
        <f ca="1">ROUND(IF(项目基本情况!B11="自然人",C47*F58,C59+C60+C61),1)</f>
        <v>3.2</v>
      </c>
      <c r="D58" s="3176" t="s">
        <v>657</v>
      </c>
      <c r="E58" s="3175" t="s">
        <v>690</v>
      </c>
      <c r="F58" s="808" t="str">
        <f ca="1">IF(项目基本情况!B11="企业","",IF(INDIRECT("'数据-取费表'!c"&amp;$G$1)="住宅",5%,IF(F48*F49*F50/12/(1+'数据-取费表'!C42)&gt;20000,12%,7%)))</f>
        <v/>
      </c>
      <c r="I58" s="3165" t="s">
        <v>2360</v>
      </c>
      <c r="J58" s="3099" t="e">
        <f ca="1">IF(J55&lt;0.4,0.4,J55)</f>
        <v>#VALUE!</v>
      </c>
      <c r="K58" s="3123" t="s">
        <v>2365</v>
      </c>
      <c r="L58" s="1906">
        <f ca="1">ROUND(POWER(1+L52,L47-L48)*(POWER(1+L52,L48)-1)/(POWER(1+L52,L47)-1),4)</f>
        <v>0.99590000000000001</v>
      </c>
      <c r="O58" s="2396" t="s">
        <v>2382</v>
      </c>
      <c r="P58" s="2397" t="s">
        <v>2413</v>
      </c>
      <c r="Q58" s="2398">
        <f ca="1">L60</f>
        <v>0</v>
      </c>
      <c r="R58" s="2401" t="s">
        <v>2415</v>
      </c>
    </row>
    <row r="59" spans="1:18" s="2057" customFormat="1" ht="28.5" customHeight="1" thickBot="1">
      <c r="A59" s="1646" t="s">
        <v>1832</v>
      </c>
      <c r="B59" s="782" t="s">
        <v>660</v>
      </c>
      <c r="C59" s="53">
        <f ca="1">ROUND(C47*F59/1.05,1)</f>
        <v>0</v>
      </c>
      <c r="D59" s="3175" t="s">
        <v>1757</v>
      </c>
      <c r="E59" s="782" t="s">
        <v>1748</v>
      </c>
      <c r="F59" s="807">
        <f t="shared" ref="F59:F65" si="0">F32</f>
        <v>5.5000000000000007E-2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6">
        <f ca="1">ROUND(IF(D1="土地（套用方法）",POWER(1+L52,L47-(J51+'数据-取费表'!B20))*(POWER(1+L52,(J51+'数据-取费表'!B20))-1)/(POWER(1+L52,L47)-1),POWER(1+L52,L47-J51)*(POWER(1+L52,J51)-1)/(POWER(1+L52,L47)-1)),4)</f>
        <v>1.0542</v>
      </c>
      <c r="O59" s="2399" t="s">
        <v>2384</v>
      </c>
      <c r="P59" s="2397" t="s">
        <v>2414</v>
      </c>
      <c r="Q59" s="2398">
        <f>IF(L55="比较法",L49,IF(L55="基准地价",L50,0))</f>
        <v>0</v>
      </c>
      <c r="R59" s="2397" t="s">
        <v>2381</v>
      </c>
    </row>
    <row r="60" spans="1:18" s="2057" customFormat="1" ht="18" customHeight="1" thickBot="1">
      <c r="A60" s="1646" t="s">
        <v>1833</v>
      </c>
      <c r="B60" s="782" t="s">
        <v>1759</v>
      </c>
      <c r="C60" s="53">
        <f ca="1">IF(D60="按租金收入计税",ROUND(C47*F60,1),IF(D60="按房产原值计税",ROUND(C56*F60*0.7,1),INDIRECT("'数据-取费表'!Aj"&amp;$G$1)))</f>
        <v>0</v>
      </c>
      <c r="D60" s="3175"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9" t="s">
        <v>2385</v>
      </c>
      <c r="P60" s="2397" t="s">
        <v>2394</v>
      </c>
      <c r="Q60" s="2400">
        <f>L52</f>
        <v>4.4999999999999998E-2</v>
      </c>
      <c r="R60" s="2401"/>
    </row>
    <row r="61" spans="1:18" s="2057" customFormat="1" ht="18" customHeight="1" thickBot="1">
      <c r="A61" s="1649" t="s">
        <v>1834</v>
      </c>
      <c r="B61" s="339" t="s">
        <v>668</v>
      </c>
      <c r="C61" s="54">
        <f ca="1">ROUND(F61*F62/10000,1)</f>
        <v>3.2</v>
      </c>
      <c r="D61" s="812" t="s">
        <v>669</v>
      </c>
      <c r="E61" s="782" t="s">
        <v>670</v>
      </c>
      <c r="F61" s="638">
        <f t="shared" si="0"/>
        <v>1.5</v>
      </c>
      <c r="K61" s="2084"/>
      <c r="O61" s="2399" t="s">
        <v>2387</v>
      </c>
      <c r="P61" s="2397" t="s">
        <v>2395</v>
      </c>
      <c r="Q61" s="2398">
        <f ca="1">L58</f>
        <v>0.99590000000000001</v>
      </c>
      <c r="R61" s="2401" t="s">
        <v>2396</v>
      </c>
    </row>
    <row r="62" spans="1:18" s="2057" customFormat="1" ht="15.75" thickBot="1">
      <c r="A62" s="813"/>
      <c r="B62" s="791"/>
      <c r="C62" s="69"/>
      <c r="D62" s="814"/>
      <c r="E62" s="782" t="s">
        <v>674</v>
      </c>
      <c r="F62" s="783">
        <f t="shared" ca="1" si="0"/>
        <v>21625.22</v>
      </c>
      <c r="I62" s="3170" t="s">
        <v>2368</v>
      </c>
      <c r="J62" s="3171" t="s">
        <v>2369</v>
      </c>
      <c r="K62" s="3171" t="s">
        <v>2370</v>
      </c>
      <c r="L62" s="3171" t="s">
        <v>2351</v>
      </c>
      <c r="M62" s="3172" t="s">
        <v>2937</v>
      </c>
      <c r="O62" s="2399" t="s">
        <v>2389</v>
      </c>
      <c r="P62" s="2397" t="str">
        <f>K59</f>
        <v>建设期及建筑物耐用年限下的土地年期修正系数Kn</v>
      </c>
      <c r="Q62" s="2398">
        <f ca="1">L59</f>
        <v>1.0542</v>
      </c>
      <c r="R62" s="2401" t="s">
        <v>2398</v>
      </c>
    </row>
    <row r="63" spans="1:18" s="2057" customFormat="1" ht="15.75" thickBot="1">
      <c r="A63" s="1647" t="s">
        <v>1890</v>
      </c>
      <c r="B63" s="782" t="s">
        <v>676</v>
      </c>
      <c r="C63" s="53">
        <f ca="1">ROUND(C56*F63,1)</f>
        <v>178.5</v>
      </c>
      <c r="D63" s="3175" t="s">
        <v>1804</v>
      </c>
      <c r="E63" s="782" t="s">
        <v>1748</v>
      </c>
      <c r="F63" s="815">
        <f t="shared" ca="1" si="0"/>
        <v>1.4999999999999999E-2</v>
      </c>
      <c r="I63" s="3170" t="s">
        <v>2371</v>
      </c>
      <c r="J63" s="3171">
        <v>70</v>
      </c>
      <c r="K63" s="3171">
        <v>50</v>
      </c>
      <c r="L63" s="3171">
        <v>80</v>
      </c>
      <c r="M63" s="3173">
        <v>0.02</v>
      </c>
      <c r="O63" s="2396" t="s">
        <v>2392</v>
      </c>
      <c r="P63" s="2397" t="s">
        <v>2409</v>
      </c>
      <c r="Q63" s="2398">
        <f ca="1">Q57+Q58</f>
        <v>10693</v>
      </c>
      <c r="R63" s="2401" t="s">
        <v>2393</v>
      </c>
    </row>
    <row r="64" spans="1:18" s="2057" customFormat="1" ht="16.5" thickBot="1">
      <c r="A64" s="1647" t="s">
        <v>1891</v>
      </c>
      <c r="B64" s="782" t="s">
        <v>679</v>
      </c>
      <c r="C64" s="53">
        <f ca="1">ROUND(C55*F64,1)</f>
        <v>17.8</v>
      </c>
      <c r="D64" s="3175" t="s">
        <v>680</v>
      </c>
      <c r="E64" s="782" t="s">
        <v>1748</v>
      </c>
      <c r="F64" s="816">
        <f t="shared" ca="1" si="0"/>
        <v>1.5E-3</v>
      </c>
      <c r="I64" s="3170" t="s">
        <v>2372</v>
      </c>
      <c r="J64" s="3171">
        <v>50</v>
      </c>
      <c r="K64" s="3171">
        <v>35</v>
      </c>
      <c r="L64" s="3171">
        <v>60</v>
      </c>
      <c r="M64" s="844">
        <v>0</v>
      </c>
      <c r="O64" s="2402" t="s">
        <v>2416</v>
      </c>
      <c r="P64" s="1590"/>
      <c r="Q64" s="1602"/>
      <c r="R64" s="1590"/>
    </row>
    <row r="65" spans="1:18" s="2057" customFormat="1" ht="15.75" thickBot="1">
      <c r="A65" s="1647" t="s">
        <v>1892</v>
      </c>
      <c r="B65" s="782" t="s">
        <v>666</v>
      </c>
      <c r="C65" s="53">
        <f ca="1">ROUND(C47*F65,1)</f>
        <v>0</v>
      </c>
      <c r="D65" s="3175" t="s">
        <v>683</v>
      </c>
      <c r="E65" s="782" t="s">
        <v>1748</v>
      </c>
      <c r="F65" s="792">
        <f t="shared" ca="1" si="0"/>
        <v>0.01</v>
      </c>
      <c r="I65" s="3170" t="s">
        <v>2373</v>
      </c>
      <c r="J65" s="3171">
        <v>40</v>
      </c>
      <c r="K65" s="3171">
        <v>30</v>
      </c>
      <c r="L65" s="3171">
        <v>50</v>
      </c>
      <c r="M65" s="3173">
        <v>0.02</v>
      </c>
      <c r="O65" s="2393" t="s">
        <v>2376</v>
      </c>
      <c r="P65" s="2394" t="s">
        <v>2377</v>
      </c>
      <c r="Q65" s="2395" t="s">
        <v>2378</v>
      </c>
      <c r="R65" s="2394" t="s">
        <v>2379</v>
      </c>
    </row>
    <row r="66" spans="1:18" s="2057" customFormat="1" ht="24.75" thickBot="1">
      <c r="A66" s="795" t="s">
        <v>1777</v>
      </c>
      <c r="B66" s="3008" t="s">
        <v>2823</v>
      </c>
      <c r="C66" s="797">
        <f ca="1">C47-C57</f>
        <v>-200</v>
      </c>
      <c r="D66" s="3176" t="s">
        <v>700</v>
      </c>
      <c r="E66" s="3179"/>
      <c r="F66" s="818"/>
      <c r="K66" s="2084"/>
      <c r="O66" s="2396" t="s">
        <v>2380</v>
      </c>
      <c r="P66" s="2397" t="s">
        <v>2410</v>
      </c>
      <c r="Q66" s="2398">
        <f ca="1">C40+J29</f>
        <v>10693</v>
      </c>
      <c r="R66" s="2397" t="s">
        <v>2381</v>
      </c>
    </row>
    <row r="67" spans="1:18" s="2057" customFormat="1" ht="20.25" thickBot="1">
      <c r="A67" s="779" t="s">
        <v>1781</v>
      </c>
      <c r="B67" s="2230" t="s">
        <v>2302</v>
      </c>
      <c r="C67" s="781">
        <f ca="1">ROUND(C66*(1-((1+F69)/(1+F67))^F68)/(F67-F69),0)</f>
        <v>-3581</v>
      </c>
      <c r="D67" s="812" t="s">
        <v>704</v>
      </c>
      <c r="E67" s="782" t="s">
        <v>705</v>
      </c>
      <c r="F67" s="792">
        <f ca="1">F40</f>
        <v>0.05</v>
      </c>
      <c r="K67" s="2084"/>
      <c r="O67" s="2396" t="s">
        <v>2382</v>
      </c>
      <c r="P67" s="2397" t="s">
        <v>2413</v>
      </c>
      <c r="Q67" s="2398">
        <f ca="1">L60</f>
        <v>0</v>
      </c>
      <c r="R67" s="2401" t="s">
        <v>2415</v>
      </c>
    </row>
    <row r="68" spans="1:18" ht="21.75" thickBot="1">
      <c r="A68" s="784"/>
      <c r="B68" s="785"/>
      <c r="C68" s="786"/>
      <c r="D68" s="819" t="s">
        <v>1809</v>
      </c>
      <c r="E68" s="782" t="s">
        <v>1785</v>
      </c>
      <c r="F68" s="820">
        <f ca="1">F41</f>
        <v>46.26</v>
      </c>
      <c r="O68" s="2399" t="s">
        <v>2384</v>
      </c>
      <c r="P68" s="2397" t="s">
        <v>2414</v>
      </c>
      <c r="Q68" s="2403">
        <f ca="1">L51</f>
        <v>-13411</v>
      </c>
      <c r="R68" s="2404" t="s">
        <v>2417</v>
      </c>
    </row>
    <row r="69" spans="1:18" ht="20.25" thickBot="1">
      <c r="A69" s="788"/>
      <c r="B69" s="789"/>
      <c r="C69" s="790"/>
      <c r="D69" s="814"/>
      <c r="E69" s="782" t="s">
        <v>710</v>
      </c>
      <c r="F69" s="2369"/>
      <c r="O69" s="2399" t="s">
        <v>2385</v>
      </c>
      <c r="P69" s="2405" t="s">
        <v>2399</v>
      </c>
      <c r="Q69" s="2398">
        <f ca="1">ROUND(Q70-Q71*Q72,0)</f>
        <v>-681</v>
      </c>
      <c r="R69" s="2401"/>
    </row>
    <row r="70" spans="1:18" ht="15.75" thickBot="1">
      <c r="A70" s="821" t="s">
        <v>1788</v>
      </c>
      <c r="B70" s="822" t="s">
        <v>1811</v>
      </c>
      <c r="C70" s="823">
        <f ca="1">ROUND(C67*10000/F70,0)</f>
        <v>-901</v>
      </c>
      <c r="D70" s="824" t="s">
        <v>1812</v>
      </c>
      <c r="E70" s="825" t="s">
        <v>1813</v>
      </c>
      <c r="F70" s="826">
        <f ca="1">F43</f>
        <v>39760</v>
      </c>
      <c r="O70" s="2399" t="s">
        <v>2400</v>
      </c>
      <c r="P70" s="2405" t="s">
        <v>2401</v>
      </c>
      <c r="Q70" s="2398">
        <f ca="1">C39</f>
        <v>330</v>
      </c>
      <c r="R70" s="2397" t="s">
        <v>2381</v>
      </c>
    </row>
    <row r="71" spans="1:18" ht="15.75" thickBot="1">
      <c r="O71" s="2399" t="s">
        <v>2402</v>
      </c>
      <c r="P71" s="2405" t="s">
        <v>2403</v>
      </c>
      <c r="Q71" s="2398">
        <f ca="1">C13</f>
        <v>11899</v>
      </c>
      <c r="R71" s="2397" t="s">
        <v>2381</v>
      </c>
    </row>
    <row r="72" spans="1:18" ht="15.75" thickBot="1">
      <c r="O72" s="2399" t="s">
        <v>2404</v>
      </c>
      <c r="P72" s="2405" t="s">
        <v>2405</v>
      </c>
      <c r="Q72" s="2400">
        <f ca="1">J36</f>
        <v>8.5000000000000006E-2</v>
      </c>
      <c r="R72" s="2401"/>
    </row>
    <row r="73" spans="1:18" ht="15.75" thickBot="1">
      <c r="O73" s="2399" t="s">
        <v>2387</v>
      </c>
      <c r="P73" s="2397" t="s">
        <v>2394</v>
      </c>
      <c r="Q73" s="2400">
        <f>L52</f>
        <v>4.4999999999999998E-2</v>
      </c>
      <c r="R73" s="2401"/>
    </row>
    <row r="74" spans="1:18" ht="20.25" thickBot="1">
      <c r="O74" s="2399" t="s">
        <v>2389</v>
      </c>
      <c r="P74" s="2397" t="s">
        <v>2395</v>
      </c>
      <c r="Q74" s="2398">
        <f ca="1">L58</f>
        <v>0.99590000000000001</v>
      </c>
      <c r="R74" s="2401" t="s">
        <v>2396</v>
      </c>
    </row>
    <row r="75" spans="1:18" ht="15.75" thickBot="1">
      <c r="O75" s="2399" t="s">
        <v>2418</v>
      </c>
      <c r="P75" s="2397" t="str">
        <f>K59</f>
        <v>建设期及建筑物耐用年限下的土地年期修正系数Kn</v>
      </c>
      <c r="Q75" s="2398">
        <f ca="1">L59</f>
        <v>1.0542</v>
      </c>
      <c r="R75" s="2401" t="s">
        <v>2398</v>
      </c>
    </row>
    <row r="76" spans="1:18" ht="15.75" thickBot="1">
      <c r="O76" s="2396" t="s">
        <v>2392</v>
      </c>
      <c r="P76" s="2397" t="s">
        <v>2409</v>
      </c>
      <c r="Q76" s="2398">
        <f ca="1">Q66+Q67</f>
        <v>10693</v>
      </c>
      <c r="R76" s="240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4" sqref="A24"/>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2" t="s">
        <v>2304</v>
      </c>
      <c r="C1" s="3487" t="s">
        <v>2305</v>
      </c>
      <c r="D1" s="3488"/>
      <c r="E1" s="3488"/>
      <c r="F1" s="3488"/>
      <c r="G1" s="3488"/>
      <c r="H1" s="3488"/>
      <c r="I1" s="3488"/>
      <c r="J1" s="3488"/>
      <c r="K1" s="3488"/>
      <c r="L1" s="3488"/>
      <c r="M1" s="3488"/>
      <c r="N1" s="3488"/>
      <c r="O1" s="3488"/>
      <c r="P1" s="3488"/>
      <c r="Q1" s="3488"/>
      <c r="R1" s="3488"/>
      <c r="S1" s="3489"/>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6" t="s">
        <v>2921</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8" t="s">
        <v>2920</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8" t="s">
        <v>2919</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7"/>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6" t="s">
        <v>2934</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6" t="s">
        <v>2918</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6" t="s">
        <v>2917</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484" t="s">
        <v>20</v>
      </c>
      <c r="D22" s="3485"/>
      <c r="E22" s="3485"/>
      <c r="F22" s="3485"/>
      <c r="G22" s="3485"/>
      <c r="H22" s="3485"/>
      <c r="I22" s="3485"/>
      <c r="J22" s="3485"/>
      <c r="K22" s="3485"/>
      <c r="L22" s="3485"/>
      <c r="M22" s="3485"/>
      <c r="N22" s="3485"/>
      <c r="O22" s="3485"/>
      <c r="P22" s="3485"/>
      <c r="Q22" s="3486"/>
      <c r="R22" s="488"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2789</v>
      </c>
      <c r="C1" s="3001">
        <f>项目基本情况!D3</f>
        <v>43327</v>
      </c>
      <c r="H1" s="2935">
        <f>IF(C1&gt;C13,0,MATCH(C1,C$13:C$100,-1))+IF(SUMIF(C13:C100,C1,D13:D100)=0,13,12)</f>
        <v>13</v>
      </c>
      <c r="I1" s="2935">
        <f ca="1">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2820</v>
      </c>
      <c r="C2" s="3002">
        <f>'数据-取费表'!B22</f>
        <v>3</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H48" sqref="H4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3065</v>
      </c>
      <c r="D1" s="3122" t="s">
        <v>3005</v>
      </c>
      <c r="E1" s="2385" t="s">
        <v>870</v>
      </c>
      <c r="F1" s="2386">
        <f ca="1">J53</f>
        <v>46.26</v>
      </c>
      <c r="G1" s="772">
        <f>MATCH(C1,'数据-取费表'!A6:A16,0)+5</f>
        <v>10</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467</v>
      </c>
      <c r="B2" s="773">
        <f ca="1">C40+J29+L46</f>
        <v>6966</v>
      </c>
      <c r="C2" s="2055"/>
      <c r="D2" s="2053"/>
      <c r="E2" s="2054"/>
      <c r="F2" s="2054"/>
      <c r="G2" s="1588"/>
      <c r="H2" s="2055"/>
      <c r="I2" s="2055"/>
      <c r="J2" s="2055"/>
      <c r="K2" s="2056"/>
      <c r="L2" s="2055"/>
      <c r="M2" s="2055"/>
    </row>
    <row r="3" spans="1:33" ht="18" customHeight="1" thickBot="1">
      <c r="A3" s="831" t="s">
        <v>519</v>
      </c>
      <c r="B3" s="832">
        <f ca="1">IF(ISERROR(B2*10000/F43),0,ROUND(B2*10000/F43,0))</f>
        <v>6704</v>
      </c>
      <c r="C3" s="2055"/>
      <c r="D3" s="2053"/>
      <c r="E3" s="2054"/>
      <c r="F3" s="2054"/>
      <c r="G3" s="1588"/>
      <c r="H3" s="774" t="s">
        <v>695</v>
      </c>
      <c r="I3" s="1361"/>
      <c r="J3" s="1361"/>
      <c r="K3" s="1589"/>
      <c r="L3" s="1361"/>
      <c r="M3" s="1361"/>
    </row>
    <row r="4" spans="1:33" ht="18" customHeight="1">
      <c r="A4" s="775" t="s">
        <v>630</v>
      </c>
      <c r="B4" s="776" t="s">
        <v>631</v>
      </c>
      <c r="C4" s="776" t="s">
        <v>632</v>
      </c>
      <c r="D4" s="776" t="s">
        <v>633</v>
      </c>
      <c r="E4" s="777" t="s">
        <v>634</v>
      </c>
      <c r="F4" s="778"/>
      <c r="G4" s="1590"/>
      <c r="H4" s="775" t="s">
        <v>630</v>
      </c>
      <c r="I4" s="776" t="s">
        <v>631</v>
      </c>
      <c r="J4" s="776" t="s">
        <v>632</v>
      </c>
      <c r="K4" s="776" t="s">
        <v>633</v>
      </c>
      <c r="L4" s="777" t="s">
        <v>634</v>
      </c>
      <c r="M4" s="778"/>
    </row>
    <row r="5" spans="1:33" ht="18" customHeight="1">
      <c r="A5" s="779">
        <v>1</v>
      </c>
      <c r="B5" s="780" t="s">
        <v>2459</v>
      </c>
      <c r="C5" s="55">
        <f ca="1">C6+C10+C12</f>
        <v>410</v>
      </c>
      <c r="D5" s="2494" t="s">
        <v>2462</v>
      </c>
      <c r="E5" s="2488"/>
      <c r="F5" s="2489"/>
      <c r="G5" s="1590"/>
      <c r="H5" s="779">
        <v>1</v>
      </c>
      <c r="I5" s="780" t="s">
        <v>2459</v>
      </c>
      <c r="J5" s="55">
        <f ca="1">J6+J10+J12</f>
        <v>0</v>
      </c>
      <c r="K5" s="2494" t="s">
        <v>2462</v>
      </c>
      <c r="L5" s="2488"/>
      <c r="M5" s="2489"/>
    </row>
    <row r="6" spans="1:33" ht="18" customHeight="1">
      <c r="A6" s="1828" t="s">
        <v>1825</v>
      </c>
      <c r="B6" s="3438" t="s">
        <v>2464</v>
      </c>
      <c r="C6" s="781">
        <f ca="1">ROUND(F6*F8*F7*(1-F9)/10000,0)</f>
        <v>410</v>
      </c>
      <c r="D6" s="2495" t="s">
        <v>2463</v>
      </c>
      <c r="E6" s="782" t="s">
        <v>637</v>
      </c>
      <c r="F6" s="783">
        <f ca="1">INDIRECT("'数据-取费表'!u"&amp;$G$1)</f>
        <v>1.2</v>
      </c>
      <c r="G6" s="1590"/>
      <c r="H6" s="2502" t="s">
        <v>1825</v>
      </c>
      <c r="I6" s="3438" t="s">
        <v>2464</v>
      </c>
      <c r="J6" s="781">
        <f ca="1">ROUND(M6*M8*M7*(1-M9)/10000,0)</f>
        <v>0</v>
      </c>
      <c r="K6" s="339" t="s">
        <v>636</v>
      </c>
      <c r="L6" s="782" t="s">
        <v>637</v>
      </c>
      <c r="M6" s="783">
        <f ca="1">INDIRECT("'数据-取费表'!z"&amp;$G$1)</f>
        <v>0</v>
      </c>
    </row>
    <row r="7" spans="1:33" ht="18" customHeight="1">
      <c r="A7" s="2498"/>
      <c r="B7" s="3439"/>
      <c r="C7" s="786"/>
      <c r="D7" s="787"/>
      <c r="E7" s="782" t="s">
        <v>638</v>
      </c>
      <c r="F7" s="783">
        <f ca="1">IF(INDIRECT("'数据-取费表'!ah"&amp;$G$1)="",INDIRECT("'数据-取费表'!k"&amp;$G$1),INDIRECT("'数据-取费表'!ah"&amp;$G$1))</f>
        <v>10390.44</v>
      </c>
      <c r="G7" s="1590"/>
      <c r="H7" s="2487"/>
      <c r="I7" s="3439"/>
      <c r="J7" s="786"/>
      <c r="K7" s="787"/>
      <c r="L7" s="782" t="s">
        <v>638</v>
      </c>
      <c r="M7" s="783">
        <f ca="1">F7</f>
        <v>10390.44</v>
      </c>
    </row>
    <row r="8" spans="1:33" ht="18" customHeight="1">
      <c r="A8" s="2491"/>
      <c r="B8" s="3440"/>
      <c r="C8" s="786"/>
      <c r="D8" s="787"/>
      <c r="E8" s="782" t="s">
        <v>639</v>
      </c>
      <c r="F8" s="783">
        <f ca="1">INDIRECT("'数据-取费表'!ai"&amp;$G$1)</f>
        <v>365</v>
      </c>
      <c r="G8" s="1590"/>
      <c r="H8" s="2487"/>
      <c r="I8" s="3440"/>
      <c r="J8" s="786"/>
      <c r="K8" s="787"/>
      <c r="L8" s="782" t="s">
        <v>639</v>
      </c>
      <c r="M8" s="783">
        <f ca="1">INDIRECT("'数据-取费表'!ai"&amp;$G$1)</f>
        <v>365</v>
      </c>
    </row>
    <row r="9" spans="1:33" ht="18" customHeight="1">
      <c r="A9" s="784"/>
      <c r="B9" s="3441"/>
      <c r="C9" s="786"/>
      <c r="D9" s="787"/>
      <c r="E9" s="782" t="s">
        <v>640</v>
      </c>
      <c r="F9" s="792">
        <f ca="1">INDIRECT("'数据-取费表'!w"&amp;$G$1)</f>
        <v>0.1</v>
      </c>
      <c r="G9" s="1590"/>
      <c r="H9" s="2503"/>
      <c r="I9" s="3440"/>
      <c r="J9" s="786"/>
      <c r="K9" s="787"/>
      <c r="L9" s="793" t="s">
        <v>640</v>
      </c>
      <c r="M9" s="794">
        <f ca="1">INDIRECT("'数据-取费表'!ab"&amp;$G$1)</f>
        <v>0</v>
      </c>
    </row>
    <row r="10" spans="1:33" ht="18" customHeight="1">
      <c r="A10" s="1828" t="s">
        <v>1826</v>
      </c>
      <c r="B10" s="2492" t="s">
        <v>2460</v>
      </c>
      <c r="C10" s="797">
        <f ca="1">ROUND(IF(F10="押一",C6/12*F11,IF(F10="押二",C6/12*2*F11,IF(F10="押三",C6/12*3*F11,C11*F11))),0)</f>
        <v>0</v>
      </c>
      <c r="D10" s="2499" t="s">
        <v>2969</v>
      </c>
      <c r="E10" s="2496" t="s">
        <v>2465</v>
      </c>
      <c r="F10" s="2619" t="s">
        <v>3015</v>
      </c>
      <c r="G10" s="1590"/>
      <c r="H10" s="2559" t="s">
        <v>1826</v>
      </c>
      <c r="I10" s="2564" t="s">
        <v>2460</v>
      </c>
      <c r="J10" s="781">
        <f ca="1">ROUND(IF(M10="押一",J6/12*M11,IF(M10="押二",J6/12*2*M11,IF(M10="押三",J6/12*3*M11,J11*M11))),0)</f>
        <v>0</v>
      </c>
      <c r="K10" s="2499" t="s">
        <v>2969</v>
      </c>
      <c r="L10" s="2496" t="s">
        <v>2465</v>
      </c>
      <c r="M10" s="2619"/>
    </row>
    <row r="11" spans="1:33" ht="18" customHeight="1">
      <c r="A11" s="788"/>
      <c r="B11" s="2493" t="s">
        <v>2574</v>
      </c>
      <c r="C11" s="2497"/>
      <c r="D11" s="787"/>
      <c r="E11" s="2496" t="s">
        <v>2457</v>
      </c>
      <c r="F11" s="794">
        <f ca="1">'数据-取费表'!B39</f>
        <v>1.4999999999999999E-2</v>
      </c>
      <c r="G11" s="1590"/>
      <c r="H11" s="2560"/>
      <c r="I11" s="2493" t="s">
        <v>2574</v>
      </c>
      <c r="J11" s="2497"/>
      <c r="K11" s="2561"/>
      <c r="L11" s="2496" t="s">
        <v>2457</v>
      </c>
      <c r="M11" s="2490">
        <f ca="1">'数据-取费表'!B39</f>
        <v>1.4999999999999999E-2</v>
      </c>
    </row>
    <row r="12" spans="1:33" ht="18" customHeight="1" thickBot="1">
      <c r="A12" s="2535" t="s">
        <v>2468</v>
      </c>
      <c r="B12" s="2536" t="s">
        <v>2461</v>
      </c>
      <c r="C12" s="2537"/>
      <c r="D12" s="2538"/>
      <c r="E12" s="2539"/>
      <c r="F12" s="2540"/>
      <c r="G12" s="1590"/>
      <c r="H12" s="2549" t="s">
        <v>2468</v>
      </c>
      <c r="I12" s="2562" t="s">
        <v>2461</v>
      </c>
      <c r="J12" s="2563"/>
      <c r="K12" s="2538"/>
      <c r="L12" s="2539"/>
      <c r="M12" s="2552"/>
    </row>
    <row r="13" spans="1:33" ht="18" customHeight="1" thickTop="1">
      <c r="A13" s="1827">
        <v>2</v>
      </c>
      <c r="B13" s="1825" t="s">
        <v>644</v>
      </c>
      <c r="C13" s="790">
        <f ca="1">ROUND(C29*F13,0)</f>
        <v>3110</v>
      </c>
      <c r="D13" s="1832" t="s">
        <v>2298</v>
      </c>
      <c r="E13" s="1832" t="s">
        <v>643</v>
      </c>
      <c r="F13" s="2534">
        <f ca="1">INDIRECT("'数据-取费表'!y"&amp;$G$1)</f>
        <v>1</v>
      </c>
      <c r="G13" s="1590"/>
      <c r="H13" s="1827">
        <v>2</v>
      </c>
      <c r="I13" s="1825" t="s">
        <v>644</v>
      </c>
      <c r="J13" s="1817">
        <f ca="1">ROUND(J14*J15,0)</f>
        <v>0</v>
      </c>
      <c r="K13" s="1819" t="s">
        <v>642</v>
      </c>
      <c r="L13" s="2550"/>
      <c r="M13" s="2551"/>
    </row>
    <row r="14" spans="1:33" ht="18" customHeight="1">
      <c r="A14" s="1646" t="s">
        <v>1832</v>
      </c>
      <c r="B14" s="782" t="s">
        <v>645</v>
      </c>
      <c r="C14" s="802">
        <f ca="1">INDIRECT("'数据-取费表'!m"&amp;$G$1)+INDIRECT("'数据-取费表'!t"&amp;$G$1)</f>
        <v>2285</v>
      </c>
      <c r="D14" s="3190" t="s">
        <v>646</v>
      </c>
      <c r="E14" s="3189"/>
      <c r="F14" s="803"/>
      <c r="G14" s="1590"/>
      <c r="H14" s="1647" t="s">
        <v>1825</v>
      </c>
      <c r="I14" s="2229" t="s">
        <v>2826</v>
      </c>
      <c r="J14" s="53">
        <f ca="1">C29</f>
        <v>3110</v>
      </c>
      <c r="K14" s="26"/>
      <c r="L14" s="799"/>
      <c r="M14" s="800"/>
    </row>
    <row r="15" spans="1:33" s="2062" customFormat="1" ht="18" customHeight="1" thickBot="1">
      <c r="A15" s="1646" t="s">
        <v>1833</v>
      </c>
      <c r="B15" s="782" t="s">
        <v>647</v>
      </c>
      <c r="C15" s="53">
        <f ca="1">ROUND(C14*F15,0)</f>
        <v>69</v>
      </c>
      <c r="D15" s="804" t="s">
        <v>648</v>
      </c>
      <c r="E15" s="804" t="s">
        <v>649</v>
      </c>
      <c r="F15" s="805">
        <f>'数据-取费表'!B33</f>
        <v>0.03</v>
      </c>
      <c r="G15" s="1591"/>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2" t="s">
        <v>650</v>
      </c>
      <c r="C16" s="53">
        <f ca="1">ROUND(INDIRECT("'数据-取费表'!m"&amp;$G$1)*F16,0)</f>
        <v>0</v>
      </c>
      <c r="D16" s="782" t="s">
        <v>648</v>
      </c>
      <c r="E16" s="782" t="s">
        <v>649</v>
      </c>
      <c r="F16" s="807">
        <f ca="1">IF(INDIRECT("'数据-取费表'!c"&amp;$G$1)="住宅",'数据-取费表'!B34,0)</f>
        <v>0</v>
      </c>
      <c r="G16" s="1590"/>
      <c r="H16" s="1827" t="s">
        <v>1749</v>
      </c>
      <c r="I16" s="1825" t="s">
        <v>651</v>
      </c>
      <c r="J16" s="790">
        <f ca="1">ROUND(J17+J22+J23+J24,0)</f>
        <v>309</v>
      </c>
      <c r="K16" s="1819" t="s">
        <v>652</v>
      </c>
      <c r="L16" s="3192"/>
      <c r="M16" s="2489"/>
    </row>
    <row r="17" spans="1:33" s="2062" customFormat="1" ht="18" customHeight="1">
      <c r="A17" s="1646" t="s">
        <v>1888</v>
      </c>
      <c r="B17" s="782" t="s">
        <v>653</v>
      </c>
      <c r="C17" s="53">
        <f ca="1">ROUND(F17*(F43+INDIRECT("'数据-取费表'!S"&amp;$G$1))/10000,0)</f>
        <v>229</v>
      </c>
      <c r="D17" s="782" t="s">
        <v>654</v>
      </c>
      <c r="E17" s="782" t="s">
        <v>655</v>
      </c>
      <c r="F17" s="56">
        <f>'数据-取费表'!B35</f>
        <v>200</v>
      </c>
      <c r="G17" s="1591"/>
      <c r="H17" s="1647" t="s">
        <v>1825</v>
      </c>
      <c r="I17" s="782" t="s">
        <v>656</v>
      </c>
      <c r="J17" s="53">
        <f ca="1">ROUND(IF(项目基本情况!B11="自然人",J5*M17,J18+J19+J20),0)</f>
        <v>262</v>
      </c>
      <c r="K17" s="3190" t="s">
        <v>657</v>
      </c>
      <c r="L17" s="3191" t="s">
        <v>658</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34</v>
      </c>
      <c r="D18" s="782" t="s">
        <v>648</v>
      </c>
      <c r="E18" s="782" t="s">
        <v>649</v>
      </c>
      <c r="F18" s="807">
        <f>'数据-取费表'!B36</f>
        <v>1.4999999999999999E-2</v>
      </c>
      <c r="G18" s="1591"/>
      <c r="H18" s="1646" t="s">
        <v>1832</v>
      </c>
      <c r="I18" s="782" t="s">
        <v>660</v>
      </c>
      <c r="J18" s="53">
        <f ca="1">ROUND(J5*M18/1.05,1)</f>
        <v>0</v>
      </c>
      <c r="K18" s="3191" t="s">
        <v>661</v>
      </c>
      <c r="L18" s="782" t="s">
        <v>649</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2" t="s">
        <v>662</v>
      </c>
      <c r="C19" s="53">
        <f ca="1">SUM(C14:C18)</f>
        <v>2617</v>
      </c>
      <c r="D19" s="259" t="s">
        <v>663</v>
      </c>
      <c r="E19" s="3193"/>
      <c r="F19" s="56"/>
      <c r="G19" s="1590"/>
      <c r="H19" s="1646" t="s">
        <v>1833</v>
      </c>
      <c r="I19" s="782" t="s">
        <v>664</v>
      </c>
      <c r="J19" s="53">
        <f ca="1">IF(K19="按租金收入计税",ROUND(J5*M19,1),ROUND(C29*F33*0.7,1))</f>
        <v>261.2</v>
      </c>
      <c r="K19" s="809" t="s">
        <v>665</v>
      </c>
      <c r="L19" s="782" t="s">
        <v>649</v>
      </c>
      <c r="M19" s="807">
        <f>IF(K19="按租金收入计税",'数据-取费表'!B51,'数据-取费表'!B50)</f>
        <v>1.2E-2</v>
      </c>
    </row>
    <row r="20" spans="1:33" s="2062" customFormat="1" ht="18" customHeight="1">
      <c r="A20" s="1647" t="s">
        <v>1890</v>
      </c>
      <c r="B20" s="782" t="s">
        <v>666</v>
      </c>
      <c r="C20" s="53">
        <f ca="1">ROUND(C19*F20,0)</f>
        <v>26</v>
      </c>
      <c r="D20" s="810" t="s">
        <v>667</v>
      </c>
      <c r="E20" s="782" t="s">
        <v>649</v>
      </c>
      <c r="F20" s="807">
        <f>'数据-取费表'!B37</f>
        <v>0.01</v>
      </c>
      <c r="G20" s="1591"/>
      <c r="H20" s="1649" t="s">
        <v>1834</v>
      </c>
      <c r="I20" s="339" t="s">
        <v>668</v>
      </c>
      <c r="J20" s="54">
        <f ca="1">ROUND(M20*M21/10000,0)</f>
        <v>1</v>
      </c>
      <c r="K20" s="812" t="s">
        <v>669</v>
      </c>
      <c r="L20" s="782" t="s">
        <v>670</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671</v>
      </c>
      <c r="C21" s="53" t="s">
        <v>1765</v>
      </c>
      <c r="D21" s="810" t="s">
        <v>2299</v>
      </c>
      <c r="E21" s="782" t="s">
        <v>673</v>
      </c>
      <c r="F21" s="807">
        <f>'数据-取费表'!B38</f>
        <v>0.01</v>
      </c>
      <c r="G21" s="1591"/>
      <c r="H21" s="2504"/>
      <c r="I21" s="791"/>
      <c r="J21" s="69"/>
      <c r="K21" s="814"/>
      <c r="L21" s="782" t="s">
        <v>674</v>
      </c>
      <c r="M21" s="783">
        <f ca="1">INDIRECT("'数据-取费表'!r"&amp;$G$1)</f>
        <v>5651.29</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675</v>
      </c>
      <c r="C22" s="53"/>
      <c r="D22" s="2570" t="str">
        <f>IF(F23&lt;=1,"单利计息。","复利计息。")&amp;"建造成本、管理费用、销售费用产生的利息。"</f>
        <v>复利计息。建造成本、管理费用、销售费用产生的利息。</v>
      </c>
      <c r="E22" s="3193"/>
      <c r="F22" s="56"/>
      <c r="G22" s="1590"/>
      <c r="H22" s="1647" t="s">
        <v>1890</v>
      </c>
      <c r="I22" s="782" t="s">
        <v>676</v>
      </c>
      <c r="J22" s="53">
        <f ca="1">ROUND(J14*M22,0)</f>
        <v>47</v>
      </c>
      <c r="K22" s="3191" t="s">
        <v>677</v>
      </c>
      <c r="L22" s="782" t="s">
        <v>649</v>
      </c>
      <c r="M22" s="815">
        <f ca="1">INDIRECT("'数据-取费表'!Ak"&amp;$G$1)</f>
        <v>1.4999999999999999E-2</v>
      </c>
    </row>
    <row r="23" spans="1:33" s="2062" customFormat="1" ht="18" customHeight="1">
      <c r="A23" s="1646" t="s">
        <v>1832</v>
      </c>
      <c r="B23" s="782" t="s">
        <v>2438</v>
      </c>
      <c r="C23" s="53">
        <f ca="1">ROUND(IF('数据-取费表'!B22&lt;=1,(C19+C20)*F24*F23/2,(C19+C20)*(POWER((1+F24),F23/2)-1)),0)</f>
        <v>191</v>
      </c>
      <c r="D23" s="2569" t="str">
        <f>IF(F23&lt;=1,"(建造成本+管理费用)×利率×(建设周期÷2)","(建造成本+管理费用)×((1+利率)^(建设周期÷2)-1)")</f>
        <v>(建造成本+管理费用)×((1+利率)^(建设周期÷2)-1)</v>
      </c>
      <c r="E23" s="782" t="s">
        <v>678</v>
      </c>
      <c r="F23" s="638">
        <f>'数据-取费表'!B20</f>
        <v>3</v>
      </c>
      <c r="G23" s="1591"/>
      <c r="H23" s="1647" t="s">
        <v>1891</v>
      </c>
      <c r="I23" s="782" t="s">
        <v>679</v>
      </c>
      <c r="J23" s="53">
        <f ca="1">ROUND(J13*M23,0)</f>
        <v>0</v>
      </c>
      <c r="K23" s="3191" t="s">
        <v>680</v>
      </c>
      <c r="L23" s="782" t="s">
        <v>649</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681</v>
      </c>
      <c r="C24" s="53">
        <f ca="1">ROUND(IF('数据-取费表'!B22&lt;=1,F21*F24*F23/2,F21*(POWER((1+F24),F23/2)-1)),4)</f>
        <v>6.9999999999999999E-4</v>
      </c>
      <c r="D24" s="2569" t="str">
        <f>IF(F23&lt;=1,"销售费用×利率×(建设周期÷2)","销售费用×((1+利率)^(建设周期÷2)-1)")</f>
        <v>销售费用×((1+利率)^(建设周期÷2)-1)</v>
      </c>
      <c r="E24" s="782" t="s">
        <v>682</v>
      </c>
      <c r="F24" s="817">
        <f ca="1">'数据-取费表'!B40</f>
        <v>4.7500000000000001E-2</v>
      </c>
      <c r="G24" s="1591"/>
      <c r="H24" s="2549" t="s">
        <v>1892</v>
      </c>
      <c r="I24" s="2544" t="s">
        <v>666</v>
      </c>
      <c r="J24" s="2542">
        <f ca="1">ROUND(J5*M24,0)</f>
        <v>0</v>
      </c>
      <c r="K24" s="2543" t="s">
        <v>683</v>
      </c>
      <c r="L24" s="2544" t="s">
        <v>649</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685</v>
      </c>
      <c r="E25" s="3193"/>
      <c r="F25" s="56"/>
      <c r="G25" s="1590"/>
      <c r="H25" s="1827" t="s">
        <v>1777</v>
      </c>
      <c r="I25" s="3007" t="s">
        <v>2823</v>
      </c>
      <c r="J25" s="790">
        <f ca="1">J5-J16</f>
        <v>-309</v>
      </c>
      <c r="K25" s="2546" t="s">
        <v>700</v>
      </c>
      <c r="L25" s="2547"/>
      <c r="M25" s="2548"/>
    </row>
    <row r="26" spans="1:33" ht="18" customHeight="1">
      <c r="A26" s="1646" t="s">
        <v>1832</v>
      </c>
      <c r="B26" s="782" t="s">
        <v>2439</v>
      </c>
      <c r="C26" s="53">
        <f ca="1">ROUND((C19+C20)*F26,0)</f>
        <v>79</v>
      </c>
      <c r="D26" s="810" t="s">
        <v>701</v>
      </c>
      <c r="E26" s="793" t="s">
        <v>702</v>
      </c>
      <c r="F26" s="792">
        <f ca="1">INDIRECT("'数据-取费表'!q"&amp;$G$1)</f>
        <v>0.03</v>
      </c>
      <c r="G26" s="1590"/>
      <c r="H26" s="2500" t="s">
        <v>1781</v>
      </c>
      <c r="I26" s="2230" t="s">
        <v>2828</v>
      </c>
      <c r="J26" s="781">
        <f ca="1">IF(J5&lt;&gt;0,ROUND(J25*(1-((1+M28)/(1+M26))^M27)/(M26-M28),0),0)</f>
        <v>0</v>
      </c>
      <c r="K26" s="812" t="s">
        <v>704</v>
      </c>
      <c r="L26" s="782" t="s">
        <v>2420</v>
      </c>
      <c r="M26" s="792">
        <f ca="1">INDIRECT("'数据-取费表'!I"&amp;$G$1)</f>
        <v>0.05</v>
      </c>
    </row>
    <row r="27" spans="1:33" ht="18" customHeight="1">
      <c r="A27" s="1646" t="s">
        <v>1833</v>
      </c>
      <c r="B27" s="782" t="s">
        <v>686</v>
      </c>
      <c r="C27" s="53">
        <f ca="1">ROUND(F21*F26,4)</f>
        <v>2.9999999999999997E-4</v>
      </c>
      <c r="D27" s="810" t="s">
        <v>706</v>
      </c>
      <c r="E27" s="804"/>
      <c r="F27" s="805"/>
      <c r="G27" s="1590"/>
      <c r="H27" s="2501"/>
      <c r="I27" s="785"/>
      <c r="J27" s="786"/>
      <c r="K27" s="819" t="s">
        <v>707</v>
      </c>
      <c r="L27" s="782" t="s">
        <v>708</v>
      </c>
      <c r="M27" s="820">
        <f ca="1">INDIRECT("'数据-取费表'!ag"&amp;$G$1)</f>
        <v>0</v>
      </c>
    </row>
    <row r="28" spans="1:33" s="2062" customFormat="1" ht="18" customHeight="1">
      <c r="A28" s="1648" t="s">
        <v>1842</v>
      </c>
      <c r="B28" s="782" t="s">
        <v>687</v>
      </c>
      <c r="C28" s="53">
        <f>ROUND(F28/(1+'数据-取费表'!C42),4)</f>
        <v>5.2400000000000002E-2</v>
      </c>
      <c r="D28" s="810" t="s">
        <v>2300</v>
      </c>
      <c r="E28" s="782" t="s">
        <v>649</v>
      </c>
      <c r="F28" s="807">
        <f>'数据-取费表'!B41</f>
        <v>5.5000000000000007E-2</v>
      </c>
      <c r="G28" s="1591"/>
      <c r="H28" s="1827"/>
      <c r="I28" s="789"/>
      <c r="J28" s="790"/>
      <c r="K28" s="814"/>
      <c r="L28" s="782" t="s">
        <v>710</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2301</v>
      </c>
      <c r="C29" s="2542">
        <f ca="1">ROUND((C19+C20+C23+C26)/(1-F21-C24-C27-C28),0)</f>
        <v>3110</v>
      </c>
      <c r="D29" s="2543"/>
      <c r="E29" s="2544"/>
      <c r="F29" s="2545"/>
      <c r="G29" s="1591"/>
      <c r="H29" s="821" t="s">
        <v>1788</v>
      </c>
      <c r="I29" s="822" t="s">
        <v>1789</v>
      </c>
      <c r="J29" s="823">
        <f ca="1">ROUND(J26/(1+F40)^F41,0)</f>
        <v>0</v>
      </c>
      <c r="K29" s="824" t="s">
        <v>688</v>
      </c>
      <c r="L29" s="825"/>
      <c r="M29" s="826">
        <f ca="1">INDIRECT("'数据-取费表'!k"&amp;$G$1)</f>
        <v>10390.44</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651</v>
      </c>
      <c r="C30" s="790">
        <f ca="1">ROUND(C31+C36+C37+C38,0)</f>
        <v>127</v>
      </c>
      <c r="D30" s="1819" t="s">
        <v>652</v>
      </c>
      <c r="E30" s="3192"/>
      <c r="F30" s="2489"/>
      <c r="G30" s="2060"/>
      <c r="H30" s="2063"/>
      <c r="I30" s="2064"/>
      <c r="J30" s="2065"/>
      <c r="K30" s="2066"/>
      <c r="L30" s="2067"/>
      <c r="M30" s="2068"/>
    </row>
    <row r="31" spans="1:33" ht="18" customHeight="1">
      <c r="A31" s="1647" t="s">
        <v>1825</v>
      </c>
      <c r="B31" s="782" t="s">
        <v>656</v>
      </c>
      <c r="C31" s="53">
        <f ca="1">ROUND(IF(项目基本情况!B11="自然人",C5*F31,C32+C33+C34),1)</f>
        <v>71.5</v>
      </c>
      <c r="D31" s="3190" t="s">
        <v>657</v>
      </c>
      <c r="E31" s="3191"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660</v>
      </c>
      <c r="C32" s="53">
        <f ca="1">ROUND(C5*F32/1.05,1)</f>
        <v>21.5</v>
      </c>
      <c r="D32" s="3191" t="s">
        <v>661</v>
      </c>
      <c r="E32" s="782" t="s">
        <v>649</v>
      </c>
      <c r="F32" s="807">
        <f>'数据-取费表'!B41</f>
        <v>5.5000000000000007E-2</v>
      </c>
      <c r="G32" s="2060"/>
      <c r="H32" s="2069"/>
      <c r="I32" s="2070"/>
      <c r="J32" s="2071"/>
      <c r="K32" s="2072"/>
      <c r="L32" s="2073"/>
      <c r="M32" s="2074"/>
    </row>
    <row r="33" spans="1:18" ht="18" customHeight="1">
      <c r="A33" s="1646" t="s">
        <v>1833</v>
      </c>
      <c r="B33" s="782" t="s">
        <v>664</v>
      </c>
      <c r="C33" s="53">
        <f ca="1">IF(D33="按租金收入计税",ROUND(C5*F33,1),IF(D33="按房产原值计税",ROUND(C29*F33*0.7,1),INDIRECT("'数据-取费表'!Aj"&amp;$G$1)))</f>
        <v>49.2</v>
      </c>
      <c r="D33" s="809" t="s">
        <v>3006</v>
      </c>
      <c r="E33" s="782" t="s">
        <v>649</v>
      </c>
      <c r="F33" s="807">
        <f>IF(D33="按租金收入计税",'数据-取费表'!B51,'数据-取费表'!B50)</f>
        <v>0.12</v>
      </c>
      <c r="G33" s="2060"/>
      <c r="H33" s="2075"/>
      <c r="I33" s="2075"/>
      <c r="J33" s="2075"/>
      <c r="K33" s="2076"/>
      <c r="L33" s="2075"/>
      <c r="M33" s="2075"/>
    </row>
    <row r="34" spans="1:18" ht="18" customHeight="1">
      <c r="A34" s="1649" t="s">
        <v>1834</v>
      </c>
      <c r="B34" s="339" t="s">
        <v>668</v>
      </c>
      <c r="C34" s="54">
        <f ca="1">ROUND(F34*F35/10000,1)</f>
        <v>0.8</v>
      </c>
      <c r="D34" s="812" t="s">
        <v>669</v>
      </c>
      <c r="E34" s="782" t="s">
        <v>670</v>
      </c>
      <c r="F34" s="638">
        <f>'数据-取费表'!B52</f>
        <v>1.5</v>
      </c>
      <c r="G34" s="2060"/>
      <c r="H34" s="2063"/>
      <c r="I34" s="833" t="s">
        <v>1814</v>
      </c>
      <c r="J34" s="834"/>
      <c r="K34" s="2078"/>
      <c r="L34" s="2077"/>
      <c r="M34" s="2077"/>
    </row>
    <row r="35" spans="1:18" ht="18" customHeight="1">
      <c r="A35" s="813"/>
      <c r="B35" s="791"/>
      <c r="C35" s="69"/>
      <c r="D35" s="814"/>
      <c r="E35" s="782" t="s">
        <v>674</v>
      </c>
      <c r="F35" s="783">
        <f ca="1">INDIRECT("'数据-取费表'!r"&amp;$G$1)</f>
        <v>5651.29</v>
      </c>
      <c r="G35" s="2060"/>
      <c r="H35" s="2063"/>
      <c r="I35" s="835" t="s">
        <v>1815</v>
      </c>
      <c r="J35" s="836">
        <f ca="1">ROUND(C13*J36,0)</f>
        <v>264</v>
      </c>
      <c r="K35" s="2076"/>
      <c r="L35" s="2075"/>
      <c r="M35" s="2075"/>
    </row>
    <row r="36" spans="1:18" ht="18" customHeight="1">
      <c r="A36" s="1647" t="s">
        <v>1890</v>
      </c>
      <c r="B36" s="782" t="s">
        <v>676</v>
      </c>
      <c r="C36" s="53">
        <f ca="1">ROUND(C29*F36,1)</f>
        <v>46.7</v>
      </c>
      <c r="D36" s="3191" t="s">
        <v>691</v>
      </c>
      <c r="E36" s="782" t="s">
        <v>649</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4.7</v>
      </c>
      <c r="D37" s="3191" t="s">
        <v>680</v>
      </c>
      <c r="E37" s="782" t="s">
        <v>649</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4.0999999999999996</v>
      </c>
      <c r="D38" s="2543" t="s">
        <v>683</v>
      </c>
      <c r="E38" s="2544" t="s">
        <v>649</v>
      </c>
      <c r="F38" s="2540">
        <f ca="1">INDIRECT("'数据-取费表'!Am"&amp;$G$1)</f>
        <v>0.01</v>
      </c>
      <c r="G38" s="2060"/>
      <c r="H38" s="2075"/>
      <c r="I38" s="841" t="s">
        <v>1818</v>
      </c>
      <c r="J38" s="842"/>
      <c r="K38" s="2081"/>
      <c r="L38" s="2075"/>
      <c r="M38" s="2075"/>
    </row>
    <row r="39" spans="1:18" ht="24.6" customHeight="1" thickTop="1">
      <c r="A39" s="1827" t="s">
        <v>1777</v>
      </c>
      <c r="B39" s="3007" t="s">
        <v>2823</v>
      </c>
      <c r="C39" s="790">
        <f ca="1">C5-C30</f>
        <v>283</v>
      </c>
      <c r="D39" s="2546" t="s">
        <v>700</v>
      </c>
      <c r="E39" s="2547"/>
      <c r="F39" s="2548"/>
      <c r="G39" s="2060"/>
      <c r="H39" s="2075"/>
      <c r="I39" s="835" t="s">
        <v>1819</v>
      </c>
      <c r="J39" s="843">
        <f ca="1">ROUND(J35/C39,3)</f>
        <v>0.93300000000000005</v>
      </c>
      <c r="K39" s="2081"/>
      <c r="L39" s="2075"/>
      <c r="M39" s="2075"/>
    </row>
    <row r="40" spans="1:18" ht="18" customHeight="1">
      <c r="A40" s="779" t="s">
        <v>1781</v>
      </c>
      <c r="B40" s="2230" t="s">
        <v>2302</v>
      </c>
      <c r="C40" s="781">
        <f ca="1">ROUND(C39*(1-((1+F42)/(1+F40))^F41)/(F40-F42),0)</f>
        <v>6966</v>
      </c>
      <c r="D40" s="812" t="s">
        <v>704</v>
      </c>
      <c r="E40" s="782" t="s">
        <v>2420</v>
      </c>
      <c r="F40" s="792">
        <f ca="1">INDIRECT("'数据-取费表'!I"&amp;$G$1)</f>
        <v>0.05</v>
      </c>
      <c r="G40" s="2060"/>
      <c r="H40" s="2060"/>
      <c r="I40" s="835" t="s">
        <v>1820</v>
      </c>
      <c r="J40" s="843">
        <f ca="1">1-J39</f>
        <v>6.6999999999999948E-2</v>
      </c>
      <c r="K40" s="2081"/>
      <c r="L40" s="2060"/>
      <c r="M40" s="2060"/>
    </row>
    <row r="41" spans="1:18" ht="18" customHeight="1">
      <c r="A41" s="784"/>
      <c r="B41" s="785"/>
      <c r="C41" s="786"/>
      <c r="D41" s="819" t="s">
        <v>1809</v>
      </c>
      <c r="E41" s="782" t="s">
        <v>708</v>
      </c>
      <c r="F41" s="820">
        <f ca="1">IF(INDIRECT("'数据-取费表'!af"&amp;$G$1)=0,INDIRECT("'数据-取费表'!ae"&amp;$G$1),INDIRECT("'数据-取费表'!af"&amp;$G$1))</f>
        <v>46.26</v>
      </c>
      <c r="G41" s="2060"/>
      <c r="H41" s="1986"/>
      <c r="I41" s="841" t="s">
        <v>1821</v>
      </c>
      <c r="J41" s="844"/>
      <c r="K41" s="2080"/>
      <c r="L41" s="1986"/>
      <c r="M41" s="1986"/>
    </row>
    <row r="42" spans="1:18" ht="18" customHeight="1">
      <c r="A42" s="788"/>
      <c r="B42" s="789"/>
      <c r="C42" s="790"/>
      <c r="D42" s="814"/>
      <c r="E42" s="782" t="s">
        <v>710</v>
      </c>
      <c r="F42" s="792">
        <f ca="1">INDIRECT("'数据-取费表'!v"&amp;$G$1)</f>
        <v>0.02</v>
      </c>
      <c r="G42" s="2060"/>
      <c r="H42" s="1986"/>
      <c r="I42" s="845" t="s">
        <v>1822</v>
      </c>
      <c r="J42" s="843">
        <f ca="1">ROUND(C13/C40,3)</f>
        <v>0.44600000000000001</v>
      </c>
      <c r="K42" s="2080"/>
      <c r="L42" s="1986"/>
      <c r="M42" s="1986"/>
    </row>
    <row r="43" spans="1:18" ht="18" customHeight="1" thickBot="1">
      <c r="A43" s="821" t="s">
        <v>1788</v>
      </c>
      <c r="B43" s="822" t="s">
        <v>1811</v>
      </c>
      <c r="C43" s="823">
        <f ca="1">ROUND(C40*10000/F43,0)</f>
        <v>6704</v>
      </c>
      <c r="D43" s="824" t="s">
        <v>1812</v>
      </c>
      <c r="E43" s="825" t="s">
        <v>1813</v>
      </c>
      <c r="F43" s="826">
        <f ca="1">INDIRECT("'数据-取费表'!k"&amp;$G$1)</f>
        <v>10390.44</v>
      </c>
      <c r="G43" s="2060"/>
      <c r="H43" s="1986"/>
      <c r="I43" s="845" t="s">
        <v>1823</v>
      </c>
      <c r="J43" s="846">
        <f ca="1">1-J42</f>
        <v>0.55400000000000005</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-7897</v>
      </c>
      <c r="D46" s="2083"/>
      <c r="E46" s="2083"/>
      <c r="F46" s="2083"/>
      <c r="I46" s="2376" t="s">
        <v>2344</v>
      </c>
      <c r="J46" s="2377"/>
      <c r="K46" s="2378"/>
      <c r="L46" s="3157">
        <f>IF(OR(M47="住宅",D1="土地（套用方法）"),0,IF(L48&gt;J51,L60,J60))</f>
        <v>0</v>
      </c>
      <c r="O46" s="2392" t="s">
        <v>2411</v>
      </c>
      <c r="P46" s="1590"/>
      <c r="Q46" s="1602"/>
      <c r="R46" s="1590"/>
    </row>
    <row r="47" spans="1:18" s="2057" customFormat="1" ht="18" customHeight="1" thickBot="1">
      <c r="A47" s="2370">
        <v>1</v>
      </c>
      <c r="B47" s="2371" t="s">
        <v>635</v>
      </c>
      <c r="C47" s="2572">
        <f ca="1">C48+C52+C54</f>
        <v>0</v>
      </c>
      <c r="D47" s="2083"/>
      <c r="E47" s="2083"/>
      <c r="F47" s="2083"/>
      <c r="I47" s="3147" t="s">
        <v>2345</v>
      </c>
      <c r="J47" s="2379" t="s">
        <v>3007</v>
      </c>
      <c r="K47" s="3154" t="s">
        <v>2350</v>
      </c>
      <c r="L47" s="3158">
        <f ca="1">INDIRECT("'数据-取费表'!d"&amp;$G$1)</f>
        <v>50</v>
      </c>
      <c r="M47" s="1602" t="str">
        <f>IF(ISNUMBER(FIND("住宅",C1)),"住宅","非住宅")</f>
        <v>非住宅</v>
      </c>
      <c r="O47" s="2393" t="s">
        <v>2376</v>
      </c>
      <c r="P47" s="2394" t="s">
        <v>2377</v>
      </c>
      <c r="Q47" s="2395" t="s">
        <v>2378</v>
      </c>
      <c r="R47" s="2394" t="s">
        <v>2379</v>
      </c>
    </row>
    <row r="48" spans="1:18" s="2057" customFormat="1" ht="18" customHeight="1" thickBot="1">
      <c r="A48" s="2640" t="s">
        <v>1871</v>
      </c>
      <c r="B48" s="2641" t="s">
        <v>2539</v>
      </c>
      <c r="C48" s="2372">
        <f ca="1">ROUND(F48*F50*F49*(1-F51)/10000,0)</f>
        <v>0</v>
      </c>
      <c r="D48" s="2373" t="s">
        <v>636</v>
      </c>
      <c r="E48" s="2374" t="s">
        <v>2297</v>
      </c>
      <c r="F48" s="2375"/>
      <c r="G48" s="2088"/>
      <c r="I48" s="3123" t="s">
        <v>2346</v>
      </c>
      <c r="J48" s="2380" t="s">
        <v>2351</v>
      </c>
      <c r="K48" s="3155" t="s">
        <v>2352</v>
      </c>
      <c r="L48" s="1906">
        <f ca="1">INDIRECT("'数据-取费表'!f"&amp;$G$1)</f>
        <v>49.26</v>
      </c>
      <c r="O48" s="2396" t="s">
        <v>2380</v>
      </c>
      <c r="P48" s="2397" t="s">
        <v>2406</v>
      </c>
      <c r="Q48" s="2398">
        <f ca="1">C40+J29</f>
        <v>6966</v>
      </c>
      <c r="R48" s="2397" t="s">
        <v>2381</v>
      </c>
    </row>
    <row r="49" spans="1:18" s="2057" customFormat="1" ht="18" customHeight="1" thickBot="1">
      <c r="A49" s="784"/>
      <c r="B49" s="785"/>
      <c r="C49" s="786"/>
      <c r="D49" s="787"/>
      <c r="E49" s="782" t="s">
        <v>638</v>
      </c>
      <c r="F49" s="783">
        <f ca="1">F7</f>
        <v>10390.44</v>
      </c>
      <c r="G49" s="2088"/>
      <c r="H49" s="2091"/>
      <c r="I49" s="3123" t="s">
        <v>2347</v>
      </c>
      <c r="J49" s="2381"/>
      <c r="K49" s="3156" t="s">
        <v>2353</v>
      </c>
      <c r="L49" s="2382"/>
      <c r="O49" s="2396" t="s">
        <v>2382</v>
      </c>
      <c r="P49" s="2397" t="s">
        <v>2407</v>
      </c>
      <c r="Q49" s="2398">
        <f ca="1">J60</f>
        <v>23</v>
      </c>
      <c r="R49" s="2397" t="s">
        <v>2383</v>
      </c>
    </row>
    <row r="50" spans="1:18" s="2057" customFormat="1" ht="18" customHeight="1" thickBot="1">
      <c r="A50" s="784"/>
      <c r="B50" s="785"/>
      <c r="C50" s="786"/>
      <c r="D50" s="787"/>
      <c r="E50" s="782" t="s">
        <v>639</v>
      </c>
      <c r="F50" s="783">
        <f ca="1">F8</f>
        <v>365</v>
      </c>
      <c r="G50" s="2093"/>
      <c r="H50" s="2091"/>
      <c r="I50" s="3123" t="s">
        <v>2348</v>
      </c>
      <c r="J50" s="3151">
        <f>SUMPRODUCT((I63:I65=J47)*(J62:L62=J48)*(J63:L65))</f>
        <v>60</v>
      </c>
      <c r="K50" s="3156" t="s">
        <v>2354</v>
      </c>
      <c r="L50" s="2382"/>
      <c r="O50" s="2399" t="s">
        <v>2384</v>
      </c>
      <c r="P50" s="2397" t="s">
        <v>2408</v>
      </c>
      <c r="Q50" s="2398">
        <f ca="1">C29</f>
        <v>3110</v>
      </c>
      <c r="R50" s="2397" t="s">
        <v>2381</v>
      </c>
    </row>
    <row r="51" spans="1:18" s="2057" customFormat="1" ht="18" customHeight="1" thickBot="1">
      <c r="A51" s="784"/>
      <c r="B51" s="785"/>
      <c r="C51" s="786"/>
      <c r="D51" s="787"/>
      <c r="E51" s="782" t="s">
        <v>640</v>
      </c>
      <c r="F51" s="2369"/>
      <c r="H51" s="2091"/>
      <c r="I51" s="3148" t="s">
        <v>2349</v>
      </c>
      <c r="J51" s="3152">
        <f>IF(J49="",J50,J49+J50-YEAR('数据-取费表'!B2))</f>
        <v>60</v>
      </c>
      <c r="K51" s="3123" t="s">
        <v>2355</v>
      </c>
      <c r="L51" s="3159">
        <f ca="1">ROUND(-PV(INDIRECT("'数据-取费表'!h"&amp;$G$1),L48,(C39-C13*J36),0),0)</f>
        <v>367</v>
      </c>
      <c r="O51" s="2399" t="s">
        <v>2385</v>
      </c>
      <c r="P51" s="2397" t="s">
        <v>2386</v>
      </c>
      <c r="Q51" s="2400">
        <f ca="1">J58</f>
        <v>0.4</v>
      </c>
      <c r="R51" s="2401"/>
    </row>
    <row r="52" spans="1:18" s="2057" customFormat="1" ht="18" customHeight="1" thickBot="1">
      <c r="A52" s="779" t="s">
        <v>2537</v>
      </c>
      <c r="B52" s="2492" t="s">
        <v>2460</v>
      </c>
      <c r="C52" s="797">
        <f ca="1">ROUND(IF(F52="押一",C48/12*F11,IF(F52="押二",C48/12*2*F11,IF(F52="押三",C48/12*3*F11,C53*F11))),0)</f>
        <v>0</v>
      </c>
      <c r="D52" s="2499" t="s">
        <v>2969</v>
      </c>
      <c r="E52" s="2496" t="s">
        <v>2465</v>
      </c>
      <c r="F52" s="2619"/>
      <c r="I52" s="3149" t="s">
        <v>2422</v>
      </c>
      <c r="J52" s="2383">
        <v>0.09</v>
      </c>
      <c r="K52" s="3149" t="s">
        <v>2421</v>
      </c>
      <c r="L52" s="2383">
        <v>0.05</v>
      </c>
      <c r="O52" s="2399" t="s">
        <v>2387</v>
      </c>
      <c r="P52" s="2397" t="s">
        <v>2388</v>
      </c>
      <c r="Q52" s="2400">
        <f>J52</f>
        <v>0.09</v>
      </c>
      <c r="R52" s="2401"/>
    </row>
    <row r="53" spans="1:18" s="2057" customFormat="1" ht="39.75" customHeight="1" thickBot="1">
      <c r="A53" s="784"/>
      <c r="B53" s="2493" t="s">
        <v>2574</v>
      </c>
      <c r="C53" s="2497"/>
      <c r="D53" s="2499"/>
      <c r="E53" s="2496"/>
      <c r="F53" s="798"/>
      <c r="I53" s="3150" t="s">
        <v>2974</v>
      </c>
      <c r="J53" s="3153">
        <f ca="1">IF(M47="住宅",IF(D1="——",MAX(J51,L48),MAX(J51,L48-'数据-取费表'!B20)),IF(D1="——",MIN(J51,L48),MIN(J51,L48-'数据-取费表'!B20)))</f>
        <v>46.26</v>
      </c>
      <c r="K53" s="3454" t="s">
        <v>2961</v>
      </c>
      <c r="L53" s="3455"/>
      <c r="O53" s="2399" t="s">
        <v>2389</v>
      </c>
      <c r="P53" s="2397" t="s">
        <v>2390</v>
      </c>
      <c r="Q53" s="2398">
        <f ca="1">J53</f>
        <v>46.26</v>
      </c>
      <c r="R53" s="2397" t="s">
        <v>2391</v>
      </c>
    </row>
    <row r="54" spans="1:18" s="2057" customFormat="1" ht="18" customHeight="1" thickBot="1">
      <c r="A54" s="2535" t="s">
        <v>2468</v>
      </c>
      <c r="B54" s="2536" t="s">
        <v>2461</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2392</v>
      </c>
      <c r="P54" s="2397" t="s">
        <v>2409</v>
      </c>
      <c r="Q54" s="2398">
        <f ca="1">Q48+Q49</f>
        <v>6989</v>
      </c>
      <c r="R54" s="2401" t="s">
        <v>2393</v>
      </c>
    </row>
    <row r="55" spans="1:18" s="2057" customFormat="1" ht="18" customHeight="1" thickTop="1" thickBot="1">
      <c r="A55" s="795">
        <v>2</v>
      </c>
      <c r="B55" s="796" t="s">
        <v>644</v>
      </c>
      <c r="C55" s="797">
        <f ca="1">C13</f>
        <v>3110</v>
      </c>
      <c r="D55" s="793"/>
      <c r="E55" s="793"/>
      <c r="F55" s="798"/>
      <c r="I55" s="3162" t="s">
        <v>2356</v>
      </c>
      <c r="J55" s="3098">
        <f ca="1">ROUND(IF(J47="钢混",J57/J50,1-(1-2%)*(J50-J57)/J50),3)</f>
        <v>0.17899999999999999</v>
      </c>
      <c r="K55" s="3163" t="s">
        <v>2357</v>
      </c>
      <c r="L55" s="2384"/>
      <c r="O55" s="2402" t="s">
        <v>2412</v>
      </c>
      <c r="P55" s="1590"/>
      <c r="Q55" s="1602"/>
      <c r="R55" s="1590"/>
    </row>
    <row r="56" spans="1:18" s="2057" customFormat="1" ht="42.75" customHeight="1" thickBot="1">
      <c r="A56" s="1648"/>
      <c r="B56" s="2229" t="s">
        <v>2301</v>
      </c>
      <c r="C56" s="53">
        <f ca="1">C29</f>
        <v>3110</v>
      </c>
      <c r="D56" s="3191"/>
      <c r="E56" s="782"/>
      <c r="F56" s="807"/>
      <c r="I56" s="3164" t="s">
        <v>2358</v>
      </c>
      <c r="J56" s="3174" t="s">
        <v>2995</v>
      </c>
      <c r="K56" s="3123" t="s">
        <v>2363</v>
      </c>
      <c r="L56" s="1906" t="str">
        <f ca="1">IF(L48&lt;J51,"——",L48-J51)</f>
        <v>——</v>
      </c>
      <c r="O56" s="2393" t="s">
        <v>2376</v>
      </c>
      <c r="P56" s="2394" t="s">
        <v>2377</v>
      </c>
      <c r="Q56" s="2395" t="s">
        <v>2378</v>
      </c>
      <c r="R56" s="2394" t="s">
        <v>2379</v>
      </c>
    </row>
    <row r="57" spans="1:18" s="2057" customFormat="1" ht="28.5" customHeight="1" thickBot="1">
      <c r="A57" s="795" t="s">
        <v>1749</v>
      </c>
      <c r="B57" s="796" t="s">
        <v>651</v>
      </c>
      <c r="C57" s="797">
        <f ca="1">ROUND(C58+C63+C64+C65,0)</f>
        <v>52</v>
      </c>
      <c r="D57" s="26" t="s">
        <v>652</v>
      </c>
      <c r="E57" s="3193"/>
      <c r="F57" s="56"/>
      <c r="I57" s="3165" t="s">
        <v>2359</v>
      </c>
      <c r="J57" s="3166">
        <f ca="1">IF(OR(M47="住宅",J51&lt;L48,J56="是"),"——",J51-L48)</f>
        <v>10.740000000000002</v>
      </c>
      <c r="K57" s="3123" t="s">
        <v>2364</v>
      </c>
      <c r="L57" s="1906" t="str">
        <f ca="1">IF(L48&lt;J51,"——",IF(L55="比较法",L49,IF(L55="基准地价",L50,L51)))</f>
        <v>——</v>
      </c>
      <c r="O57" s="2396" t="s">
        <v>2380</v>
      </c>
      <c r="P57" s="2397" t="s">
        <v>2406</v>
      </c>
      <c r="Q57" s="2398">
        <f ca="1">C40+J29</f>
        <v>6966</v>
      </c>
      <c r="R57" s="2397" t="s">
        <v>2381</v>
      </c>
    </row>
    <row r="58" spans="1:18" s="2057" customFormat="1" ht="28.5" customHeight="1" thickBot="1">
      <c r="A58" s="1647" t="s">
        <v>1825</v>
      </c>
      <c r="B58" s="782" t="s">
        <v>656</v>
      </c>
      <c r="C58" s="53">
        <f ca="1">ROUND(IF(项目基本情况!B11="自然人",C47*F58,C59+C60+C61),1)</f>
        <v>0.8</v>
      </c>
      <c r="D58" s="3190" t="s">
        <v>657</v>
      </c>
      <c r="E58" s="3191" t="s">
        <v>690</v>
      </c>
      <c r="F58" s="808" t="str">
        <f ca="1">IF(项目基本情况!B11="企业","",IF(INDIRECT("'数据-取费表'!c"&amp;$G$1)="住宅",5%,IF(F48*F49*F50/12/(1+'数据-取费表'!C42)&gt;20000,12%,7%)))</f>
        <v/>
      </c>
      <c r="I58" s="3165" t="s">
        <v>2360</v>
      </c>
      <c r="J58" s="3099">
        <f ca="1">IF(J55&lt;0.4,0.4,J55)</f>
        <v>0.4</v>
      </c>
      <c r="K58" s="3123" t="s">
        <v>2365</v>
      </c>
      <c r="L58" s="1906">
        <f ca="1">ROUND(POWER(1+L52,L47-L48)*(POWER(1+L52,L48)-1)/(POWER(1+L52,L47)-1),4)</f>
        <v>0.99650000000000005</v>
      </c>
      <c r="O58" s="2396" t="s">
        <v>2382</v>
      </c>
      <c r="P58" s="2397" t="s">
        <v>2413</v>
      </c>
      <c r="Q58" s="2398">
        <f ca="1">L60</f>
        <v>0</v>
      </c>
      <c r="R58" s="2401" t="s">
        <v>2415</v>
      </c>
    </row>
    <row r="59" spans="1:18" s="2057" customFormat="1" ht="28.5" customHeight="1" thickBot="1">
      <c r="A59" s="1646" t="s">
        <v>1832</v>
      </c>
      <c r="B59" s="782" t="s">
        <v>660</v>
      </c>
      <c r="C59" s="53">
        <f ca="1">ROUND(C47*F59/1.05,1)</f>
        <v>0</v>
      </c>
      <c r="D59" s="3191" t="s">
        <v>661</v>
      </c>
      <c r="E59" s="782" t="s">
        <v>649</v>
      </c>
      <c r="F59" s="807">
        <f t="shared" ref="F59:F65" si="0">F32</f>
        <v>5.5000000000000007E-2</v>
      </c>
      <c r="I59" s="3165" t="s">
        <v>2361</v>
      </c>
      <c r="J59" s="3166">
        <f ca="1">IF(OR(M47="住宅",J51&lt;L48,J56="是"),"——",ROUND(C29*J58,0))</f>
        <v>1244</v>
      </c>
      <c r="K59" s="3123" t="str">
        <f>IF(D1="——","建筑物剩余耐用年限下的土地年期修正系数Kn","建设期及建筑物耐用年限下的土地年期修正系数Kn")</f>
        <v>建设期及建筑物耐用年限下的土地年期修正系数Kn</v>
      </c>
      <c r="L59" s="1906">
        <f ca="1">ROUND(IF(D1="土地（套用方法）",POWER(1+L52,L47-(J51+'数据-取费表'!B20))*(POWER(1+L52,(J51+'数据-取费表'!B20))-1)/(POWER(1+L52,L47)-1),POWER(1+L52,L47-J51)*(POWER(1+L52,J51)-1)/(POWER(1+L52,L47)-1)),4)</f>
        <v>1.0448999999999999</v>
      </c>
      <c r="O59" s="2399" t="s">
        <v>2384</v>
      </c>
      <c r="P59" s="2397" t="s">
        <v>2414</v>
      </c>
      <c r="Q59" s="2398">
        <f>IF(L55="比较法",L49,IF(L55="基准地价",L50,0))</f>
        <v>0</v>
      </c>
      <c r="R59" s="2397" t="s">
        <v>2381</v>
      </c>
    </row>
    <row r="60" spans="1:18" s="2057" customFormat="1" ht="18" customHeight="1" thickBot="1">
      <c r="A60" s="1646" t="s">
        <v>1833</v>
      </c>
      <c r="B60" s="782" t="s">
        <v>664</v>
      </c>
      <c r="C60" s="53">
        <f ca="1">IF(D60="按租金收入计税",ROUND(C47*F60,1),IF(D60="按房产原值计税",ROUND(C56*F60*0.7,1),INDIRECT("'数据-取费表'!Aj"&amp;$G$1)))</f>
        <v>0</v>
      </c>
      <c r="D60" s="3191" t="str">
        <f>D33</f>
        <v>按租金收入计税</v>
      </c>
      <c r="E60" s="782" t="s">
        <v>649</v>
      </c>
      <c r="F60" s="807">
        <f t="shared" si="0"/>
        <v>0.12</v>
      </c>
      <c r="I60" s="3167" t="s">
        <v>2362</v>
      </c>
      <c r="J60" s="3168">
        <f ca="1">IF(OR(M47="住宅",J51&lt;L48,J56="是"),"0",ROUND(J59/(1+J52)^J53,0))</f>
        <v>23</v>
      </c>
      <c r="K60" s="3169" t="s">
        <v>2367</v>
      </c>
      <c r="L60" s="3168">
        <f ca="1">IF(OR(M47="住宅",L48&lt;J51),0,ROUND(L57*(L58/L59-1),0))</f>
        <v>0</v>
      </c>
      <c r="O60" s="2399" t="s">
        <v>2385</v>
      </c>
      <c r="P60" s="2397" t="s">
        <v>2394</v>
      </c>
      <c r="Q60" s="2400">
        <f>L52</f>
        <v>0.05</v>
      </c>
      <c r="R60" s="2401"/>
    </row>
    <row r="61" spans="1:18" s="2057" customFormat="1" ht="18" customHeight="1" thickBot="1">
      <c r="A61" s="1649" t="s">
        <v>1834</v>
      </c>
      <c r="B61" s="339" t="s">
        <v>668</v>
      </c>
      <c r="C61" s="54">
        <f ca="1">ROUND(F61*F62/10000,1)</f>
        <v>0.8</v>
      </c>
      <c r="D61" s="812" t="s">
        <v>669</v>
      </c>
      <c r="E61" s="782" t="s">
        <v>670</v>
      </c>
      <c r="F61" s="638">
        <f t="shared" si="0"/>
        <v>1.5</v>
      </c>
      <c r="K61" s="2084"/>
      <c r="O61" s="2399" t="s">
        <v>2387</v>
      </c>
      <c r="P61" s="2397" t="s">
        <v>2395</v>
      </c>
      <c r="Q61" s="2398">
        <f ca="1">L58</f>
        <v>0.99650000000000005</v>
      </c>
      <c r="R61" s="2401" t="s">
        <v>2396</v>
      </c>
    </row>
    <row r="62" spans="1:18" s="2057" customFormat="1" ht="15.75" thickBot="1">
      <c r="A62" s="813"/>
      <c r="B62" s="791"/>
      <c r="C62" s="69"/>
      <c r="D62" s="814"/>
      <c r="E62" s="782" t="s">
        <v>674</v>
      </c>
      <c r="F62" s="783">
        <f t="shared" ca="1" si="0"/>
        <v>5651.29</v>
      </c>
      <c r="I62" s="3170" t="s">
        <v>2368</v>
      </c>
      <c r="J62" s="3171" t="s">
        <v>2369</v>
      </c>
      <c r="K62" s="3171" t="s">
        <v>2370</v>
      </c>
      <c r="L62" s="3171" t="s">
        <v>2351</v>
      </c>
      <c r="M62" s="3172" t="s">
        <v>2937</v>
      </c>
      <c r="O62" s="2399" t="s">
        <v>2389</v>
      </c>
      <c r="P62" s="2397" t="str">
        <f>K59</f>
        <v>建设期及建筑物耐用年限下的土地年期修正系数Kn</v>
      </c>
      <c r="Q62" s="2398">
        <f ca="1">L59</f>
        <v>1.0448999999999999</v>
      </c>
      <c r="R62" s="2401" t="s">
        <v>2398</v>
      </c>
    </row>
    <row r="63" spans="1:18" s="2057" customFormat="1" ht="15.75" thickBot="1">
      <c r="A63" s="1647" t="s">
        <v>1890</v>
      </c>
      <c r="B63" s="782" t="s">
        <v>676</v>
      </c>
      <c r="C63" s="53">
        <f ca="1">ROUND(C56*F63,1)</f>
        <v>46.7</v>
      </c>
      <c r="D63" s="3191" t="s">
        <v>691</v>
      </c>
      <c r="E63" s="782" t="s">
        <v>649</v>
      </c>
      <c r="F63" s="815">
        <f t="shared" ca="1" si="0"/>
        <v>1.4999999999999999E-2</v>
      </c>
      <c r="I63" s="3170" t="s">
        <v>2371</v>
      </c>
      <c r="J63" s="3171">
        <v>70</v>
      </c>
      <c r="K63" s="3171">
        <v>50</v>
      </c>
      <c r="L63" s="3171">
        <v>80</v>
      </c>
      <c r="M63" s="3173">
        <v>0.02</v>
      </c>
      <c r="O63" s="2396" t="s">
        <v>2392</v>
      </c>
      <c r="P63" s="2397" t="s">
        <v>2409</v>
      </c>
      <c r="Q63" s="2398">
        <f ca="1">Q57+Q58</f>
        <v>6966</v>
      </c>
      <c r="R63" s="2401" t="s">
        <v>2393</v>
      </c>
    </row>
    <row r="64" spans="1:18" s="2057" customFormat="1" ht="16.5" thickBot="1">
      <c r="A64" s="1647" t="s">
        <v>1891</v>
      </c>
      <c r="B64" s="782" t="s">
        <v>679</v>
      </c>
      <c r="C64" s="53">
        <f ca="1">ROUND(C55*F64,1)</f>
        <v>4.7</v>
      </c>
      <c r="D64" s="3191" t="s">
        <v>680</v>
      </c>
      <c r="E64" s="782" t="s">
        <v>649</v>
      </c>
      <c r="F64" s="816">
        <f t="shared" ca="1" si="0"/>
        <v>1.5E-3</v>
      </c>
      <c r="I64" s="3170" t="s">
        <v>2372</v>
      </c>
      <c r="J64" s="3171">
        <v>50</v>
      </c>
      <c r="K64" s="3171">
        <v>35</v>
      </c>
      <c r="L64" s="3171">
        <v>60</v>
      </c>
      <c r="M64" s="844">
        <v>0</v>
      </c>
      <c r="O64" s="2402" t="s">
        <v>2416</v>
      </c>
      <c r="P64" s="1590"/>
      <c r="Q64" s="1602"/>
      <c r="R64" s="1590"/>
    </row>
    <row r="65" spans="1:18" s="2057" customFormat="1" ht="15.75" thickBot="1">
      <c r="A65" s="1647" t="s">
        <v>1892</v>
      </c>
      <c r="B65" s="782" t="s">
        <v>666</v>
      </c>
      <c r="C65" s="53">
        <f ca="1">ROUND(C47*F65,1)</f>
        <v>0</v>
      </c>
      <c r="D65" s="3191" t="s">
        <v>683</v>
      </c>
      <c r="E65" s="782" t="s">
        <v>649</v>
      </c>
      <c r="F65" s="792">
        <f t="shared" ca="1" si="0"/>
        <v>0.01</v>
      </c>
      <c r="I65" s="3170" t="s">
        <v>2373</v>
      </c>
      <c r="J65" s="3171">
        <v>40</v>
      </c>
      <c r="K65" s="3171">
        <v>30</v>
      </c>
      <c r="L65" s="3171">
        <v>50</v>
      </c>
      <c r="M65" s="3173">
        <v>0.02</v>
      </c>
      <c r="O65" s="2393" t="s">
        <v>2376</v>
      </c>
      <c r="P65" s="2394" t="s">
        <v>2377</v>
      </c>
      <c r="Q65" s="2395" t="s">
        <v>2378</v>
      </c>
      <c r="R65" s="2394" t="s">
        <v>2379</v>
      </c>
    </row>
    <row r="66" spans="1:18" s="2057" customFormat="1" ht="24.75" thickBot="1">
      <c r="A66" s="795" t="s">
        <v>1777</v>
      </c>
      <c r="B66" s="3008" t="s">
        <v>2823</v>
      </c>
      <c r="C66" s="797">
        <f ca="1">C47-C57</f>
        <v>-52</v>
      </c>
      <c r="D66" s="3190" t="s">
        <v>700</v>
      </c>
      <c r="E66" s="3188"/>
      <c r="F66" s="818"/>
      <c r="K66" s="2084"/>
      <c r="O66" s="2396" t="s">
        <v>2380</v>
      </c>
      <c r="P66" s="2397" t="s">
        <v>2406</v>
      </c>
      <c r="Q66" s="2398">
        <f ca="1">C40+J29</f>
        <v>6966</v>
      </c>
      <c r="R66" s="2397" t="s">
        <v>2381</v>
      </c>
    </row>
    <row r="67" spans="1:18" s="2057" customFormat="1" ht="20.25" thickBot="1">
      <c r="A67" s="779" t="s">
        <v>1781</v>
      </c>
      <c r="B67" s="2230" t="s">
        <v>2302</v>
      </c>
      <c r="C67" s="781">
        <f ca="1">ROUND(C66*(1-((1+F69)/(1+F67))^F68)/(F67-F69),0)</f>
        <v>-931</v>
      </c>
      <c r="D67" s="812" t="s">
        <v>704</v>
      </c>
      <c r="E67" s="782" t="s">
        <v>705</v>
      </c>
      <c r="F67" s="792">
        <f ca="1">F40</f>
        <v>0.05</v>
      </c>
      <c r="K67" s="2084"/>
      <c r="O67" s="2396" t="s">
        <v>2382</v>
      </c>
      <c r="P67" s="2397" t="s">
        <v>2413</v>
      </c>
      <c r="Q67" s="2398">
        <f ca="1">L60</f>
        <v>0</v>
      </c>
      <c r="R67" s="2401" t="s">
        <v>2415</v>
      </c>
    </row>
    <row r="68" spans="1:18" ht="21.75" thickBot="1">
      <c r="A68" s="784"/>
      <c r="B68" s="785"/>
      <c r="C68" s="786"/>
      <c r="D68" s="819" t="s">
        <v>1809</v>
      </c>
      <c r="E68" s="782" t="s">
        <v>708</v>
      </c>
      <c r="F68" s="820">
        <f ca="1">F41</f>
        <v>46.26</v>
      </c>
      <c r="O68" s="2399" t="s">
        <v>2384</v>
      </c>
      <c r="P68" s="2397" t="s">
        <v>2414</v>
      </c>
      <c r="Q68" s="2403">
        <f ca="1">L51</f>
        <v>367</v>
      </c>
      <c r="R68" s="2404" t="s">
        <v>2417</v>
      </c>
    </row>
    <row r="69" spans="1:18" ht="20.25" thickBot="1">
      <c r="A69" s="788"/>
      <c r="B69" s="789"/>
      <c r="C69" s="790"/>
      <c r="D69" s="814"/>
      <c r="E69" s="782" t="s">
        <v>710</v>
      </c>
      <c r="F69" s="2369"/>
      <c r="O69" s="2399" t="s">
        <v>2385</v>
      </c>
      <c r="P69" s="2405" t="s">
        <v>2399</v>
      </c>
      <c r="Q69" s="2398">
        <f ca="1">ROUND(Q70-Q71*Q72,0)</f>
        <v>19</v>
      </c>
      <c r="R69" s="2401"/>
    </row>
    <row r="70" spans="1:18" ht="15.75" thickBot="1">
      <c r="A70" s="821" t="s">
        <v>1788</v>
      </c>
      <c r="B70" s="822" t="s">
        <v>1811</v>
      </c>
      <c r="C70" s="823">
        <f ca="1">ROUND(C67*10000/F70,0)</f>
        <v>-896</v>
      </c>
      <c r="D70" s="824" t="s">
        <v>1812</v>
      </c>
      <c r="E70" s="825" t="s">
        <v>1813</v>
      </c>
      <c r="F70" s="826">
        <f ca="1">F43</f>
        <v>10390.44</v>
      </c>
      <c r="O70" s="2399" t="s">
        <v>2400</v>
      </c>
      <c r="P70" s="2405" t="s">
        <v>2401</v>
      </c>
      <c r="Q70" s="2398">
        <f ca="1">C39</f>
        <v>283</v>
      </c>
      <c r="R70" s="2397" t="s">
        <v>2381</v>
      </c>
    </row>
    <row r="71" spans="1:18" ht="15.75" thickBot="1">
      <c r="O71" s="2399" t="s">
        <v>2402</v>
      </c>
      <c r="P71" s="2405" t="s">
        <v>2403</v>
      </c>
      <c r="Q71" s="2398">
        <f ca="1">C13</f>
        <v>3110</v>
      </c>
      <c r="R71" s="2397" t="s">
        <v>2381</v>
      </c>
    </row>
    <row r="72" spans="1:18" ht="15.75" thickBot="1">
      <c r="O72" s="2399" t="s">
        <v>2404</v>
      </c>
      <c r="P72" s="2405" t="s">
        <v>2405</v>
      </c>
      <c r="Q72" s="2400">
        <f ca="1">J36</f>
        <v>8.5000000000000006E-2</v>
      </c>
      <c r="R72" s="2401"/>
    </row>
    <row r="73" spans="1:18" ht="15.75" thickBot="1">
      <c r="O73" s="2399" t="s">
        <v>2387</v>
      </c>
      <c r="P73" s="2397" t="s">
        <v>2394</v>
      </c>
      <c r="Q73" s="2400">
        <f>L52</f>
        <v>0.05</v>
      </c>
      <c r="R73" s="2401"/>
    </row>
    <row r="74" spans="1:18" ht="20.25" thickBot="1">
      <c r="O74" s="2399" t="s">
        <v>2389</v>
      </c>
      <c r="P74" s="2397" t="s">
        <v>2395</v>
      </c>
      <c r="Q74" s="2398">
        <f ca="1">L58</f>
        <v>0.99650000000000005</v>
      </c>
      <c r="R74" s="2401" t="s">
        <v>2396</v>
      </c>
    </row>
    <row r="75" spans="1:18" ht="15.75" thickBot="1">
      <c r="O75" s="2399" t="s">
        <v>2418</v>
      </c>
      <c r="P75" s="2397" t="str">
        <f>K59</f>
        <v>建设期及建筑物耐用年限下的土地年期修正系数Kn</v>
      </c>
      <c r="Q75" s="2398">
        <f ca="1">L59</f>
        <v>1.0448999999999999</v>
      </c>
      <c r="R75" s="2401" t="s">
        <v>2398</v>
      </c>
    </row>
    <row r="76" spans="1:18" ht="15.75" thickBot="1">
      <c r="O76" s="2396" t="s">
        <v>2392</v>
      </c>
      <c r="P76" s="2397" t="s">
        <v>2409</v>
      </c>
      <c r="Q76" s="2398">
        <f ca="1">Q66+Q67</f>
        <v>6966</v>
      </c>
      <c r="R76" s="240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81" workbookViewId="0">
      <selection activeCell="P33" sqref="P33"/>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2039</v>
      </c>
      <c r="B1" s="3195"/>
      <c r="C1" s="3195"/>
      <c r="D1" s="3195"/>
      <c r="E1" s="3195"/>
      <c r="F1" s="3195"/>
      <c r="G1" s="3195"/>
      <c r="H1" s="3195"/>
      <c r="I1" s="3195"/>
      <c r="J1" s="3195"/>
      <c r="K1" s="3195"/>
      <c r="L1" s="3195"/>
      <c r="M1" s="3195"/>
      <c r="N1" s="3195"/>
      <c r="O1" s="3195"/>
      <c r="P1" s="3195"/>
      <c r="Q1" s="3195"/>
      <c r="R1" s="3195"/>
    </row>
    <row r="2" spans="1:18">
      <c r="A2" s="1805" t="s">
        <v>2041</v>
      </c>
      <c r="B2" s="1805"/>
      <c r="C2" s="1805"/>
      <c r="D2" s="1805"/>
      <c r="E2" s="1805"/>
      <c r="F2" s="1805"/>
      <c r="G2" s="1805"/>
      <c r="H2" s="1805"/>
      <c r="I2" s="1806"/>
      <c r="J2" s="1806"/>
      <c r="K2" s="1807" t="str">
        <f>"估价期日："&amp;TEXT(项目基本情况!D3,"yyyy年m月d日;;")</f>
        <v>估价期日：2018年8月15日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96" t="s">
        <v>2030</v>
      </c>
      <c r="B3" s="3196" t="s">
        <v>2732</v>
      </c>
      <c r="C3" s="3197" t="s">
        <v>2031</v>
      </c>
      <c r="D3" s="3196" t="s">
        <v>2736</v>
      </c>
      <c r="E3" s="3199" t="s">
        <v>2032</v>
      </c>
      <c r="F3" s="3199"/>
      <c r="G3" s="3199"/>
      <c r="H3" s="3199" t="s">
        <v>2033</v>
      </c>
      <c r="I3" s="3199"/>
      <c r="J3" s="3199"/>
      <c r="K3" s="3197" t="s">
        <v>2034</v>
      </c>
      <c r="L3" s="3197" t="s">
        <v>2035</v>
      </c>
      <c r="M3" s="3196" t="s">
        <v>2733</v>
      </c>
      <c r="N3" s="3198" t="str">
        <f>"（分摊）"&amp;项目基本情况!B16&amp;"国有建设用地使用权面积/㎡"</f>
        <v>（分摊）出让国有建设用地使用权面积/㎡</v>
      </c>
      <c r="O3" s="3196" t="s">
        <v>2064</v>
      </c>
      <c r="P3" s="3197" t="s">
        <v>2044</v>
      </c>
      <c r="Q3" s="3197" t="s">
        <v>2065</v>
      </c>
      <c r="R3" s="3197" t="s">
        <v>2036</v>
      </c>
    </row>
    <row r="4" spans="1:18" ht="36.75" customHeight="1">
      <c r="A4" s="3196"/>
      <c r="B4" s="3196"/>
      <c r="C4" s="3197"/>
      <c r="D4" s="3196"/>
      <c r="E4" s="2647" t="s">
        <v>2043</v>
      </c>
      <c r="F4" s="2647" t="s">
        <v>2745</v>
      </c>
      <c r="G4" s="2647" t="s">
        <v>2037</v>
      </c>
      <c r="H4" s="2647" t="s">
        <v>2038</v>
      </c>
      <c r="I4" s="2647" t="s">
        <v>2746</v>
      </c>
      <c r="J4" s="2647" t="s">
        <v>2037</v>
      </c>
      <c r="K4" s="3197"/>
      <c r="L4" s="3197"/>
      <c r="M4" s="3196"/>
      <c r="N4" s="3198"/>
      <c r="O4" s="3196"/>
      <c r="P4" s="3197"/>
      <c r="Q4" s="3197"/>
      <c r="R4" s="3197"/>
    </row>
    <row r="5" spans="1:18" ht="135" customHeight="1">
      <c r="A5" s="1941" t="s">
        <v>2656</v>
      </c>
      <c r="B5" s="2865" t="s">
        <v>2654</v>
      </c>
      <c r="C5" s="2646">
        <v>22</v>
      </c>
      <c r="D5" s="2645" t="s">
        <v>2655</v>
      </c>
      <c r="E5" s="1808" t="str">
        <f>项目基本情况!B12</f>
        <v>住宅、商业</v>
      </c>
      <c r="F5" s="2645">
        <v>258</v>
      </c>
      <c r="G5" s="1808">
        <f>项目基本情况!B13</f>
        <v>0</v>
      </c>
      <c r="H5" s="2645">
        <v>1.5</v>
      </c>
      <c r="I5" s="2645">
        <v>1.5</v>
      </c>
      <c r="J5" s="2645">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81664.259999999995</v>
      </c>
      <c r="O5" s="1808">
        <f>项目基本情况!C21</f>
        <v>165129.68</v>
      </c>
      <c r="P5" s="1808">
        <f ca="1">结果表!E42</f>
        <v>16215</v>
      </c>
      <c r="Q5" s="1808">
        <f ca="1">结果表!D42</f>
        <v>8019</v>
      </c>
      <c r="R5" s="1809">
        <f ca="1">结果表!C42</f>
        <v>132418</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0">
        <f ca="1">结果表!O39</f>
        <v>129382</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0"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04" t="s">
        <v>2066</v>
      </c>
      <c r="B1" s="3204"/>
      <c r="C1" s="3204"/>
      <c r="D1" s="3204"/>
    </row>
    <row r="2" spans="1:4" ht="47.25" customHeight="1">
      <c r="A2" s="3205" t="str">
        <f>"1.权利限制："&amp;项目基本情况!L24&amp;"未设定租赁等其他他项权利。"</f>
        <v>1.权利限制：根据估价对象《不动产权证书》复印件、，截至估价期日，估价对象抵押权未见登记。未设定租赁等其他他项权利。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2067</v>
      </c>
      <c r="B5" s="3203"/>
      <c r="C5" s="3203"/>
      <c r="D5" s="3203"/>
    </row>
    <row r="6" spans="1:4">
      <c r="A6" s="3204" t="s">
        <v>2045</v>
      </c>
      <c r="B6" s="3204"/>
      <c r="C6" s="3204"/>
      <c r="D6" s="3204"/>
    </row>
    <row r="7" spans="1:4" ht="33" customHeight="1">
      <c r="A7" s="3204" t="s">
        <v>2576</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（1）根据估价对象《不动产权证书》复印件、，截至估价期日，估价对象抵押权未见登记。</v>
      </c>
      <c r="B11" s="3206"/>
      <c r="C11" s="3206"/>
      <c r="D11" s="3206"/>
    </row>
    <row r="12" spans="1:4" ht="168" customHeight="1">
      <c r="A12" s="3203" t="s">
        <v>2069</v>
      </c>
      <c r="B12" s="3203"/>
      <c r="C12" s="3203"/>
      <c r="D12" s="3203"/>
    </row>
    <row r="13" spans="1:4">
      <c r="A13" s="3207" t="s">
        <v>2747</v>
      </c>
      <c r="B13" s="3207"/>
      <c r="C13" s="3207"/>
      <c r="D13" s="3207"/>
    </row>
    <row r="14" spans="1:4">
      <c r="A14" s="3206" t="str">
        <f>IF(项目基本情况!B8="抵押","综上，"&amp;结果表!K47,"——")</f>
        <v>综上，本次评估估价师知悉的法定优先受偿款为人民币3036万元整。</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2703</v>
      </c>
      <c r="B17" s="3204"/>
      <c r="C17" s="3204"/>
      <c r="D17" s="3204"/>
    </row>
    <row r="18" spans="1:4">
      <c r="A18" s="3204" t="s">
        <v>2695</v>
      </c>
      <c r="B18" s="3204"/>
      <c r="C18" s="3204"/>
      <c r="D18" s="3204"/>
    </row>
    <row r="19" spans="1:4">
      <c r="A19" s="2866" t="s">
        <v>2696</v>
      </c>
      <c r="B19" s="2866" t="s">
        <v>2697</v>
      </c>
      <c r="C19" s="2866" t="s">
        <v>2698</v>
      </c>
      <c r="D19" s="2866" t="s">
        <v>2699</v>
      </c>
    </row>
    <row r="20" spans="1:4">
      <c r="A20" s="2866" t="str">
        <f>项目基本情况!B4</f>
        <v>王鹏</v>
      </c>
      <c r="B20" s="2866">
        <f ca="1">项目基本情况!C4</f>
        <v>2002110030</v>
      </c>
      <c r="C20" s="2868"/>
      <c r="D20" s="1798" t="s">
        <v>2704</v>
      </c>
    </row>
    <row r="21" spans="1:4">
      <c r="A21" s="2866" t="str">
        <f>项目基本情况!D4</f>
        <v>郑燚</v>
      </c>
      <c r="B21" s="2866">
        <f>项目基本情况!E4</f>
        <v>2014110011</v>
      </c>
      <c r="C21" s="2868"/>
      <c r="D21" s="1798" t="s">
        <v>2705</v>
      </c>
    </row>
    <row r="23" spans="1:4">
      <c r="A23" s="3204" t="s">
        <v>2700</v>
      </c>
      <c r="B23" s="3204"/>
      <c r="C23" s="3204"/>
      <c r="D23" s="3204"/>
    </row>
    <row r="24" spans="1:4">
      <c r="A24" s="2866" t="s">
        <v>2696</v>
      </c>
      <c r="B24" s="2866" t="s">
        <v>2701</v>
      </c>
      <c r="C24" s="2866" t="s">
        <v>2698</v>
      </c>
      <c r="D24" s="2866" t="s">
        <v>2699</v>
      </c>
    </row>
    <row r="25" spans="1:4">
      <c r="A25" s="2869" t="s">
        <v>2702</v>
      </c>
      <c r="B25" s="2866" t="s">
        <v>952</v>
      </c>
      <c r="C25" s="2868"/>
      <c r="D25" s="1798" t="s">
        <v>2705</v>
      </c>
    </row>
    <row r="29" spans="1:4">
      <c r="D29" s="2867" t="s">
        <v>2040</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15" t="s">
        <v>53</v>
      </c>
      <c r="B15" s="3216" t="s">
        <v>846</v>
      </c>
      <c r="C15" s="3212"/>
    </row>
    <row r="16" spans="1:7" ht="14.25">
      <c r="A16" s="3215"/>
      <c r="B16" s="3213" t="s">
        <v>54</v>
      </c>
      <c r="C16" s="1170" t="s">
        <v>53</v>
      </c>
    </row>
    <row r="17" spans="1:3" ht="14.25">
      <c r="A17" s="3215"/>
      <c r="B17" s="3213"/>
      <c r="C17" s="1170" t="s">
        <v>55</v>
      </c>
    </row>
    <row r="18" spans="1:3" ht="14.25">
      <c r="A18" s="3215"/>
      <c r="B18" s="3213"/>
      <c r="C18" s="1170" t="s">
        <v>56</v>
      </c>
    </row>
    <row r="19" spans="1:3" ht="14.25">
      <c r="A19" s="3215"/>
      <c r="B19" s="3211" t="s">
        <v>57</v>
      </c>
      <c r="C19" s="3212"/>
    </row>
    <row r="20" spans="1:3" ht="14.25">
      <c r="A20" s="1171" t="s">
        <v>58</v>
      </c>
      <c r="B20" s="1172"/>
      <c r="C20" s="1173"/>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4" t="s">
        <v>837</v>
      </c>
    </row>
    <row r="25" spans="1:3" ht="14.25">
      <c r="A25" s="3214"/>
      <c r="B25" s="3218"/>
      <c r="C25" s="1174" t="s">
        <v>838</v>
      </c>
    </row>
    <row r="26" spans="1:3" ht="14.25">
      <c r="A26" s="3214"/>
      <c r="B26" s="3218"/>
      <c r="C26" s="1174" t="s">
        <v>839</v>
      </c>
    </row>
    <row r="27" spans="1:3" ht="14.25">
      <c r="A27" s="3214"/>
      <c r="B27" s="3218"/>
      <c r="C27" s="1174" t="s">
        <v>840</v>
      </c>
    </row>
    <row r="28" spans="1:3" ht="14.25">
      <c r="A28" s="3214"/>
      <c r="B28" s="3218"/>
      <c r="C28" s="1174" t="s">
        <v>841</v>
      </c>
    </row>
    <row r="29" spans="1:3" ht="14.25">
      <c r="A29" s="3214"/>
      <c r="B29" s="3218"/>
      <c r="C29" s="1174" t="s">
        <v>842</v>
      </c>
    </row>
    <row r="30" spans="1:3" ht="14.25">
      <c r="A30" s="3214"/>
      <c r="B30" s="3218"/>
      <c r="C30" s="1174" t="s">
        <v>843</v>
      </c>
    </row>
    <row r="31" spans="1:3" ht="14.25">
      <c r="A31" s="3214"/>
      <c r="B31" s="3218"/>
      <c r="C31" s="1174" t="s">
        <v>844</v>
      </c>
    </row>
    <row r="32" spans="1:3" ht="14.25">
      <c r="A32" s="3214"/>
      <c r="B32" s="3218"/>
      <c r="C32" s="1174" t="s">
        <v>1647</v>
      </c>
    </row>
    <row r="33" spans="1:3" ht="14.25">
      <c r="A33" s="3214"/>
      <c r="B33" s="3208" t="s">
        <v>1653</v>
      </c>
      <c r="C33" s="1174" t="s">
        <v>1648</v>
      </c>
    </row>
    <row r="34" spans="1:3" ht="14.25">
      <c r="A34" s="3214"/>
      <c r="B34" s="3209"/>
      <c r="C34" s="1179" t="s">
        <v>1649</v>
      </c>
    </row>
    <row r="35" spans="1:3" ht="14.25">
      <c r="A35" s="3214"/>
      <c r="B35" s="3209"/>
      <c r="C35" s="1180" t="s">
        <v>1650</v>
      </c>
    </row>
    <row r="36" spans="1:3" ht="14.25">
      <c r="A36" s="3214"/>
      <c r="B36" s="3209"/>
      <c r="C36" s="1180" t="s">
        <v>1651</v>
      </c>
    </row>
    <row r="37" spans="1:3" ht="14.25">
      <c r="A37" s="3214"/>
      <c r="B37" s="3210"/>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5">
        <f ca="1">TODAY()</f>
        <v>43342</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3">
        <v>43849</v>
      </c>
      <c r="D4" s="2341" t="s">
        <v>1915</v>
      </c>
      <c r="E4" s="2341">
        <f ca="1">IF(F4&lt;B2,"已过期",96010014)</f>
        <v>96010014</v>
      </c>
      <c r="F4" s="3004">
        <v>47118</v>
      </c>
    </row>
    <row r="5" spans="1:6" ht="20.25" customHeight="1">
      <c r="A5" s="2341" t="s">
        <v>1916</v>
      </c>
      <c r="B5" s="2341">
        <f ca="1">IF(C5&lt;B2,"已过期",1119970074)</f>
        <v>1119970074</v>
      </c>
      <c r="C5" s="3003">
        <v>43849</v>
      </c>
      <c r="D5" s="2341" t="s">
        <v>1916</v>
      </c>
      <c r="E5" s="2341">
        <f ca="1">IF(F5&lt;B2,"已过期",2002110027)</f>
        <v>2002110027</v>
      </c>
      <c r="F5" s="3004">
        <v>46752</v>
      </c>
    </row>
    <row r="6" spans="1:6" ht="20.25" customHeight="1">
      <c r="A6" s="2341" t="s">
        <v>1917</v>
      </c>
      <c r="B6" s="2341">
        <f ca="1">IF(C6&lt;B2,"已过期",1119970111)</f>
        <v>1119970111</v>
      </c>
      <c r="C6" s="3003">
        <v>43849</v>
      </c>
      <c r="D6" s="2341" t="s">
        <v>1917</v>
      </c>
      <c r="E6" s="2341">
        <f ca="1">IF(F6&lt;B2,"已过期",94010078)</f>
        <v>94010078</v>
      </c>
      <c r="F6" s="3004">
        <v>46387</v>
      </c>
    </row>
    <row r="7" spans="1:6" ht="20.25" customHeight="1">
      <c r="A7" s="2341" t="s">
        <v>1918</v>
      </c>
      <c r="B7" s="2341">
        <f ca="1">IF(C7&lt;B2,"已过期",1120050019)</f>
        <v>1120050019</v>
      </c>
      <c r="C7" s="3003">
        <v>44395</v>
      </c>
      <c r="D7" s="2341" t="s">
        <v>1918</v>
      </c>
      <c r="E7" s="2341">
        <f ca="1">IF(F7&lt;B2,"已过期",2002110030)</f>
        <v>2002110030</v>
      </c>
      <c r="F7" s="3004">
        <v>46387</v>
      </c>
    </row>
    <row r="8" spans="1:6" ht="20.25" customHeight="1">
      <c r="A8" s="2341" t="s">
        <v>1919</v>
      </c>
      <c r="B8" s="2341">
        <f ca="1">IF(C8&lt;B2,"已过期",1120000080)</f>
        <v>1120000080</v>
      </c>
      <c r="C8" s="3003">
        <v>43849</v>
      </c>
      <c r="D8" s="2341" t="s">
        <v>1919</v>
      </c>
      <c r="E8" s="2341">
        <f ca="1">IF(F8&lt;B2,"已过期",2000110082)</f>
        <v>2000110082</v>
      </c>
      <c r="F8" s="3004">
        <v>46387</v>
      </c>
    </row>
    <row r="9" spans="1:6" ht="20.25" customHeight="1">
      <c r="A9" s="2341" t="s">
        <v>1920</v>
      </c>
      <c r="B9" s="2341">
        <f ca="1">IF(C9&lt;B2,"已过期",1419970001)</f>
        <v>1419970001</v>
      </c>
      <c r="C9" s="3003">
        <v>43867</v>
      </c>
      <c r="D9" s="2341" t="s">
        <v>1920</v>
      </c>
      <c r="E9" s="2341">
        <f ca="1">IF(F9&lt;B2,"已过期",2002110125)</f>
        <v>2002110125</v>
      </c>
      <c r="F9" s="3004">
        <v>47118</v>
      </c>
    </row>
    <row r="10" spans="1:6" ht="20.25" customHeight="1">
      <c r="A10" s="2341" t="s">
        <v>1921</v>
      </c>
      <c r="B10" s="2341">
        <f ca="1">IF(C10&lt;B2,"已过期",1120060040)</f>
        <v>1120060040</v>
      </c>
      <c r="C10" s="3003">
        <v>43483</v>
      </c>
      <c r="D10" s="2341" t="s">
        <v>1921</v>
      </c>
      <c r="E10" s="2341">
        <f ca="1">IF(F10&lt;B2,"已过期",2004110096)</f>
        <v>2004110096</v>
      </c>
      <c r="F10" s="3004">
        <v>47118</v>
      </c>
    </row>
    <row r="11" spans="1:6" ht="20.25" customHeight="1">
      <c r="A11" s="2341" t="s">
        <v>1922</v>
      </c>
      <c r="B11" s="2341">
        <f ca="1">IF(C11&lt;B2,"已过期",1120100036)</f>
        <v>1120100036</v>
      </c>
      <c r="C11" s="3003">
        <v>43622</v>
      </c>
      <c r="D11" s="2341" t="s">
        <v>1922</v>
      </c>
      <c r="E11" s="2341">
        <f ca="1">IF(F11&lt;B2,"已过期",2010110070)</f>
        <v>2010110070</v>
      </c>
      <c r="F11" s="3004">
        <v>47907</v>
      </c>
    </row>
    <row r="12" spans="1:6" ht="20.25" customHeight="1">
      <c r="A12" s="2341" t="s">
        <v>2972</v>
      </c>
      <c r="B12" s="2341">
        <v>1120110054</v>
      </c>
      <c r="C12" s="3003">
        <v>43937</v>
      </c>
      <c r="D12" s="2341" t="s">
        <v>2972</v>
      </c>
      <c r="E12" s="2341">
        <v>2008110060</v>
      </c>
      <c r="F12" s="3004">
        <v>47177</v>
      </c>
    </row>
    <row r="13" spans="1:6" ht="20.25" customHeight="1">
      <c r="A13" s="2341" t="s">
        <v>1923</v>
      </c>
      <c r="B13" s="2341">
        <f ca="1">IF(C13&lt;B2,"已过期",1120070131)</f>
        <v>1120070131</v>
      </c>
      <c r="C13" s="3003">
        <v>43814</v>
      </c>
      <c r="D13" s="2341" t="s">
        <v>1923</v>
      </c>
      <c r="E13" s="2341">
        <v>2014110011</v>
      </c>
      <c r="F13" s="3004">
        <v>49302</v>
      </c>
    </row>
    <row r="14" spans="1:6" ht="20.25" customHeight="1">
      <c r="A14" s="2341" t="s">
        <v>1924</v>
      </c>
      <c r="B14" s="2341">
        <f ca="1">IF(C14&lt;B2,"已过期",1120130020)</f>
        <v>1120130020</v>
      </c>
      <c r="C14" s="3003">
        <v>43622</v>
      </c>
      <c r="D14" s="2341"/>
      <c r="E14" s="2341"/>
      <c r="F14" s="2341"/>
    </row>
    <row r="15" spans="1:6" ht="20.25" customHeight="1">
      <c r="A15" s="2341" t="s">
        <v>2575</v>
      </c>
      <c r="B15" s="2341">
        <v>1120070085</v>
      </c>
      <c r="C15" s="3003">
        <v>43814</v>
      </c>
      <c r="D15" s="2341" t="s">
        <v>2575</v>
      </c>
      <c r="E15" s="2341">
        <v>2004110128</v>
      </c>
      <c r="F15" s="3004">
        <v>47118</v>
      </c>
    </row>
    <row r="16" spans="1:6" ht="20.25" customHeight="1">
      <c r="A16" s="2341" t="s">
        <v>1925</v>
      </c>
      <c r="B16" s="2341">
        <f ca="1">IF(C16&lt;B2,"已过期",1120140022)</f>
        <v>1120140022</v>
      </c>
      <c r="C16" s="3003">
        <v>44029</v>
      </c>
      <c r="D16" s="2341" t="s">
        <v>1925</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1926</v>
      </c>
      <c r="E21" s="2341">
        <f ca="1">IF(F21&lt;B2,"已过期",2011110090)</f>
        <v>2011110090</v>
      </c>
      <c r="F21" s="3004">
        <v>48302</v>
      </c>
    </row>
    <row r="22" spans="1:7" ht="20.25" customHeight="1">
      <c r="A22" s="2341" t="s">
        <v>1927</v>
      </c>
      <c r="B22" s="2341">
        <f ca="1">IF(C22&lt;B2,"已过期",1120020033)</f>
        <v>1120020033</v>
      </c>
      <c r="C22" s="3003">
        <v>44339</v>
      </c>
      <c r="D22" s="2341" t="s">
        <v>1927</v>
      </c>
      <c r="E22" s="2341">
        <f ca="1">IF(F22&lt;B2,"已过期",2000110137)</f>
        <v>2000110137</v>
      </c>
      <c r="F22" s="3004">
        <v>46387</v>
      </c>
    </row>
    <row r="23" spans="1:7" ht="20.25" customHeight="1">
      <c r="A23" s="2341" t="s">
        <v>1928</v>
      </c>
      <c r="B23" s="2341">
        <f ca="1">IF(C23&lt;B2,"已过期",1120130048)</f>
        <v>1120130048</v>
      </c>
      <c r="C23" s="3003">
        <v>43686</v>
      </c>
      <c r="D23" s="2341"/>
      <c r="E23" s="2341"/>
      <c r="F23" s="2341"/>
    </row>
    <row r="24" spans="1:7" s="2345" customFormat="1" ht="20.25" customHeight="1">
      <c r="A24" s="2343" t="s">
        <v>2054</v>
      </c>
      <c r="B24" s="2343" t="s">
        <v>2054</v>
      </c>
      <c r="C24" s="3003"/>
      <c r="D24" s="3005" t="s">
        <v>2054</v>
      </c>
      <c r="E24" s="2343" t="s">
        <v>2054</v>
      </c>
      <c r="F24" s="2344"/>
    </row>
    <row r="25" spans="1:7" ht="20.25" customHeight="1">
      <c r="A25" s="3219" t="s">
        <v>1929</v>
      </c>
      <c r="B25" s="3219"/>
      <c r="C25" s="3219"/>
      <c r="D25" s="3219"/>
      <c r="E25" s="3219"/>
      <c r="F25" s="3219"/>
      <c r="G25" s="3219"/>
    </row>
    <row r="26" spans="1:7" ht="20.25" customHeight="1">
      <c r="A26" s="3220" t="s">
        <v>1930</v>
      </c>
      <c r="B26" s="3220"/>
      <c r="C26" s="3220"/>
      <c r="D26" s="3220" t="s">
        <v>1931</v>
      </c>
      <c r="E26" s="3220"/>
      <c r="F26" s="3220"/>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2938</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2546</v>
      </c>
      <c r="R1" s="2580" t="s">
        <v>2540</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09" t="s">
        <v>2950</v>
      </c>
      <c r="C18" s="1552"/>
    </row>
    <row r="19" spans="1:3">
      <c r="A19" s="8" t="s">
        <v>120</v>
      </c>
      <c r="B19" s="3109" t="s">
        <v>2958</v>
      </c>
      <c r="C19" s="1552"/>
    </row>
    <row r="20" spans="1:3">
      <c r="A20" s="8" t="s">
        <v>121</v>
      </c>
      <c r="B20" s="3109" t="s">
        <v>3014</v>
      </c>
      <c r="C20" s="1552"/>
    </row>
    <row r="21" spans="1:3">
      <c r="A21" s="8" t="s">
        <v>122</v>
      </c>
      <c r="B21" s="3109" t="s">
        <v>3073</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房地钧洋房地产开发有限公司拟使用北京市通州区西集镇西集村TZ07-0103-0029地块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21"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15日，在规划利用条件下、设定土地开发程度为红线外“七通”、宗地内场地平整，设定用途为，剩余土地使用年限为的出让国有建设用地使用权价格。</v>
      </c>
      <c r="D53" s="1765"/>
      <c r="E53" s="1765"/>
    </row>
    <row r="54" spans="1:5">
      <c r="A54" s="3221"/>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1"/>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1"/>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1"/>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不动产收益法-地下商业</vt:lpstr>
      <vt:lpstr>不动产收益法-车库</vt:lpstr>
      <vt:lpstr>典型户型修正</vt:lpstr>
      <vt:lpstr>存贷款利率</vt:lpstr>
      <vt:lpstr>不动产收益法-地下仓储</vt:lpstr>
      <vt:lpstr>土地案例</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2018-08-30T13:27:11Z</dcterms:modified>
</cp:coreProperties>
</file>