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明细清单" sheetId="78"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经营" sheetId="81" state="hidden" r:id="rId24"/>
    <sheet name="收益法" sheetId="15" r:id="rId25"/>
    <sheet name="收益法 (元)" sheetId="67" state="hidden" r:id="rId26"/>
    <sheet name="收益法 (车库)" sheetId="82"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9" r:id="rId48"/>
    <sheet name="财务报表" sheetId="80"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(车库)'!$A$1:$F$43,'收益法 (车库)'!$H$3:$M$29,'收益法 (车库)'!$A$46:$F$71,'收益法 (车库)'!$I$46:$N$65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[2]定义!$D$1:$D$4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'[2]数据-汇总表'!$C$17:$C$26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6" i="1" l="1"/>
  <c r="G19" i="6" l="1"/>
  <c r="D10" i="81" l="1"/>
  <c r="D17" i="81"/>
  <c r="D16" i="81"/>
  <c r="D15" i="81"/>
  <c r="D6" i="81"/>
  <c r="L8" i="78"/>
  <c r="K8" i="78"/>
  <c r="K6" i="78"/>
  <c r="H7" i="78"/>
  <c r="H6" i="78"/>
  <c r="H5" i="78"/>
  <c r="H2" i="78"/>
  <c r="Q72" i="82" l="1"/>
  <c r="Q59" i="82"/>
  <c r="K59" i="82"/>
  <c r="P74" i="82" s="1"/>
  <c r="F59" i="82"/>
  <c r="Q58" i="82"/>
  <c r="Q51" i="82"/>
  <c r="J50" i="82"/>
  <c r="M47" i="82"/>
  <c r="D46" i="82"/>
  <c r="F33" i="82"/>
  <c r="F61" i="82" s="1"/>
  <c r="F31" i="82"/>
  <c r="F23" i="82"/>
  <c r="F21" i="82"/>
  <c r="F20" i="82"/>
  <c r="M19" i="82"/>
  <c r="F18" i="82"/>
  <c r="M17" i="82"/>
  <c r="F17" i="82"/>
  <c r="F15" i="82"/>
  <c r="K5" i="78"/>
  <c r="K4" i="78"/>
  <c r="K3" i="78"/>
  <c r="D23" i="82" l="1"/>
  <c r="D22" i="82"/>
  <c r="D24" i="82"/>
  <c r="P61" i="82"/>
  <c r="C23" i="81"/>
  <c r="N43" i="81"/>
  <c r="R43" i="81" s="1"/>
  <c r="R40" i="81"/>
  <c r="R41" i="81" s="1"/>
  <c r="R34" i="81"/>
  <c r="R33" i="81"/>
  <c r="C30" i="81"/>
  <c r="R27" i="81"/>
  <c r="M24" i="81"/>
  <c r="R23" i="81"/>
  <c r="R22" i="81"/>
  <c r="R21" i="81"/>
  <c r="N19" i="81"/>
  <c r="R18" i="81"/>
  <c r="R17" i="81"/>
  <c r="R16" i="81"/>
  <c r="M14" i="81"/>
  <c r="N14" i="81" s="1"/>
  <c r="R13" i="81"/>
  <c r="R12" i="81"/>
  <c r="R11" i="81"/>
  <c r="R10" i="81"/>
  <c r="R9" i="81"/>
  <c r="R8" i="81"/>
  <c r="R7" i="81"/>
  <c r="R4" i="81"/>
  <c r="R3" i="81"/>
  <c r="R14" i="81" l="1"/>
  <c r="R25" i="81"/>
  <c r="R19" i="81"/>
  <c r="R5" i="81"/>
  <c r="U5" i="81" s="1"/>
  <c r="R24" i="81"/>
  <c r="C29" i="81"/>
  <c r="D23" i="81"/>
  <c r="R35" i="81"/>
  <c r="U34" i="81" s="1"/>
  <c r="D9" i="81"/>
  <c r="D18" i="81"/>
  <c r="D26" i="81" l="1"/>
  <c r="E23" i="81"/>
  <c r="D29" i="81"/>
  <c r="D32" i="81" s="1"/>
  <c r="D38" i="81" s="1"/>
  <c r="E29" i="81" l="1"/>
  <c r="E26" i="81"/>
  <c r="E32" i="81" l="1"/>
  <c r="E38" i="81" s="1"/>
  <c r="E2" i="80" l="1"/>
  <c r="D2" i="80"/>
  <c r="C2" i="80"/>
  <c r="B2" i="80"/>
  <c r="Y6" i="1" l="1"/>
  <c r="I46" i="39"/>
  <c r="G46" i="39"/>
  <c r="E46" i="39"/>
  <c r="I38" i="39"/>
  <c r="G38" i="39"/>
  <c r="E38" i="39"/>
  <c r="I7" i="39"/>
  <c r="G7" i="39"/>
  <c r="E7" i="39"/>
  <c r="I5" i="39"/>
  <c r="G5" i="39"/>
  <c r="E5" i="39"/>
  <c r="H8" i="78"/>
  <c r="L6" i="78"/>
  <c r="L5" i="78"/>
  <c r="H4" i="78"/>
  <c r="L4" i="78" s="1"/>
  <c r="H3" i="78"/>
  <c r="L3" i="78" s="1"/>
  <c r="L2" i="78"/>
  <c r="G13" i="4"/>
  <c r="B3" i="4"/>
  <c r="L9" i="78" l="1"/>
  <c r="M13" i="3"/>
  <c r="K13" i="3"/>
  <c r="AH5" i="71"/>
  <c r="AG5" i="71"/>
  <c r="AE5" i="71"/>
  <c r="AF5" i="71" s="1"/>
  <c r="AD5" i="71"/>
  <c r="Q5" i="71"/>
  <c r="P5" i="71"/>
  <c r="O5" i="71"/>
  <c r="N5" i="71"/>
  <c r="H9" i="78" l="1"/>
  <c r="K9" i="78" s="1"/>
  <c r="I13" i="3"/>
  <c r="F19" i="6" s="1"/>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S64" i="71" s="1"/>
  <c r="F63" i="71"/>
  <c r="F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C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C47"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AB35" i="71" s="1"/>
  <c r="P35" i="71"/>
  <c r="AA35" i="71"/>
  <c r="O35" i="71"/>
  <c r="Y35" i="71"/>
  <c r="Z35" i="71" s="1"/>
  <c r="N35" i="71"/>
  <c r="X35" i="71" s="1"/>
  <c r="Q34" i="71"/>
  <c r="AB34" i="71" s="1"/>
  <c r="P34" i="71"/>
  <c r="AA34" i="71" s="1"/>
  <c r="O34" i="71"/>
  <c r="Y34" i="71"/>
  <c r="Z34" i="71" s="1"/>
  <c r="N34" i="71"/>
  <c r="Q33" i="71"/>
  <c r="F34" i="71" s="1"/>
  <c r="F35" i="71" s="1"/>
  <c r="F36" i="71" s="1"/>
  <c r="V36" i="71" s="1"/>
  <c r="P33" i="71"/>
  <c r="O33" i="71"/>
  <c r="N33" i="71"/>
  <c r="B34" i="71" s="1"/>
  <c r="B35" i="71" s="1"/>
  <c r="B36" i="71" s="1"/>
  <c r="S36" i="71" s="1"/>
  <c r="D33" i="71"/>
  <c r="Q32" i="71"/>
  <c r="AB32" i="71" s="1"/>
  <c r="P32" i="71"/>
  <c r="AA31" i="71" s="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E30" i="71"/>
  <c r="E31" i="71" s="1"/>
  <c r="E32" i="71" s="1"/>
  <c r="U32" i="71" s="1"/>
  <c r="AA29" i="71"/>
  <c r="C26" i="71"/>
  <c r="Y25" i="71"/>
  <c r="Z25" i="71" s="1"/>
  <c r="AB25" i="71"/>
  <c r="AA26" i="71"/>
  <c r="AA27" i="71"/>
  <c r="AA28" i="71"/>
  <c r="C30" i="71"/>
  <c r="C31" i="71"/>
  <c r="C32" i="71" s="1"/>
  <c r="X30" i="71"/>
  <c r="X31" i="71"/>
  <c r="X32" i="71"/>
  <c r="C34" i="71"/>
  <c r="D34" i="71" s="1"/>
  <c r="Y33" i="71"/>
  <c r="Z33" i="71"/>
  <c r="X34" i="71"/>
  <c r="Y21" i="71"/>
  <c r="Z21" i="71" s="1"/>
  <c r="Y22" i="71"/>
  <c r="Z22" i="71" s="1"/>
  <c r="Y23" i="71"/>
  <c r="Z23" i="71" s="1"/>
  <c r="Y24" i="71"/>
  <c r="Z24" i="71" s="1"/>
  <c r="B24" i="71"/>
  <c r="B23" i="71" s="1"/>
  <c r="B22" i="71" s="1"/>
  <c r="X22" i="71"/>
  <c r="X24" i="71"/>
  <c r="C27" i="71"/>
  <c r="D26" i="71"/>
  <c r="D30" i="71"/>
  <c r="C35" i="71"/>
  <c r="C36" i="71" s="1"/>
  <c r="C39" i="71"/>
  <c r="C40" i="71" s="1"/>
  <c r="C43" i="71"/>
  <c r="D43" i="71" s="1"/>
  <c r="D42" i="71"/>
  <c r="D46" i="71"/>
  <c r="P24" i="71"/>
  <c r="E51" i="71"/>
  <c r="E52" i="71" s="1"/>
  <c r="U52" i="71" s="1"/>
  <c r="U64" i="71"/>
  <c r="E63" i="71"/>
  <c r="Q24" i="71"/>
  <c r="AB21" i="71" s="1"/>
  <c r="D54" i="71"/>
  <c r="T64" i="71"/>
  <c r="O64" i="71"/>
  <c r="D64" i="71"/>
  <c r="C63" i="71"/>
  <c r="Q64" i="71"/>
  <c r="C67" i="71"/>
  <c r="E67" i="71"/>
  <c r="E66" i="71" s="1"/>
  <c r="D68" i="71"/>
  <c r="C71" i="71"/>
  <c r="E71" i="71"/>
  <c r="E70" i="71" s="1"/>
  <c r="D72" i="71"/>
  <c r="C75" i="71"/>
  <c r="E75" i="71"/>
  <c r="E74" i="71" s="1"/>
  <c r="D76" i="71"/>
  <c r="C83" i="71"/>
  <c r="C82" i="71" s="1"/>
  <c r="D82" i="71" s="1"/>
  <c r="F24" i="71"/>
  <c r="F23" i="71" s="1"/>
  <c r="F22" i="71" s="1"/>
  <c r="AB22" i="71"/>
  <c r="AB24" i="71"/>
  <c r="E24" i="71"/>
  <c r="E23" i="71"/>
  <c r="E22" i="71" s="1"/>
  <c r="AA3" i="71"/>
  <c r="AA22" i="71"/>
  <c r="AA24" i="71"/>
  <c r="C62" i="71"/>
  <c r="O63" i="71"/>
  <c r="D63" i="71"/>
  <c r="D71" i="71"/>
  <c r="C70" i="71"/>
  <c r="D70" i="71" s="1"/>
  <c r="D83" i="71"/>
  <c r="D75" i="71"/>
  <c r="C74" i="71"/>
  <c r="D74" i="71" s="1"/>
  <c r="D67" i="71"/>
  <c r="C66" i="71"/>
  <c r="D66" i="71"/>
  <c r="P63" i="71"/>
  <c r="E62" i="71"/>
  <c r="P61" i="71" s="1"/>
  <c r="D39" i="71"/>
  <c r="D35" i="71"/>
  <c r="D31" i="71"/>
  <c r="D27" i="71"/>
  <c r="V24" i="71"/>
  <c r="P62" i="71"/>
  <c r="O62" i="71"/>
  <c r="D62" i="71"/>
  <c r="O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AC25" i="40" s="1"/>
  <c r="H29" i="39"/>
  <c r="AB29" i="39" s="1"/>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W25" i="40"/>
  <c r="AB25" i="40"/>
  <c r="U25" i="40"/>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F31" i="39" s="1"/>
  <c r="AA31" i="39" s="1"/>
  <c r="D97" i="39"/>
  <c r="J23" i="39"/>
  <c r="AC23" i="39" s="1"/>
  <c r="D95" i="39"/>
  <c r="E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s="1"/>
  <c r="Q15" i="39"/>
  <c r="Z15" i="39" s="1"/>
  <c r="Q14" i="39"/>
  <c r="Z14" i="39"/>
  <c r="Q13" i="39"/>
  <c r="Z13" i="39"/>
  <c r="Q12" i="39"/>
  <c r="Z12" i="39"/>
  <c r="Q11" i="39"/>
  <c r="Z11" i="39"/>
  <c r="Q10" i="39"/>
  <c r="Z10" i="39"/>
  <c r="Q9" i="39"/>
  <c r="Z9" i="39"/>
  <c r="J9" i="39"/>
  <c r="AC9" i="39"/>
  <c r="H9" i="39"/>
  <c r="AB9" i="39"/>
  <c r="F9" i="39"/>
  <c r="AA9" i="39"/>
  <c r="J8" i="39"/>
  <c r="AC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H36" i="39"/>
  <c r="AB36" i="39" s="1"/>
  <c r="J35" i="39"/>
  <c r="AC35" i="39" s="1"/>
  <c r="F35" i="39"/>
  <c r="AA35"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C9" i="40"/>
  <c r="S34" i="40"/>
  <c r="S40" i="40"/>
  <c r="U34" i="40"/>
  <c r="U40" i="40"/>
  <c r="F42" i="39"/>
  <c r="AA42" i="39"/>
  <c r="F41" i="39"/>
  <c r="S41" i="39"/>
  <c r="H40" i="39"/>
  <c r="AB40" i="39"/>
  <c r="H39" i="39"/>
  <c r="U39" i="39"/>
  <c r="S34" i="39"/>
  <c r="H34" i="39"/>
  <c r="U34" i="39"/>
  <c r="E109" i="39"/>
  <c r="H31" i="39"/>
  <c r="AB31" i="39" s="1"/>
  <c r="E101" i="39"/>
  <c r="F101" i="39" s="1"/>
  <c r="H19" i="39"/>
  <c r="AB19" i="39" s="1"/>
  <c r="F19" i="39"/>
  <c r="AA19" i="39" s="1"/>
  <c r="J23" i="40"/>
  <c r="AC23" i="40"/>
  <c r="F21" i="40"/>
  <c r="AA21" i="40"/>
  <c r="J21" i="40"/>
  <c r="W21" i="40"/>
  <c r="H42" i="39"/>
  <c r="AB42" i="39"/>
  <c r="J34" i="39"/>
  <c r="AC34" i="39"/>
  <c r="F109" i="39"/>
  <c r="G109" i="39"/>
  <c r="H109" i="39" s="1"/>
  <c r="I109" i="39" s="1"/>
  <c r="J109" i="39" s="1"/>
  <c r="K109" i="39" s="1"/>
  <c r="L109" i="39" s="1"/>
  <c r="M109" i="39" s="1"/>
  <c r="J19" i="39"/>
  <c r="AC19"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H103" i="9"/>
  <c r="D8" i="53" s="1"/>
  <c r="B16" i="53"/>
  <c r="B33" i="72" s="1"/>
  <c r="C7" i="37"/>
  <c r="C7" i="34"/>
  <c r="C7" i="36"/>
  <c r="W35" i="40"/>
  <c r="A118" i="9"/>
  <c r="A4" i="52"/>
  <c r="B41" i="72" s="1"/>
  <c r="A12" i="52"/>
  <c r="B56" i="72" s="1"/>
  <c r="G4" i="4"/>
  <c r="I4" i="4"/>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G509" i="3"/>
  <c r="BL493" i="3"/>
  <c r="AZ491" i="3"/>
  <c r="AZ390"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T13" i="1" s="1"/>
  <c r="R13" i="1"/>
  <c r="S11" i="1"/>
  <c r="AQ11" i="1" s="1"/>
  <c r="R11" i="1"/>
  <c r="S9" i="1"/>
  <c r="R9" i="1"/>
  <c r="J51" i="67"/>
  <c r="C42" i="1"/>
  <c r="H100" i="43"/>
  <c r="C30"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25" i="39"/>
  <c r="U31" i="39"/>
  <c r="S25" i="39"/>
  <c r="U19"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BL17" i="3"/>
  <c r="AZ17" i="3" s="1"/>
  <c r="BL13" i="3"/>
  <c r="G30" i="6"/>
  <c r="G31" i="6" s="1"/>
  <c r="J56" i="9"/>
  <c r="J57" i="9" s="1"/>
  <c r="J59" i="9" s="1"/>
  <c r="J61" i="9" s="1"/>
  <c r="A24" i="51"/>
  <c r="B18" i="72" s="1"/>
  <c r="U29" i="34"/>
  <c r="E5" i="6"/>
  <c r="D9" i="11" s="1"/>
  <c r="C9" i="11" s="1"/>
  <c r="E32" i="6"/>
  <c r="L19" i="6"/>
  <c r="G1" i="68"/>
  <c r="K1" i="12"/>
  <c r="E28" i="6"/>
  <c r="AQ12"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c r="C4" i="12"/>
  <c r="H66" i="43"/>
  <c r="H65" i="43"/>
  <c r="H64" i="43"/>
  <c r="H63" i="43"/>
  <c r="H55" i="43"/>
  <c r="H56" i="43"/>
  <c r="H72" i="43"/>
  <c r="L20" i="6"/>
  <c r="B6" i="1"/>
  <c r="E6" i="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A32"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K14" i="1"/>
  <c r="M14" i="1" s="1"/>
  <c r="BL5" i="3"/>
  <c r="T8" i="1"/>
  <c r="R22" i="31"/>
  <c r="AP7" i="1"/>
  <c r="AB45" i="21"/>
  <c r="AC33" i="21"/>
  <c r="W33" i="21"/>
  <c r="S33" i="21"/>
  <c r="AA33" i="21"/>
  <c r="W32" i="21"/>
  <c r="AC32" i="21"/>
  <c r="AB9" i="21"/>
  <c r="U9" i="21"/>
  <c r="AA32" i="21"/>
  <c r="S32" i="21"/>
  <c r="W9" i="21"/>
  <c r="AC9" i="21"/>
  <c r="AB32" i="21"/>
  <c r="U32" i="21"/>
  <c r="AA10" i="21"/>
  <c r="S10" i="21"/>
  <c r="U32" i="39"/>
  <c r="AB32" i="39"/>
  <c r="AC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AC27" i="33"/>
  <c r="W25" i="33"/>
  <c r="AA23" i="33"/>
  <c r="S23" i="33"/>
  <c r="AB19" i="33"/>
  <c r="AA17" i="33"/>
  <c r="U17" i="33"/>
  <c r="AB17" i="33"/>
  <c r="U23" i="21"/>
  <c r="AB23" i="21"/>
  <c r="AC23" i="21"/>
  <c r="AC11" i="37"/>
  <c r="W11" i="34"/>
  <c r="AC11" i="34"/>
  <c r="F34" i="11"/>
  <c r="F11" i="12"/>
  <c r="C23" i="12" s="1"/>
  <c r="F34" i="68"/>
  <c r="R8" i="1"/>
  <c r="AE8" i="1"/>
  <c r="AG6" i="1"/>
  <c r="H109" i="9"/>
  <c r="H110" i="9" s="1"/>
  <c r="D18" i="53" s="1"/>
  <c r="B35" i="72" s="1"/>
  <c r="D124" i="9"/>
  <c r="D10" i="52" s="1"/>
  <c r="H14" i="74"/>
  <c r="B7" i="74" s="1"/>
  <c r="D125" i="9"/>
  <c r="D11" i="52" s="1"/>
  <c r="H112" i="9"/>
  <c r="D21" i="53" s="1"/>
  <c r="B39" i="72" s="1"/>
  <c r="H111" i="9"/>
  <c r="D126" i="9"/>
  <c r="I14" i="74" s="1"/>
  <c r="B8" i="74" s="1"/>
  <c r="D19" i="53"/>
  <c r="B38" i="72"/>
  <c r="D20" i="53"/>
  <c r="B40" i="72"/>
  <c r="AD3" i="7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AB18" i="71"/>
  <c r="X16" i="71"/>
  <c r="X15" i="71"/>
  <c r="AA16" i="71"/>
  <c r="AA15" i="71"/>
  <c r="X19" i="71"/>
  <c r="Y15" i="71"/>
  <c r="Z15" i="71" s="1"/>
  <c r="AB16" i="71"/>
  <c r="AB15" i="71"/>
  <c r="F17" i="71"/>
  <c r="F16" i="71" s="1"/>
  <c r="F15" i="71" s="1"/>
  <c r="F14" i="71" s="1"/>
  <c r="F13" i="71" s="1"/>
  <c r="Y16" i="71"/>
  <c r="Z16" i="71" s="1"/>
  <c r="X3" i="71"/>
  <c r="E17" i="71"/>
  <c r="E16" i="71"/>
  <c r="E15" i="71" s="1"/>
  <c r="E14" i="71" s="1"/>
  <c r="E13" i="71" s="1"/>
  <c r="E12" i="71" s="1"/>
  <c r="G20" i="43"/>
  <c r="V16" i="71"/>
  <c r="E41" i="43"/>
  <c r="C41" i="43"/>
  <c r="I59" i="34"/>
  <c r="J59" i="34" s="1"/>
  <c r="F16" i="67"/>
  <c r="F13" i="15"/>
  <c r="E11" i="76"/>
  <c r="F6" i="15"/>
  <c r="F42" i="67"/>
  <c r="E9" i="76"/>
  <c r="L47" i="67"/>
  <c r="L47" i="15"/>
  <c r="L48" i="67"/>
  <c r="F38" i="15"/>
  <c r="D2" i="37"/>
  <c r="B11" i="76"/>
  <c r="B7" i="76"/>
  <c r="F8" i="67"/>
  <c r="F13" i="67"/>
  <c r="F36" i="67"/>
  <c r="M8" i="67"/>
  <c r="AO13" i="1"/>
  <c r="M6" i="15"/>
  <c r="AO9" i="1"/>
  <c r="F3" i="73"/>
  <c r="M27" i="15"/>
  <c r="M28" i="67"/>
  <c r="F43" i="67"/>
  <c r="M22" i="15"/>
  <c r="E2" i="69"/>
  <c r="J15" i="67"/>
  <c r="L48" i="15"/>
  <c r="E7" i="76"/>
  <c r="F7" i="67"/>
  <c r="D2" i="35"/>
  <c r="F37" i="15"/>
  <c r="F42" i="15"/>
  <c r="C76" i="67"/>
  <c r="B10" i="76"/>
  <c r="B9" i="76"/>
  <c r="B8" i="76"/>
  <c r="F9" i="15"/>
  <c r="F16" i="15"/>
  <c r="AO11" i="1"/>
  <c r="M9" i="67"/>
  <c r="F40" i="15"/>
  <c r="F26" i="67"/>
  <c r="M26" i="15"/>
  <c r="D2" i="36"/>
  <c r="B12" i="76"/>
  <c r="F26" i="15"/>
  <c r="D2" i="33"/>
  <c r="F7" i="15"/>
  <c r="F9" i="67"/>
  <c r="M22" i="67"/>
  <c r="F6" i="67"/>
  <c r="F5" i="73"/>
  <c r="F6" i="73"/>
  <c r="M6" i="67"/>
  <c r="F36" i="15"/>
  <c r="AO10" i="1"/>
  <c r="F8" i="15"/>
  <c r="F37" i="67"/>
  <c r="M26" i="67"/>
  <c r="AO8" i="1"/>
  <c r="M23" i="67"/>
  <c r="F40" i="67"/>
  <c r="E8" i="76"/>
  <c r="F38" i="67"/>
  <c r="D3" i="73"/>
  <c r="C76" i="15"/>
  <c r="D5" i="73"/>
  <c r="D4" i="73"/>
  <c r="M24" i="67"/>
  <c r="M24" i="15"/>
  <c r="E10" i="76"/>
  <c r="F43" i="15"/>
  <c r="M9" i="15"/>
  <c r="E2" i="68"/>
  <c r="M29" i="67"/>
  <c r="D2" i="34"/>
  <c r="M23" i="15"/>
  <c r="E13" i="76"/>
  <c r="F20" i="31"/>
  <c r="M29" i="15"/>
  <c r="M27" i="67"/>
  <c r="E12" i="76"/>
  <c r="M8" i="15"/>
  <c r="M28" i="15"/>
  <c r="B13" i="76"/>
  <c r="AO12" i="1"/>
  <c r="F4" i="73"/>
  <c r="D2" i="21"/>
  <c r="F7" i="73"/>
  <c r="J15" i="15"/>
  <c r="AR8" i="1" l="1"/>
  <c r="AR11" i="1"/>
  <c r="T11" i="1"/>
  <c r="E8" i="6"/>
  <c r="E15" i="6"/>
  <c r="E65" i="39" s="1"/>
  <c r="E14" i="6"/>
  <c r="E64" i="39" s="1"/>
  <c r="C36" i="69"/>
  <c r="BA13" i="3"/>
  <c r="E60" i="40"/>
  <c r="E11" i="6"/>
  <c r="E61" i="39" s="1"/>
  <c r="E10" i="6"/>
  <c r="G13" i="3"/>
  <c r="AR9" i="1"/>
  <c r="AQ9" i="1"/>
  <c r="T9" i="1"/>
  <c r="AR13" i="1"/>
  <c r="AQ13" i="1"/>
  <c r="AQ10" i="1"/>
  <c r="T10" i="1"/>
  <c r="AR12" i="1"/>
  <c r="T12" i="1"/>
  <c r="E13" i="6"/>
  <c r="E58" i="40" s="1"/>
  <c r="G17" i="43"/>
  <c r="C16" i="43" s="1"/>
  <c r="D16" i="53"/>
  <c r="E29" i="6"/>
  <c r="F30" i="6"/>
  <c r="AZ521" i="3"/>
  <c r="E11" i="71"/>
  <c r="E10" i="71" s="1"/>
  <c r="E9" i="71" s="1"/>
  <c r="E8" i="71" s="1"/>
  <c r="V12" i="71"/>
  <c r="G101" i="39"/>
  <c r="F27" i="39"/>
  <c r="S32" i="37"/>
  <c r="S27" i="36"/>
  <c r="F53" i="9"/>
  <c r="C20" i="43"/>
  <c r="T14" i="43" s="1"/>
  <c r="V14" i="43" s="1"/>
  <c r="K5" i="4"/>
  <c r="B47" i="48" s="1"/>
  <c r="AA41" i="33"/>
  <c r="S41" i="33"/>
  <c r="U23" i="34"/>
  <c r="AB23" i="34"/>
  <c r="W34" i="36"/>
  <c r="AC34" i="36"/>
  <c r="AB14" i="37"/>
  <c r="U14" i="37"/>
  <c r="W31" i="40"/>
  <c r="AC31" i="40"/>
  <c r="AZ424" i="3"/>
  <c r="AA14" i="37"/>
  <c r="AA14" i="33"/>
  <c r="AA44" i="33"/>
  <c r="AA28" i="34"/>
  <c r="S28" i="34"/>
  <c r="AB33" i="35"/>
  <c r="U33" i="35"/>
  <c r="H27" i="39"/>
  <c r="J27" i="39"/>
  <c r="AZ398" i="3"/>
  <c r="AZ405" i="3"/>
  <c r="AZ407" i="3"/>
  <c r="AZ410" i="3"/>
  <c r="AZ415" i="3"/>
  <c r="AZ420" i="3"/>
  <c r="AZ426" i="3"/>
  <c r="AZ432" i="3"/>
  <c r="AZ445" i="3"/>
  <c r="AZ447" i="3"/>
  <c r="AZ464" i="3"/>
  <c r="AZ467" i="3"/>
  <c r="AZ474" i="3"/>
  <c r="AZ480" i="3"/>
  <c r="AZ482" i="3"/>
  <c r="AZ486" i="3"/>
  <c r="AZ488" i="3"/>
  <c r="AZ216" i="3"/>
  <c r="AZ221" i="3"/>
  <c r="AZ226" i="3"/>
  <c r="AZ230" i="3"/>
  <c r="AZ242" i="3"/>
  <c r="AZ246" i="3"/>
  <c r="AZ258" i="3"/>
  <c r="AZ262" i="3"/>
  <c r="AZ267" i="3"/>
  <c r="AZ278" i="3"/>
  <c r="AZ284" i="3"/>
  <c r="AZ290" i="3"/>
  <c r="AZ293" i="3"/>
  <c r="AZ153" i="3"/>
  <c r="AZ169" i="3"/>
  <c r="AZ185" i="3"/>
  <c r="AZ201" i="3"/>
  <c r="AZ207" i="3"/>
  <c r="AZ25" i="3"/>
  <c r="AA39" i="37"/>
  <c r="J31" i="39"/>
  <c r="S38" i="39"/>
  <c r="S38" i="40"/>
  <c r="U38" i="40"/>
  <c r="U9" i="40"/>
  <c r="AA9" i="40"/>
  <c r="AB39" i="40"/>
  <c r="H39" i="37"/>
  <c r="W33" i="33"/>
  <c r="U35" i="33"/>
  <c r="S9" i="33"/>
  <c r="F26" i="33"/>
  <c r="S34" i="34"/>
  <c r="U34" i="35"/>
  <c r="W34" i="35"/>
  <c r="AA31" i="36"/>
  <c r="J36" i="39"/>
  <c r="J23" i="35"/>
  <c r="H12" i="36"/>
  <c r="H24" i="36"/>
  <c r="A15" i="62"/>
  <c r="B61" i="72" s="1"/>
  <c r="AZ427" i="3"/>
  <c r="AZ453" i="3"/>
  <c r="AZ22" i="3"/>
  <c r="AZ30" i="3"/>
  <c r="AZ40" i="3"/>
  <c r="AZ46" i="3"/>
  <c r="AZ49" i="3"/>
  <c r="AZ62" i="3"/>
  <c r="AZ65" i="3"/>
  <c r="AZ76" i="3"/>
  <c r="AZ81" i="3"/>
  <c r="AZ90" i="3"/>
  <c r="AZ96" i="3"/>
  <c r="AZ99" i="3"/>
  <c r="AZ106" i="3"/>
  <c r="AZ112" i="3"/>
  <c r="J51" i="15"/>
  <c r="G1" i="82"/>
  <c r="T36" i="71"/>
  <c r="D36" i="71"/>
  <c r="T32" i="71"/>
  <c r="D32" i="71"/>
  <c r="D55" i="71"/>
  <c r="C56" i="71"/>
  <c r="Q62" i="71"/>
  <c r="Q61" i="71"/>
  <c r="M100" i="43"/>
  <c r="I100" i="43"/>
  <c r="E100" i="43"/>
  <c r="D100" i="43"/>
  <c r="C32" i="66"/>
  <c r="E26" i="66" s="1"/>
  <c r="T40" i="71"/>
  <c r="D40" i="71"/>
  <c r="C23" i="71"/>
  <c r="T24" i="71"/>
  <c r="D24" i="71"/>
  <c r="U24" i="71" s="1"/>
  <c r="D47" i="71"/>
  <c r="C48" i="71"/>
  <c r="D50" i="71"/>
  <c r="C51" i="71"/>
  <c r="D58" i="71"/>
  <c r="C59" i="71"/>
  <c r="C28" i="71"/>
  <c r="AA23" i="71"/>
  <c r="AA21" i="71"/>
  <c r="AB23" i="71"/>
  <c r="S24" i="71"/>
  <c r="C79" i="71"/>
  <c r="Q63" i="71"/>
  <c r="X23" i="71"/>
  <c r="AB33" i="71"/>
  <c r="AA32" i="71"/>
  <c r="AB29" i="71"/>
  <c r="Y29" i="71"/>
  <c r="Z29" i="71" s="1"/>
  <c r="X28" i="71"/>
  <c r="N64" i="71"/>
  <c r="X33" i="71"/>
  <c r="AA25" i="71"/>
  <c r="Y5" i="71"/>
  <c r="Z5" i="71" s="1"/>
  <c r="Y6" i="71"/>
  <c r="Z6" i="71" s="1"/>
  <c r="AA5" i="71"/>
  <c r="AA6" i="71"/>
  <c r="B63" i="71"/>
  <c r="AF10" i="43"/>
  <c r="AC12" i="43"/>
  <c r="AC10" i="43"/>
  <c r="AG12" i="43"/>
  <c r="AG10" i="43"/>
  <c r="X20" i="71"/>
  <c r="Y20" i="71"/>
  <c r="Z20" i="71" s="1"/>
  <c r="AA18" i="71"/>
  <c r="X18" i="71"/>
  <c r="AA17" i="71"/>
  <c r="X17" i="71"/>
  <c r="X13" i="71"/>
  <c r="Y13" i="71"/>
  <c r="Z13" i="71" s="1"/>
  <c r="AA13" i="71"/>
  <c r="AB14" i="71"/>
  <c r="Y10" i="71"/>
  <c r="Z10" i="71" s="1"/>
  <c r="X5" i="71"/>
  <c r="X6" i="71"/>
  <c r="AB6" i="71"/>
  <c r="AB5" i="71"/>
  <c r="Z12" i="43"/>
  <c r="Z10" i="43"/>
  <c r="AD12" i="43"/>
  <c r="AD10" i="43"/>
  <c r="AH12" i="43"/>
  <c r="AH10" i="43"/>
  <c r="Y17" i="71"/>
  <c r="Z17" i="71" s="1"/>
  <c r="AB19" i="71"/>
  <c r="AB17" i="71"/>
  <c r="Y14" i="71"/>
  <c r="Z14" i="71" s="1"/>
  <c r="X14" i="71"/>
  <c r="AA14" i="71"/>
  <c r="X10" i="71"/>
  <c r="AA8" i="71"/>
  <c r="AA20" i="71"/>
  <c r="AB20" i="71"/>
  <c r="B20" i="71"/>
  <c r="C20" i="71"/>
  <c r="Y19" i="71"/>
  <c r="Z19" i="71" s="1"/>
  <c r="Y18" i="71"/>
  <c r="Z18" i="71" s="1"/>
  <c r="AA19" i="71"/>
  <c r="AB11" i="71"/>
  <c r="AB13" i="71"/>
  <c r="X7" i="71"/>
  <c r="AB7" i="71"/>
  <c r="AB10" i="71"/>
  <c r="Y9" i="71"/>
  <c r="Z9" i="71" s="1"/>
  <c r="X11" i="71"/>
  <c r="AA11" i="71"/>
  <c r="AA7" i="71"/>
  <c r="AA9" i="71"/>
  <c r="AA10" i="71"/>
  <c r="X9" i="71"/>
  <c r="X8" i="71"/>
  <c r="AB8" i="71"/>
  <c r="AB9" i="71"/>
  <c r="Y8" i="71"/>
  <c r="Z8" i="71" s="1"/>
  <c r="Y7" i="71"/>
  <c r="Z7" i="71" s="1"/>
  <c r="O7" i="1"/>
  <c r="P7" i="1" s="1"/>
  <c r="C35" i="81"/>
  <c r="C34" i="81"/>
  <c r="F22" i="43"/>
  <c r="K101" i="43"/>
  <c r="N101" i="43"/>
  <c r="G101" i="43"/>
  <c r="J101" i="43"/>
  <c r="H22" i="43"/>
  <c r="H101" i="43"/>
  <c r="M101" i="43"/>
  <c r="E101" i="43"/>
  <c r="AH11" i="43"/>
  <c r="AH13" i="43" s="1"/>
  <c r="AD11" i="43"/>
  <c r="AD13" i="43" s="1"/>
  <c r="Z11" i="43"/>
  <c r="Z13" i="43" s="1"/>
  <c r="AC11" i="43"/>
  <c r="AC13" i="43" s="1"/>
  <c r="Y11" i="43"/>
  <c r="Y13" i="43" s="1"/>
  <c r="B113" i="43"/>
  <c r="F101" i="43"/>
  <c r="E22" i="43"/>
  <c r="C101" i="43"/>
  <c r="N104" i="46"/>
  <c r="L101" i="43"/>
  <c r="D101" i="43"/>
  <c r="D104" i="43" s="1"/>
  <c r="I101" i="43"/>
  <c r="G22" i="43"/>
  <c r="AJ11" i="43"/>
  <c r="AJ13" i="43" s="1"/>
  <c r="AF11" i="43"/>
  <c r="AF13" i="43" s="1"/>
  <c r="AB11" i="43"/>
  <c r="AB13" i="43" s="1"/>
  <c r="Z7" i="43"/>
  <c r="AI11" i="43"/>
  <c r="AI13" i="43" s="1"/>
  <c r="AE11" i="43"/>
  <c r="AE13" i="43" s="1"/>
  <c r="AA11" i="43"/>
  <c r="AA13" i="43" s="1"/>
  <c r="AG11" i="43"/>
  <c r="AG13" i="43" s="1"/>
  <c r="J22" i="43"/>
  <c r="C92" i="9"/>
  <c r="C94" i="9"/>
  <c r="C30" i="11"/>
  <c r="C31" i="12"/>
  <c r="C48" i="68"/>
  <c r="C30" i="69"/>
  <c r="C36" i="11"/>
  <c r="C28" i="15"/>
  <c r="C48" i="69"/>
  <c r="M18" i="82"/>
  <c r="F32" i="82"/>
  <c r="F28" i="82"/>
  <c r="C28" i="82" s="1"/>
  <c r="C21" i="69"/>
  <c r="F34" i="82"/>
  <c r="F62" i="82" s="1"/>
  <c r="M20" i="82"/>
  <c r="D5" i="43"/>
  <c r="C5" i="43"/>
  <c r="P61" i="15"/>
  <c r="F81" i="39"/>
  <c r="G81" i="39" s="1"/>
  <c r="H81" i="39" s="1"/>
  <c r="I81" i="39" s="1"/>
  <c r="J81" i="39" s="1"/>
  <c r="K81" i="39" s="1"/>
  <c r="L81" i="39" s="1"/>
  <c r="M81" i="39" s="1"/>
  <c r="U38" i="39"/>
  <c r="S31" i="39"/>
  <c r="W29" i="39"/>
  <c r="U29" i="39"/>
  <c r="S29" i="39"/>
  <c r="F95" i="39"/>
  <c r="H21" i="39"/>
  <c r="AB21" i="39" s="1"/>
  <c r="J21" i="39"/>
  <c r="W19" i="39"/>
  <c r="AB15" i="39"/>
  <c r="AC15" i="39"/>
  <c r="H17" i="39"/>
  <c r="AB17" i="39" s="1"/>
  <c r="J17" i="39"/>
  <c r="F91" i="39"/>
  <c r="G91" i="39" s="1"/>
  <c r="F17" i="39"/>
  <c r="U17" i="39"/>
  <c r="D22" i="67"/>
  <c r="L27" i="6"/>
  <c r="C34" i="69"/>
  <c r="C35" i="69" s="1"/>
  <c r="Q16" i="1"/>
  <c r="F27" i="69" s="1"/>
  <c r="C47" i="69" s="1"/>
  <c r="D45" i="69" s="1"/>
  <c r="L104" i="43"/>
  <c r="E12" i="6"/>
  <c r="E62" i="39" s="1"/>
  <c r="D19" i="12"/>
  <c r="C19" i="12" s="1"/>
  <c r="H16" i="1"/>
  <c r="D9" i="68"/>
  <c r="C9" i="68" s="1"/>
  <c r="D9" i="69"/>
  <c r="C9" i="69" s="1"/>
  <c r="O14" i="1"/>
  <c r="P14" i="1" s="1"/>
  <c r="P6" i="1"/>
  <c r="O9" i="1"/>
  <c r="P9" i="1" s="1"/>
  <c r="O8" i="1"/>
  <c r="M16" i="1"/>
  <c r="C34" i="68" s="1"/>
  <c r="D12" i="52"/>
  <c r="D127" i="9"/>
  <c r="D13" i="52" s="1"/>
  <c r="E68" i="39"/>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2" i="71"/>
  <c r="Z12" i="71" s="1"/>
  <c r="Y11" i="71"/>
  <c r="Z11" i="71" s="1"/>
  <c r="AA12" i="71"/>
  <c r="AB3" i="71"/>
  <c r="C36" i="43"/>
  <c r="E36" i="43" s="1"/>
  <c r="C39" i="43"/>
  <c r="X12" i="71"/>
  <c r="AB12" i="71"/>
  <c r="T15" i="43"/>
  <c r="V15" i="43" s="1"/>
  <c r="Y3" i="71"/>
  <c r="Z3" i="71" s="1"/>
  <c r="F12" i="71"/>
  <c r="F11" i="71" s="1"/>
  <c r="F10" i="71" s="1"/>
  <c r="F9" i="71" s="1"/>
  <c r="F8" i="71" s="1"/>
  <c r="F7" i="71" s="1"/>
  <c r="F6" i="71" s="1"/>
  <c r="F5" i="71" s="1"/>
  <c r="AF3" i="71"/>
  <c r="P22" i="43" s="1"/>
  <c r="C34" i="43"/>
  <c r="C33" i="43"/>
  <c r="T13" i="43"/>
  <c r="V13"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15"/>
  <c r="D6" i="73"/>
  <c r="D7" i="73"/>
  <c r="C16" i="67"/>
  <c r="T8" i="43" l="1"/>
  <c r="V8" i="43" s="1"/>
  <c r="T16" i="43"/>
  <c r="V16" i="43" s="1"/>
  <c r="T10" i="43"/>
  <c r="V10" i="43" s="1"/>
  <c r="C37" i="43"/>
  <c r="E37" i="43" s="1"/>
  <c r="T9" i="43"/>
  <c r="V9" i="43" s="1"/>
  <c r="C35" i="43"/>
  <c r="E35" i="43" s="1"/>
  <c r="T11" i="43"/>
  <c r="V11" i="43" s="1"/>
  <c r="F10" i="39"/>
  <c r="F27" i="11"/>
  <c r="C29" i="11" s="1"/>
  <c r="D27" i="11" s="1"/>
  <c r="D109" i="43"/>
  <c r="E56" i="40"/>
  <c r="I109" i="43"/>
  <c r="I104" i="43"/>
  <c r="L102" i="43"/>
  <c r="L103" i="43"/>
  <c r="G5" i="3"/>
  <c r="B3" i="3" s="1"/>
  <c r="E110" i="3" s="1"/>
  <c r="E63" i="39"/>
  <c r="E57" i="40"/>
  <c r="L106" i="43"/>
  <c r="I105" i="43"/>
  <c r="BA5" i="3"/>
  <c r="E27" i="6" s="1"/>
  <c r="AZ13" i="3"/>
  <c r="AZ5" i="3" s="1"/>
  <c r="E51" i="40"/>
  <c r="F27" i="6"/>
  <c r="F31" i="6" s="1"/>
  <c r="C29" i="69"/>
  <c r="D27" i="69" s="1"/>
  <c r="E16" i="6"/>
  <c r="E59" i="40"/>
  <c r="D107" i="43"/>
  <c r="E56" i="39"/>
  <c r="E66" i="39" s="1"/>
  <c r="E40" i="3"/>
  <c r="F28" i="12"/>
  <c r="C29" i="12" s="1"/>
  <c r="D28" i="12" s="1"/>
  <c r="F27" i="68"/>
  <c r="C29" i="68" s="1"/>
  <c r="D27" i="68" s="1"/>
  <c r="D106" i="43"/>
  <c r="E340" i="3"/>
  <c r="K19" i="6"/>
  <c r="S6" i="1" s="1"/>
  <c r="AQ6" i="1" s="1"/>
  <c r="I106" i="43"/>
  <c r="L105" i="43"/>
  <c r="L107" i="43"/>
  <c r="L109" i="43"/>
  <c r="I107" i="43"/>
  <c r="E142" i="3"/>
  <c r="E76" i="3"/>
  <c r="E406" i="3"/>
  <c r="B19" i="71"/>
  <c r="B18" i="71" s="1"/>
  <c r="B17" i="71" s="1"/>
  <c r="B16" i="71" s="1"/>
  <c r="S20" i="71"/>
  <c r="D79" i="71"/>
  <c r="C78" i="71"/>
  <c r="D78" i="71" s="1"/>
  <c r="C60" i="71"/>
  <c r="D59" i="71"/>
  <c r="D51" i="71"/>
  <c r="C52" i="71"/>
  <c r="T48" i="71"/>
  <c r="D48" i="71"/>
  <c r="C22" i="71"/>
  <c r="D22" i="71" s="1"/>
  <c r="D23" i="71"/>
  <c r="T56" i="71"/>
  <c r="D56" i="71"/>
  <c r="AB24" i="36"/>
  <c r="U24" i="36"/>
  <c r="AC23" i="35"/>
  <c r="W23" i="35"/>
  <c r="AA26" i="33"/>
  <c r="S26" i="33"/>
  <c r="AB39" i="37"/>
  <c r="U39" i="37"/>
  <c r="U27" i="39"/>
  <c r="AB27" i="39"/>
  <c r="S27" i="39"/>
  <c r="AA27" i="39"/>
  <c r="E7" i="71"/>
  <c r="E6" i="71" s="1"/>
  <c r="E5" i="71" s="1"/>
  <c r="V8" i="71"/>
  <c r="B34" i="72"/>
  <c r="D17" i="53"/>
  <c r="B36" i="72" s="1"/>
  <c r="C19" i="71"/>
  <c r="D20" i="71"/>
  <c r="U20" i="71" s="1"/>
  <c r="T20" i="71"/>
  <c r="B62" i="71"/>
  <c r="N63" i="71"/>
  <c r="T28" i="71"/>
  <c r="D28" i="71"/>
  <c r="U12" i="36"/>
  <c r="AB12" i="36"/>
  <c r="AC36" i="39"/>
  <c r="W36" i="39"/>
  <c r="AC31" i="39"/>
  <c r="W31" i="39"/>
  <c r="AC27" i="39"/>
  <c r="W27" i="39"/>
  <c r="K15" i="1"/>
  <c r="K16" i="1" s="1"/>
  <c r="E30" i="6"/>
  <c r="G105" i="43"/>
  <c r="G103" i="43"/>
  <c r="G106" i="43"/>
  <c r="G102" i="43"/>
  <c r="G107" i="43"/>
  <c r="G104" i="43"/>
  <c r="G109" i="43"/>
  <c r="K103" i="43"/>
  <c r="K107" i="43"/>
  <c r="K104" i="43"/>
  <c r="K105" i="43"/>
  <c r="K109" i="43"/>
  <c r="K102" i="43"/>
  <c r="K106"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D115" i="43"/>
  <c r="E115" i="43" s="1"/>
  <c r="F115" i="43" s="1"/>
  <c r="G115" i="43" s="1"/>
  <c r="H115" i="43" s="1"/>
  <c r="M109" i="43"/>
  <c r="M107" i="43"/>
  <c r="M102" i="43"/>
  <c r="M106" i="43"/>
  <c r="M103" i="43"/>
  <c r="M104" i="43"/>
  <c r="M105" i="43"/>
  <c r="D103" i="43"/>
  <c r="D102" i="43"/>
  <c r="D105" i="43"/>
  <c r="I103" i="43"/>
  <c r="I102" i="43"/>
  <c r="C104" i="43"/>
  <c r="C106" i="43"/>
  <c r="C105" i="43"/>
  <c r="C107" i="43"/>
  <c r="C103" i="43"/>
  <c r="C102" i="43"/>
  <c r="C109" i="43"/>
  <c r="F104" i="43"/>
  <c r="F107" i="43"/>
  <c r="F106" i="43"/>
  <c r="F105" i="43"/>
  <c r="F109" i="43"/>
  <c r="F102" i="43"/>
  <c r="F103" i="43"/>
  <c r="E107" i="43"/>
  <c r="E102" i="43"/>
  <c r="E106" i="43"/>
  <c r="E103" i="43"/>
  <c r="E109" i="43"/>
  <c r="E104" i="43"/>
  <c r="E105" i="43"/>
  <c r="H107" i="43"/>
  <c r="H109" i="43"/>
  <c r="H102" i="43"/>
  <c r="H103" i="43"/>
  <c r="H104" i="43"/>
  <c r="H106" i="43"/>
  <c r="H105" i="43"/>
  <c r="J104" i="43"/>
  <c r="J103" i="43"/>
  <c r="J109" i="43"/>
  <c r="J105" i="43"/>
  <c r="J107" i="43"/>
  <c r="J102" i="43"/>
  <c r="J106" i="43"/>
  <c r="N102" i="43"/>
  <c r="N103" i="43"/>
  <c r="N106" i="43"/>
  <c r="N104" i="43"/>
  <c r="N109" i="43"/>
  <c r="N105" i="43"/>
  <c r="N107" i="43"/>
  <c r="F60" i="82"/>
  <c r="C38" i="69"/>
  <c r="F11" i="82"/>
  <c r="M11" i="82"/>
  <c r="U21" i="39"/>
  <c r="W21" i="39"/>
  <c r="AC21" i="39"/>
  <c r="F21" i="39"/>
  <c r="G95" i="39"/>
  <c r="AA17" i="39"/>
  <c r="S17" i="39"/>
  <c r="AC17" i="39"/>
  <c r="W17" i="39"/>
  <c r="F45" i="69"/>
  <c r="C35" i="68"/>
  <c r="C38" i="68"/>
  <c r="O16" i="1"/>
  <c r="N16" i="1"/>
  <c r="L16" i="1"/>
  <c r="C34" i="11"/>
  <c r="P8" i="1"/>
  <c r="P16" i="1" s="1"/>
  <c r="C11" i="12" s="1"/>
  <c r="J10" i="39"/>
  <c r="W10" i="39" s="1"/>
  <c r="H10" i="40"/>
  <c r="AB10" i="40" s="1"/>
  <c r="G36" i="43"/>
  <c r="I36" i="43" s="1"/>
  <c r="H10" i="39"/>
  <c r="AB10" i="39" s="1"/>
  <c r="J10" i="40"/>
  <c r="W10" i="40" s="1"/>
  <c r="J7" i="37"/>
  <c r="H7" i="36"/>
  <c r="F7" i="34"/>
  <c r="S7" i="34" s="1"/>
  <c r="F68" i="39"/>
  <c r="E70" i="39"/>
  <c r="F59" i="67"/>
  <c r="G35" i="43"/>
  <c r="I35" i="43" s="1"/>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9" i="82"/>
  <c r="F37" i="82"/>
  <c r="F13" i="82"/>
  <c r="F40" i="82"/>
  <c r="M24" i="82"/>
  <c r="M8" i="82"/>
  <c r="F43" i="82"/>
  <c r="F6" i="82"/>
  <c r="F9" i="82"/>
  <c r="F42" i="82"/>
  <c r="F8" i="82"/>
  <c r="F36" i="82"/>
  <c r="F38" i="82"/>
  <c r="AE6" i="1"/>
  <c r="M6" i="82"/>
  <c r="C17" i="15"/>
  <c r="J15" i="82"/>
  <c r="L48" i="82"/>
  <c r="M23" i="82"/>
  <c r="M28" i="82"/>
  <c r="M26" i="82"/>
  <c r="L47" i="82"/>
  <c r="F7" i="82"/>
  <c r="F26" i="82"/>
  <c r="C76" i="82"/>
  <c r="F16" i="82"/>
  <c r="M9" i="82"/>
  <c r="M27" i="82"/>
  <c r="M22" i="82"/>
  <c r="E3" i="80" l="1"/>
  <c r="E5" i="80"/>
  <c r="C47" i="11"/>
  <c r="D45" i="11" s="1"/>
  <c r="E83" i="3"/>
  <c r="E68" i="3"/>
  <c r="E450" i="3"/>
  <c r="E315" i="3"/>
  <c r="E86" i="3"/>
  <c r="E323" i="3"/>
  <c r="E23" i="3"/>
  <c r="AM6" i="3"/>
  <c r="E168" i="3"/>
  <c r="E288" i="3"/>
  <c r="E72" i="3"/>
  <c r="C47" i="68"/>
  <c r="D45" i="68" s="1"/>
  <c r="E106" i="3"/>
  <c r="E43" i="3"/>
  <c r="E102" i="3"/>
  <c r="E220" i="3"/>
  <c r="E463" i="3"/>
  <c r="E21" i="3"/>
  <c r="E144" i="3"/>
  <c r="E300" i="3"/>
  <c r="E425" i="3"/>
  <c r="E139" i="3"/>
  <c r="E221" i="3"/>
  <c r="E473" i="3"/>
  <c r="E170" i="3"/>
  <c r="E20" i="3"/>
  <c r="E120" i="3"/>
  <c r="E468" i="3"/>
  <c r="E171" i="3"/>
  <c r="L6" i="3"/>
  <c r="E412" i="3"/>
  <c r="E287" i="3"/>
  <c r="E232" i="3"/>
  <c r="E383" i="3"/>
  <c r="E98" i="3"/>
  <c r="E226" i="3"/>
  <c r="E529" i="3"/>
  <c r="E19" i="3"/>
  <c r="E264" i="3"/>
  <c r="E233" i="3"/>
  <c r="E67" i="3"/>
  <c r="E310" i="3"/>
  <c r="E267" i="3"/>
  <c r="E103" i="3"/>
  <c r="E29" i="3"/>
  <c r="E332" i="3"/>
  <c r="E104" i="3"/>
  <c r="E527" i="3"/>
  <c r="AE6" i="3"/>
  <c r="E14" i="3"/>
  <c r="E365" i="3"/>
  <c r="E392" i="3"/>
  <c r="E333" i="3"/>
  <c r="E32" i="3"/>
  <c r="E234" i="3"/>
  <c r="E31" i="6"/>
  <c r="K21" i="6"/>
  <c r="M21" i="6" s="1"/>
  <c r="I21" i="6" s="1"/>
  <c r="S21" i="6" s="1"/>
  <c r="E426" i="3"/>
  <c r="E560" i="3"/>
  <c r="E587" i="3"/>
  <c r="E454" i="3"/>
  <c r="E146" i="3"/>
  <c r="E214" i="3"/>
  <c r="E362" i="3"/>
  <c r="E60" i="3"/>
  <c r="E428" i="3"/>
  <c r="E96" i="3"/>
  <c r="E326" i="3"/>
  <c r="E113" i="3"/>
  <c r="E370" i="3"/>
  <c r="E49" i="3"/>
  <c r="E522" i="3"/>
  <c r="E235" i="3"/>
  <c r="E190" i="3"/>
  <c r="E462" i="3"/>
  <c r="E372" i="3"/>
  <c r="E178" i="3"/>
  <c r="W6" i="3"/>
  <c r="E82" i="3"/>
  <c r="E179" i="3"/>
  <c r="Y6" i="3"/>
  <c r="E309" i="3"/>
  <c r="E81" i="3"/>
  <c r="E355" i="3"/>
  <c r="E184" i="3"/>
  <c r="E33" i="3"/>
  <c r="E84" i="3"/>
  <c r="E492" i="3"/>
  <c r="E371" i="3"/>
  <c r="E249" i="3"/>
  <c r="E200" i="3"/>
  <c r="E160" i="3"/>
  <c r="E64" i="3"/>
  <c r="E441" i="3"/>
  <c r="E44" i="3"/>
  <c r="E356" i="3"/>
  <c r="E281" i="3"/>
  <c r="E115" i="3"/>
  <c r="E420" i="3"/>
  <c r="E562" i="3"/>
  <c r="E573" i="3"/>
  <c r="E437" i="3"/>
  <c r="E475" i="3"/>
  <c r="E257" i="3"/>
  <c r="E93" i="3"/>
  <c r="E38" i="3"/>
  <c r="E62" i="3"/>
  <c r="E112" i="3"/>
  <c r="E219" i="3"/>
  <c r="E540" i="3"/>
  <c r="E108" i="3"/>
  <c r="E481" i="3"/>
  <c r="E351" i="3"/>
  <c r="E100" i="3"/>
  <c r="E36" i="3"/>
  <c r="K22" i="6"/>
  <c r="M22" i="6" s="1"/>
  <c r="I22" i="6" s="1"/>
  <c r="S22" i="6" s="1"/>
  <c r="K25" i="6"/>
  <c r="M25" i="6" s="1"/>
  <c r="I25" i="6" s="1"/>
  <c r="S25" i="6" s="1"/>
  <c r="E461" i="3"/>
  <c r="Z6" i="3"/>
  <c r="E433" i="3"/>
  <c r="E279" i="3"/>
  <c r="E74" i="3"/>
  <c r="E79" i="3"/>
  <c r="E176" i="3"/>
  <c r="E123" i="3"/>
  <c r="E299" i="3"/>
  <c r="E521" i="3"/>
  <c r="E119" i="3"/>
  <c r="E159" i="3"/>
  <c r="E350" i="3"/>
  <c r="E134" i="3"/>
  <c r="E180" i="3"/>
  <c r="E224" i="3"/>
  <c r="E379" i="3"/>
  <c r="U6" i="3"/>
  <c r="E543" i="3"/>
  <c r="E427" i="3"/>
  <c r="E486" i="3"/>
  <c r="E507" i="3"/>
  <c r="E422" i="3"/>
  <c r="E440" i="3"/>
  <c r="E490" i="3"/>
  <c r="E376" i="3"/>
  <c r="AH6" i="3"/>
  <c r="J6" i="3"/>
  <c r="E498" i="3"/>
  <c r="E419"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19" i="3"/>
  <c r="E328" i="3"/>
  <c r="E227" i="3"/>
  <c r="AN6" i="3"/>
  <c r="E423" i="3"/>
  <c r="E263" i="3"/>
  <c r="E191" i="3"/>
  <c r="E135" i="3"/>
  <c r="E161" i="3"/>
  <c r="E140" i="3"/>
  <c r="E223" i="3"/>
  <c r="E197" i="3"/>
  <c r="E173" i="3"/>
  <c r="E286" i="3"/>
  <c r="E575" i="3"/>
  <c r="E499" i="3"/>
  <c r="R6" i="3"/>
  <c r="E552" i="3"/>
  <c r="E502" i="3"/>
  <c r="E421" i="3"/>
  <c r="E442" i="3"/>
  <c r="E464" i="3"/>
  <c r="E466" i="3"/>
  <c r="E487" i="3"/>
  <c r="E111" i="3"/>
  <c r="E409" i="3"/>
  <c r="E364" i="3"/>
  <c r="E137" i="3"/>
  <c r="E537" i="3"/>
  <c r="E495" i="3"/>
  <c r="E91" i="3"/>
  <c r="E193" i="3"/>
  <c r="T6" i="3"/>
  <c r="E456" i="3"/>
  <c r="E512" i="3"/>
  <c r="E451" i="3"/>
  <c r="E556" i="3"/>
  <c r="E452" i="3"/>
  <c r="E520" i="3"/>
  <c r="E436" i="3"/>
  <c r="E39" i="3"/>
  <c r="E90" i="3"/>
  <c r="E57" i="3"/>
  <c r="E131" i="3"/>
  <c r="E187" i="3"/>
  <c r="E155" i="3"/>
  <c r="E240" i="3"/>
  <c r="E297" i="3"/>
  <c r="E259" i="3"/>
  <c r="E348" i="3"/>
  <c r="E378" i="3"/>
  <c r="E375" i="3"/>
  <c r="E153" i="3"/>
  <c r="E353" i="3"/>
  <c r="E382" i="3"/>
  <c r="E61" i="3"/>
  <c r="E117" i="3"/>
  <c r="E238" i="3"/>
  <c r="E105" i="3"/>
  <c r="AD6" i="3"/>
  <c r="AG6" i="3"/>
  <c r="AO6" i="3"/>
  <c r="E448" i="3"/>
  <c r="E485" i="3"/>
  <c r="E541" i="3"/>
  <c r="E398" i="3"/>
  <c r="E430" i="3"/>
  <c r="E416" i="3"/>
  <c r="E449" i="3"/>
  <c r="E459" i="3"/>
  <c r="E255" i="3"/>
  <c r="E374" i="3"/>
  <c r="I3" i="6"/>
  <c r="E566" i="3"/>
  <c r="AP6" i="3"/>
  <c r="E500" i="3"/>
  <c r="E554" i="3"/>
  <c r="E582" i="3"/>
  <c r="E517" i="3"/>
  <c r="E413" i="3"/>
  <c r="E435" i="3"/>
  <c r="E460" i="3"/>
  <c r="E165" i="3"/>
  <c r="E501" i="3"/>
  <c r="E125" i="3"/>
  <c r="E366" i="3"/>
  <c r="E553" i="3"/>
  <c r="E282" i="3"/>
  <c r="N6" i="3"/>
  <c r="E347" i="3"/>
  <c r="AA6" i="3"/>
  <c r="E399" i="3"/>
  <c r="E280" i="3"/>
  <c r="E124" i="3"/>
  <c r="E397" i="3"/>
  <c r="E568" i="3"/>
  <c r="I6" i="3"/>
  <c r="E536" i="3"/>
  <c r="E549" i="3"/>
  <c r="E453" i="3"/>
  <c r="E368" i="3"/>
  <c r="E244" i="3"/>
  <c r="E196" i="3"/>
  <c r="E156" i="3"/>
  <c r="E236" i="3"/>
  <c r="E344" i="3"/>
  <c r="E524" i="3"/>
  <c r="E504" i="3"/>
  <c r="E301" i="3"/>
  <c r="E585" i="3"/>
  <c r="E469" i="3"/>
  <c r="E360" i="3"/>
  <c r="E494" i="3"/>
  <c r="E417" i="3"/>
  <c r="E56" i="3"/>
  <c r="E95" i="3"/>
  <c r="E132" i="3"/>
  <c r="E258" i="3"/>
  <c r="E292" i="3"/>
  <c r="E349" i="3"/>
  <c r="E567" i="3"/>
  <c r="E245" i="3"/>
  <c r="E85" i="3"/>
  <c r="E312" i="3"/>
  <c r="E515" i="3"/>
  <c r="E478" i="3"/>
  <c r="P6" i="3"/>
  <c r="E400" i="3"/>
  <c r="E443" i="3"/>
  <c r="E345" i="3"/>
  <c r="E558" i="3"/>
  <c r="E557" i="3"/>
  <c r="E581" i="3"/>
  <c r="E531" i="3"/>
  <c r="E444" i="3"/>
  <c r="E539" i="3"/>
  <c r="E217" i="3"/>
  <c r="E268" i="3"/>
  <c r="AJ6" i="3"/>
  <c r="X6" i="3"/>
  <c r="E246" i="3"/>
  <c r="E314" i="3"/>
  <c r="E16" i="3"/>
  <c r="E434" i="3"/>
  <c r="E296" i="3"/>
  <c r="E136" i="3"/>
  <c r="E188" i="3"/>
  <c r="E228" i="3"/>
  <c r="E181" i="3"/>
  <c r="E157" i="3"/>
  <c r="E149" i="3"/>
  <c r="E77" i="3"/>
  <c r="E212" i="3"/>
  <c r="E253" i="3"/>
  <c r="E167" i="3"/>
  <c r="E199" i="3"/>
  <c r="E141" i="3"/>
  <c r="E313" i="3"/>
  <c r="E330" i="3"/>
  <c r="E519" i="3"/>
  <c r="K6" i="3"/>
  <c r="E532" i="3"/>
  <c r="Q6" i="3"/>
  <c r="AI6" i="3"/>
  <c r="E385" i="3"/>
  <c r="E205" i="3"/>
  <c r="E510" i="3"/>
  <c r="E329" i="3"/>
  <c r="E305" i="3"/>
  <c r="E530"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318" i="3"/>
  <c r="AQ6" i="3"/>
  <c r="E45" i="3"/>
  <c r="E405" i="3"/>
  <c r="E408" i="3"/>
  <c r="E497" i="3"/>
  <c r="E491" i="3"/>
  <c r="E479" i="3"/>
  <c r="E37" i="3"/>
  <c r="E152" i="3"/>
  <c r="E192" i="3"/>
  <c r="E241" i="3"/>
  <c r="E363" i="3"/>
  <c r="E389" i="3"/>
  <c r="E578" i="3"/>
  <c r="E290" i="3"/>
  <c r="E116" i="3"/>
  <c r="E542" i="3"/>
  <c r="E411" i="3"/>
  <c r="E548" i="3"/>
  <c r="E414" i="3"/>
  <c r="E432" i="3"/>
  <c r="E477" i="3"/>
  <c r="E367" i="3"/>
  <c r="E505" i="3"/>
  <c r="E547" i="3"/>
  <c r="AS6" i="3"/>
  <c r="E403" i="3"/>
  <c r="E586" i="3"/>
  <c r="E53" i="3"/>
  <c r="E526" i="3"/>
  <c r="E322" i="3"/>
  <c r="E583" i="3"/>
  <c r="E336" i="3"/>
  <c r="E293" i="3"/>
  <c r="E511" i="3"/>
  <c r="AK6" i="3"/>
  <c r="E306" i="3"/>
  <c r="E262" i="3"/>
  <c r="E99" i="3"/>
  <c r="E148" i="3"/>
  <c r="E269" i="3"/>
  <c r="E122" i="3"/>
  <c r="E89" i="3"/>
  <c r="E207" i="3"/>
  <c r="E252" i="3"/>
  <c r="E271" i="3"/>
  <c r="E204" i="3"/>
  <c r="E145" i="3"/>
  <c r="E164" i="3"/>
  <c r="E107" i="3"/>
  <c r="E369" i="3"/>
  <c r="E393" i="3"/>
  <c r="E525" i="3"/>
  <c r="E493" i="3"/>
  <c r="E534" i="3"/>
  <c r="E564" i="3"/>
  <c r="E518" i="3"/>
  <c r="E128" i="3"/>
  <c r="E352" i="3"/>
  <c r="E545" i="3"/>
  <c r="E343" i="3"/>
  <c r="E69" i="3"/>
  <c r="E278" i="3"/>
  <c r="E563" i="3"/>
  <c r="E172" i="3"/>
  <c r="E445" i="3"/>
  <c r="E535" i="3"/>
  <c r="E509" i="3"/>
  <c r="E579" i="3"/>
  <c r="E431" i="3"/>
  <c r="E247" i="3"/>
  <c r="E201" i="3"/>
  <c r="E311" i="3"/>
  <c r="E514" i="3"/>
  <c r="E570" i="3"/>
  <c r="M6" i="3"/>
  <c r="AB6" i="3"/>
  <c r="E387" i="3"/>
  <c r="E335" i="3"/>
  <c r="E215" i="3"/>
  <c r="E189" i="3"/>
  <c r="E508" i="3"/>
  <c r="E175" i="3"/>
  <c r="E114" i="3"/>
  <c r="E415" i="3"/>
  <c r="E395" i="3"/>
  <c r="E260" i="3"/>
  <c r="E550" i="3"/>
  <c r="E239" i="3"/>
  <c r="E516" i="3"/>
  <c r="E569" i="3"/>
  <c r="E396" i="3"/>
  <c r="E229" i="3"/>
  <c r="E151" i="3"/>
  <c r="E358" i="3"/>
  <c r="E559" i="3"/>
  <c r="E551" i="3"/>
  <c r="V6" i="3"/>
  <c r="E407" i="3"/>
  <c r="E320" i="3"/>
  <c r="E294" i="3"/>
  <c r="E230" i="3"/>
  <c r="E130" i="3"/>
  <c r="E303" i="3"/>
  <c r="E327" i="3"/>
  <c r="E472" i="3"/>
  <c r="E465" i="3"/>
  <c r="E577" i="3"/>
  <c r="E496" i="3"/>
  <c r="E55" i="3"/>
  <c r="E73" i="3"/>
  <c r="E203" i="3"/>
  <c r="E256" i="3"/>
  <c r="E274" i="3"/>
  <c r="E394" i="3"/>
  <c r="AL6" i="3"/>
  <c r="E42" i="3"/>
  <c r="E94" i="3"/>
  <c r="E488" i="3"/>
  <c r="E482" i="3"/>
  <c r="E18" i="3"/>
  <c r="E78" i="3"/>
  <c r="E22" i="3"/>
  <c r="E308" i="3"/>
  <c r="E158" i="3"/>
  <c r="E80" i="3"/>
  <c r="AF6" i="3"/>
  <c r="E251" i="3"/>
  <c r="E206" i="3"/>
  <c r="E34" i="3"/>
  <c r="E35" i="3"/>
  <c r="E342" i="3"/>
  <c r="E324" i="3"/>
  <c r="E275" i="3"/>
  <c r="E174" i="3"/>
  <c r="E129" i="3"/>
  <c r="E446" i="3"/>
  <c r="E59" i="3"/>
  <c r="E544" i="3"/>
  <c r="E346" i="3"/>
  <c r="E202" i="3"/>
  <c r="E25" i="3"/>
  <c r="E483" i="3"/>
  <c r="E438" i="3"/>
  <c r="E277" i="3"/>
  <c r="E373" i="3"/>
  <c r="E222" i="3"/>
  <c r="E154" i="3"/>
  <c r="E51" i="3"/>
  <c r="E341" i="3"/>
  <c r="E513" i="3"/>
  <c r="E283" i="3"/>
  <c r="E118" i="3"/>
  <c r="E63" i="3"/>
  <c r="E381" i="3"/>
  <c r="E284" i="3"/>
  <c r="E250" i="3"/>
  <c r="E127" i="3"/>
  <c r="E87" i="3"/>
  <c r="E48" i="3"/>
  <c r="E24" i="3"/>
  <c r="E66" i="3"/>
  <c r="E584" i="3"/>
  <c r="E354" i="3"/>
  <c r="E386" i="3"/>
  <c r="E307" i="3"/>
  <c r="E266" i="3"/>
  <c r="E209" i="3"/>
  <c r="E248" i="3"/>
  <c r="E163" i="3"/>
  <c r="E195" i="3"/>
  <c r="E138" i="3"/>
  <c r="E46" i="3"/>
  <c r="E467" i="3"/>
  <c r="E484" i="3"/>
  <c r="E480" i="3"/>
  <c r="E109" i="3"/>
  <c r="E30" i="3"/>
  <c r="E572" i="3"/>
  <c r="E391" i="3"/>
  <c r="E243" i="3"/>
  <c r="E225" i="3"/>
  <c r="E198" i="3"/>
  <c r="E41" i="3"/>
  <c r="E26" i="3"/>
  <c r="E470" i="3"/>
  <c r="E571" i="3"/>
  <c r="E457" i="3"/>
  <c r="E458" i="3"/>
  <c r="E133" i="3"/>
  <c r="E402" i="3"/>
  <c r="K20" i="6"/>
  <c r="K24" i="6"/>
  <c r="M24" i="6" s="1"/>
  <c r="I24" i="6" s="1"/>
  <c r="S24" i="6" s="1"/>
  <c r="E177" i="3"/>
  <c r="E424" i="3"/>
  <c r="E471" i="3"/>
  <c r="E54" i="3"/>
  <c r="E208" i="3"/>
  <c r="E357" i="3"/>
  <c r="E31" i="3"/>
  <c r="E75" i="3"/>
  <c r="E455" i="3"/>
  <c r="E101" i="3"/>
  <c r="E218" i="3"/>
  <c r="E50" i="3"/>
  <c r="E147" i="3"/>
  <c r="E52" i="3"/>
  <c r="E339" i="3"/>
  <c r="E194" i="3"/>
  <c r="E47" i="3"/>
  <c r="E58" i="3"/>
  <c r="E242" i="3"/>
  <c r="E401" i="3"/>
  <c r="E576" i="3"/>
  <c r="K26" i="6"/>
  <c r="M26" i="6" s="1"/>
  <c r="I26" i="6" s="1"/>
  <c r="S26" i="6" s="1"/>
  <c r="E254" i="3"/>
  <c r="E429" i="3"/>
  <c r="E150" i="3"/>
  <c r="E580" i="3"/>
  <c r="E15" i="3"/>
  <c r="E265" i="3"/>
  <c r="E289" i="3"/>
  <c r="E325" i="3"/>
  <c r="E65" i="3"/>
  <c r="E276" i="3"/>
  <c r="E474" i="3"/>
  <c r="B4" i="81"/>
  <c r="G6" i="81" s="1"/>
  <c r="K23" i="6"/>
  <c r="M23" i="6" s="1"/>
  <c r="I23" i="6" s="1"/>
  <c r="S23" i="6" s="1"/>
  <c r="E13" i="3"/>
  <c r="F45" i="68"/>
  <c r="M19" i="6"/>
  <c r="I19" i="6" s="1"/>
  <c r="E6" i="70"/>
  <c r="T6" i="1"/>
  <c r="AR6" i="1"/>
  <c r="L57" i="82"/>
  <c r="L56" i="82"/>
  <c r="L60" i="82"/>
  <c r="I54" i="82"/>
  <c r="J60" i="82"/>
  <c r="Q48" i="82" s="1"/>
  <c r="J53" i="82"/>
  <c r="J57" i="82"/>
  <c r="J55" i="82" s="1"/>
  <c r="J58" i="82" s="1"/>
  <c r="Q50" i="82" s="1"/>
  <c r="J59" i="82"/>
  <c r="F51" i="82"/>
  <c r="M7" i="82"/>
  <c r="J6" i="82" s="1"/>
  <c r="J18" i="82" s="1"/>
  <c r="F50" i="82"/>
  <c r="L59" i="82"/>
  <c r="N59" i="82"/>
  <c r="L58" i="82"/>
  <c r="M59" i="82"/>
  <c r="F66" i="82"/>
  <c r="F65" i="82"/>
  <c r="Q71" i="82"/>
  <c r="F64" i="82"/>
  <c r="F71" i="82"/>
  <c r="C27" i="82"/>
  <c r="F68" i="82"/>
  <c r="C6" i="82"/>
  <c r="N61" i="71"/>
  <c r="N62" i="71"/>
  <c r="E3" i="6"/>
  <c r="AY6" i="3"/>
  <c r="T52" i="71"/>
  <c r="D52" i="71"/>
  <c r="J10" i="82"/>
  <c r="J5" i="82" s="1"/>
  <c r="J26" i="82" s="1"/>
  <c r="C18" i="71"/>
  <c r="D19" i="71"/>
  <c r="T60" i="71"/>
  <c r="D60" i="71"/>
  <c r="B15" i="71"/>
  <c r="B14" i="71" s="1"/>
  <c r="B13" i="71" s="1"/>
  <c r="B12" i="71" s="1"/>
  <c r="S16" i="71"/>
  <c r="C115" i="43"/>
  <c r="D113" i="43" s="1"/>
  <c r="S3" i="43"/>
  <c r="T3" i="43" s="1"/>
  <c r="V3" i="43" s="1"/>
  <c r="S4" i="43"/>
  <c r="T4" i="43" s="1"/>
  <c r="V4" i="43" s="1"/>
  <c r="S2" i="43"/>
  <c r="T2" i="43" s="1"/>
  <c r="V2" i="43" s="1"/>
  <c r="C26" i="43" s="1"/>
  <c r="S5" i="43"/>
  <c r="T5" i="43" s="1"/>
  <c r="V5" i="43" s="1"/>
  <c r="S6" i="43"/>
  <c r="T6" i="43" s="1"/>
  <c r="V6" i="43" s="1"/>
  <c r="S7" i="43"/>
  <c r="T7" i="43" s="1"/>
  <c r="V7" i="43" s="1"/>
  <c r="C23" i="43"/>
  <c r="C21" i="43" s="1"/>
  <c r="C29" i="43" s="1"/>
  <c r="C24" i="82"/>
  <c r="C53" i="82"/>
  <c r="C10" i="82"/>
  <c r="AA21" i="39"/>
  <c r="S21" i="39"/>
  <c r="U10" i="40"/>
  <c r="U10" i="39"/>
  <c r="C15" i="12"/>
  <c r="C12" i="12"/>
  <c r="C38" i="11"/>
  <c r="C35" i="11"/>
  <c r="F50" i="11"/>
  <c r="F50" i="68"/>
  <c r="F50" i="69"/>
  <c r="AC10" i="39"/>
  <c r="AC10" i="40"/>
  <c r="U7" i="37"/>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C16" i="82"/>
  <c r="F41" i="15"/>
  <c r="C14" i="15"/>
  <c r="AC6" i="3" l="1"/>
  <c r="H6" i="3"/>
  <c r="S7" i="1"/>
  <c r="M20" i="6"/>
  <c r="J24" i="82"/>
  <c r="K27" i="6"/>
  <c r="C5" i="82"/>
  <c r="C38" i="82" s="1"/>
  <c r="C18" i="15"/>
  <c r="C15" i="15"/>
  <c r="B11" i="71"/>
  <c r="B10" i="71" s="1"/>
  <c r="B9" i="71" s="1"/>
  <c r="B8" i="71" s="1"/>
  <c r="S12" i="71"/>
  <c r="C17" i="71"/>
  <c r="D18"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52" i="3"/>
  <c r="AY411" i="3"/>
  <c r="BM6" i="3"/>
  <c r="AY534" i="3"/>
  <c r="AY495" i="3"/>
  <c r="AY16" i="3"/>
  <c r="AY514" i="3"/>
  <c r="AY101" i="3"/>
  <c r="AY80" i="3"/>
  <c r="AY189" i="3"/>
  <c r="AY66" i="3"/>
  <c r="AY176" i="3"/>
  <c r="AY115" i="3"/>
  <c r="AY188" i="3"/>
  <c r="AY276" i="3"/>
  <c r="AY297" i="3"/>
  <c r="AY225" i="3"/>
  <c r="AY335" i="3"/>
  <c r="AY470" i="3"/>
  <c r="AY409" i="3"/>
  <c r="AY180" i="3"/>
  <c r="AY228" i="3"/>
  <c r="AY358" i="3"/>
  <c r="AY465" i="3"/>
  <c r="AY513" i="3"/>
  <c r="AY569" i="3"/>
  <c r="AY553" i="3"/>
  <c r="AY77" i="3"/>
  <c r="AY60" i="3"/>
  <c r="AY206" i="3"/>
  <c r="AY170" i="3"/>
  <c r="AY149" i="3"/>
  <c r="AY299" i="3"/>
  <c r="AY263" i="3"/>
  <c r="AY246" i="3"/>
  <c r="AY392" i="3"/>
  <c r="AY357" i="3"/>
  <c r="BJ6" i="3"/>
  <c r="AY41" i="3"/>
  <c r="AY197" i="3"/>
  <c r="AY114" i="3"/>
  <c r="AY274" i="3"/>
  <c r="AY377" i="3"/>
  <c r="AY317" i="3"/>
  <c r="AY491" i="3"/>
  <c r="AY446" i="3"/>
  <c r="AY427" i="3"/>
  <c r="AY585" i="3"/>
  <c r="AY546" i="3"/>
  <c r="AY501" i="3"/>
  <c r="AY582"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88" i="3"/>
  <c r="AY581" i="3"/>
  <c r="AY561" i="3"/>
  <c r="AY571" i="3"/>
  <c r="BG6" i="3"/>
  <c r="AY584" i="3"/>
  <c r="AY519" i="3"/>
  <c r="AY65" i="3"/>
  <c r="AY37" i="3"/>
  <c r="AY83" i="3"/>
  <c r="AY23" i="3"/>
  <c r="AY155" i="3"/>
  <c r="AY59" i="3"/>
  <c r="AY131" i="3"/>
  <c r="AY58" i="3"/>
  <c r="AY268" i="3"/>
  <c r="AY371" i="3"/>
  <c r="AY318" i="3"/>
  <c r="AY428" i="3"/>
  <c r="AY106" i="3"/>
  <c r="AY245" i="3"/>
  <c r="AY395" i="3"/>
  <c r="AY342" i="3"/>
  <c r="AY433" i="3"/>
  <c r="BK6" i="3"/>
  <c r="AY541" i="3"/>
  <c r="AY108" i="3"/>
  <c r="AY45" i="3"/>
  <c r="AY28" i="3"/>
  <c r="AY201" i="3"/>
  <c r="AY138" i="3"/>
  <c r="AY118" i="3"/>
  <c r="AY294" i="3"/>
  <c r="AY231" i="3"/>
  <c r="AY214" i="3"/>
  <c r="AY381" i="3"/>
  <c r="AY554" i="3"/>
  <c r="AY104" i="3"/>
  <c r="AY24" i="3"/>
  <c r="AY177" i="3"/>
  <c r="AY290" i="3"/>
  <c r="AY210" i="3"/>
  <c r="AY349" i="3"/>
  <c r="AY332" i="3"/>
  <c r="AY457" i="3"/>
  <c r="AY414" i="3"/>
  <c r="BQ6" i="3"/>
  <c r="BF6" i="3"/>
  <c r="AY510" i="3"/>
  <c r="AY494" i="3"/>
  <c r="AY96"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C33" i="82"/>
  <c r="C32" i="82"/>
  <c r="C49" i="82"/>
  <c r="C48" i="82" s="1"/>
  <c r="L46" i="82"/>
  <c r="D3" i="21"/>
  <c r="D3" i="34"/>
  <c r="E6" i="6"/>
  <c r="D14" i="12"/>
  <c r="M18" i="9"/>
  <c r="B118" i="9" s="1"/>
  <c r="B14" i="74" s="1"/>
  <c r="B1" i="74" s="1"/>
  <c r="D3" i="33"/>
  <c r="L18" i="9"/>
  <c r="D19" i="11"/>
  <c r="C19" i="11" s="1"/>
  <c r="C24" i="11" s="1"/>
  <c r="D37" i="11"/>
  <c r="C37" i="11" s="1"/>
  <c r="C33" i="11" s="1"/>
  <c r="C39" i="11" s="1"/>
  <c r="D3" i="37"/>
  <c r="C17" i="4"/>
  <c r="B4" i="52" s="1"/>
  <c r="B43" i="72" s="1"/>
  <c r="Q60" i="82"/>
  <c r="Q73" i="82"/>
  <c r="Q61" i="82"/>
  <c r="Q74" i="82"/>
  <c r="F1" i="82"/>
  <c r="Q52" i="82"/>
  <c r="Q66" i="82"/>
  <c r="Q57" i="82"/>
  <c r="C36" i="81"/>
  <c r="E29" i="43"/>
  <c r="C30" i="43"/>
  <c r="E30" i="43" s="1"/>
  <c r="C27" i="43" s="1"/>
  <c r="F69" i="15"/>
  <c r="J29" i="15"/>
  <c r="S19" i="6"/>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6" i="11"/>
  <c r="D22" i="11" s="1"/>
  <c r="C38" i="67"/>
  <c r="C38" i="15"/>
  <c r="C66" i="67"/>
  <c r="C60" i="67"/>
  <c r="AE7" i="1"/>
  <c r="C17" i="82"/>
  <c r="E6" i="76"/>
  <c r="C14" i="67"/>
  <c r="B6" i="76"/>
  <c r="F41" i="67"/>
  <c r="C17" i="67"/>
  <c r="F69" i="67" l="1"/>
  <c r="J29" i="67"/>
  <c r="C15" i="67"/>
  <c r="C18" i="67"/>
  <c r="E6" i="3"/>
  <c r="B2" i="34"/>
  <c r="B3" i="34" s="1"/>
  <c r="C46" i="11"/>
  <c r="C45" i="11" s="1"/>
  <c r="C43" i="11"/>
  <c r="I20" i="6"/>
  <c r="M27" i="6"/>
  <c r="E7" i="70"/>
  <c r="E2" i="70" s="1"/>
  <c r="AR7" i="1"/>
  <c r="S16" i="1"/>
  <c r="AQ7" i="1"/>
  <c r="T7" i="1"/>
  <c r="C66" i="82"/>
  <c r="C60" i="82"/>
  <c r="C19" i="15"/>
  <c r="C20" i="15" s="1"/>
  <c r="C26" i="15" s="1"/>
  <c r="C7" i="74"/>
  <c r="C8" i="74"/>
  <c r="D10" i="68"/>
  <c r="D20" i="12"/>
  <c r="C20" i="12" s="1"/>
  <c r="D10" i="69"/>
  <c r="D10" i="11"/>
  <c r="C10" i="11" s="1"/>
  <c r="C16" i="71"/>
  <c r="D17" i="71"/>
  <c r="B7" i="71"/>
  <c r="B6" i="71" s="1"/>
  <c r="B5" i="71" s="1"/>
  <c r="S8" i="71"/>
  <c r="C20" i="11"/>
  <c r="C25" i="11" s="1"/>
  <c r="C22" i="11" s="1"/>
  <c r="D17" i="12"/>
  <c r="C17" i="12" s="1"/>
  <c r="C14" i="12"/>
  <c r="C16" i="12" s="1"/>
  <c r="H22" i="6"/>
  <c r="H24" i="6"/>
  <c r="H23" i="6"/>
  <c r="M19" i="9"/>
  <c r="C118" i="9" s="1"/>
  <c r="C14" i="74" s="1"/>
  <c r="B2" i="74" s="1"/>
  <c r="D15" i="6"/>
  <c r="D21" i="6"/>
  <c r="D9" i="6"/>
  <c r="D28" i="6"/>
  <c r="D19" i="6"/>
  <c r="R19" i="6" s="1"/>
  <c r="D23" i="6"/>
  <c r="D29" i="6"/>
  <c r="D8" i="6"/>
  <c r="L19" i="9"/>
  <c r="D11" i="6"/>
  <c r="D12" i="6"/>
  <c r="D5" i="6"/>
  <c r="D25" i="6"/>
  <c r="D22" i="6"/>
  <c r="D24" i="6"/>
  <c r="D13" i="6"/>
  <c r="E61" i="40"/>
  <c r="C18" i="4"/>
  <c r="D10" i="6"/>
  <c r="D26" i="6"/>
  <c r="D20" i="6"/>
  <c r="D6" i="6"/>
  <c r="H26" i="6"/>
  <c r="D14" i="6"/>
  <c r="H25" i="6"/>
  <c r="R25" i="6" s="1"/>
  <c r="H21" i="6"/>
  <c r="F36" i="81"/>
  <c r="F1" i="81"/>
  <c r="E2" i="76"/>
  <c r="C42" i="11"/>
  <c r="H70" i="39"/>
  <c r="I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4" i="82"/>
  <c r="F41" i="82"/>
  <c r="C19" i="67" l="1"/>
  <c r="C20" i="67" s="1"/>
  <c r="C26" i="67" s="1"/>
  <c r="J29" i="82"/>
  <c r="F69" i="82"/>
  <c r="R24" i="6"/>
  <c r="C41" i="11"/>
  <c r="C49" i="11" s="1"/>
  <c r="C51" i="11" s="1"/>
  <c r="R22" i="6"/>
  <c r="C15" i="82"/>
  <c r="C18" i="82"/>
  <c r="S20" i="6"/>
  <c r="S27" i="6" s="1"/>
  <c r="I27" i="6"/>
  <c r="H20" i="6"/>
  <c r="H27" i="6" s="1"/>
  <c r="T16" i="1"/>
  <c r="R21" i="6"/>
  <c r="C23" i="15"/>
  <c r="C29" i="15" s="1"/>
  <c r="J59" i="15" s="1"/>
  <c r="J60" i="15" s="1"/>
  <c r="Q48" i="15" s="1"/>
  <c r="R26" i="6"/>
  <c r="D16" i="6"/>
  <c r="R23" i="6"/>
  <c r="D30" i="6"/>
  <c r="D7" i="74"/>
  <c r="D8" i="74"/>
  <c r="C28" i="11"/>
  <c r="C27" i="11" s="1"/>
  <c r="C31" i="11" s="1"/>
  <c r="A7" i="51"/>
  <c r="B7" i="72" s="1"/>
  <c r="C4" i="52"/>
  <c r="B45" i="72" s="1"/>
  <c r="A10" i="51"/>
  <c r="B9" i="72" s="1"/>
  <c r="D27" i="6"/>
  <c r="C15" i="71"/>
  <c r="T16" i="71"/>
  <c r="D16" i="71"/>
  <c r="U16" i="71" s="1"/>
  <c r="C10" i="69"/>
  <c r="C8" i="69" s="1"/>
  <c r="C5" i="69" s="1"/>
  <c r="D19" i="69"/>
  <c r="C10" i="68"/>
  <c r="B29" i="1" s="1"/>
  <c r="C8" i="68" s="1"/>
  <c r="D19" i="68"/>
  <c r="B3" i="76"/>
  <c r="R6" i="1"/>
  <c r="I70" i="39"/>
  <c r="J68" i="39"/>
  <c r="I63" i="40"/>
  <c r="H65" i="40"/>
  <c r="I58" i="21"/>
  <c r="J58" i="21" s="1"/>
  <c r="K58" i="21" s="1"/>
  <c r="L58" i="21" s="1"/>
  <c r="M58" i="21" s="1"/>
  <c r="N58" i="21" s="1"/>
  <c r="O58" i="21" s="1"/>
  <c r="H7" i="21" s="1"/>
  <c r="J7" i="21"/>
  <c r="F7" i="21"/>
  <c r="J48" i="35"/>
  <c r="M21" i="15"/>
  <c r="F35" i="15"/>
  <c r="C23" i="67" l="1"/>
  <c r="C29" i="67" s="1"/>
  <c r="J59" i="67" s="1"/>
  <c r="J60" i="67" s="1"/>
  <c r="Q48" i="67" s="1"/>
  <c r="J19" i="15"/>
  <c r="J14" i="15"/>
  <c r="C52" i="11"/>
  <c r="B2" i="11" s="1"/>
  <c r="B3" i="11" s="1"/>
  <c r="C19" i="82"/>
  <c r="C20" i="82" s="1"/>
  <c r="C23" i="82" s="1"/>
  <c r="R20" i="6"/>
  <c r="R7" i="1" s="1"/>
  <c r="C13" i="15"/>
  <c r="C56" i="15" s="1"/>
  <c r="C65" i="15" s="1"/>
  <c r="C36" i="15"/>
  <c r="C57" i="15"/>
  <c r="Q49" i="15"/>
  <c r="D31" i="6"/>
  <c r="I6" i="6" s="1"/>
  <c r="C11" i="39" s="1"/>
  <c r="J11" i="39" s="1"/>
  <c r="C19" i="68"/>
  <c r="C24" i="68" s="1"/>
  <c r="D37" i="68"/>
  <c r="C37" i="68" s="1"/>
  <c r="C33" i="68" s="1"/>
  <c r="C19" i="69"/>
  <c r="C24" i="69" s="1"/>
  <c r="D37" i="69"/>
  <c r="C37" i="69" s="1"/>
  <c r="C33" i="69" s="1"/>
  <c r="C14" i="71"/>
  <c r="D15" i="71"/>
  <c r="C23" i="69"/>
  <c r="C18" i="12"/>
  <c r="C21" i="12" s="1"/>
  <c r="J20" i="15"/>
  <c r="F63" i="15"/>
  <c r="C62" i="15" s="1"/>
  <c r="C34" i="15"/>
  <c r="C31" i="15" s="1"/>
  <c r="K68" i="39"/>
  <c r="J70" i="39"/>
  <c r="U7" i="21"/>
  <c r="AB7" i="21"/>
  <c r="T48" i="21" s="1"/>
  <c r="G48" i="21" s="1"/>
  <c r="S7" i="21"/>
  <c r="AA7" i="21"/>
  <c r="R48" i="21" s="1"/>
  <c r="J63" i="40"/>
  <c r="I65" i="40"/>
  <c r="K48" i="35"/>
  <c r="L48" i="35" s="1"/>
  <c r="M48" i="35" s="1"/>
  <c r="N48" i="35" s="1"/>
  <c r="O48" i="35" s="1"/>
  <c r="H7" i="35" s="1"/>
  <c r="J7" i="35"/>
  <c r="AC7" i="21"/>
  <c r="V48" i="21" s="1"/>
  <c r="I48" i="21" s="1"/>
  <c r="W7" i="21"/>
  <c r="M21" i="67"/>
  <c r="F35" i="82"/>
  <c r="M21" i="82"/>
  <c r="F35" i="67"/>
  <c r="J20" i="67" l="1"/>
  <c r="C34" i="67"/>
  <c r="F63" i="67"/>
  <c r="C62" i="67" s="1"/>
  <c r="C36" i="67"/>
  <c r="J14" i="67"/>
  <c r="J19" i="67"/>
  <c r="Q49" i="67"/>
  <c r="C33" i="67"/>
  <c r="C31" i="67" s="1"/>
  <c r="C13" i="67"/>
  <c r="C57" i="67"/>
  <c r="J17" i="15"/>
  <c r="C56" i="11"/>
  <c r="C57" i="11" s="1"/>
  <c r="C75" i="15"/>
  <c r="J22" i="15"/>
  <c r="J13" i="15"/>
  <c r="J23" i="15" s="1"/>
  <c r="C37" i="15"/>
  <c r="Q70" i="15"/>
  <c r="J20" i="82"/>
  <c r="C34" i="82"/>
  <c r="C31" i="82" s="1"/>
  <c r="F63" i="82"/>
  <c r="C62" i="82" s="1"/>
  <c r="R16" i="1"/>
  <c r="R27" i="6"/>
  <c r="C26" i="82"/>
  <c r="C29" i="82" s="1"/>
  <c r="D13" i="81" s="1"/>
  <c r="D12" i="81" s="1"/>
  <c r="I5" i="6"/>
  <c r="H11" i="39"/>
  <c r="U11" i="39" s="1"/>
  <c r="C61" i="15"/>
  <c r="C59" i="15" s="1"/>
  <c r="C64" i="15"/>
  <c r="C30" i="15"/>
  <c r="C39" i="15" s="1"/>
  <c r="Q69" i="15" s="1"/>
  <c r="B5" i="81"/>
  <c r="D14" i="81" s="1"/>
  <c r="F11" i="39"/>
  <c r="AA11" i="39" s="1"/>
  <c r="C22" i="12"/>
  <c r="C30" i="12" s="1"/>
  <c r="C28" i="12" s="1"/>
  <c r="C20" i="69"/>
  <c r="C39" i="69"/>
  <c r="C43" i="69" s="1"/>
  <c r="C42" i="69"/>
  <c r="C39" i="68"/>
  <c r="C42" i="68"/>
  <c r="AC11" i="39"/>
  <c r="W11" i="39"/>
  <c r="C13" i="71"/>
  <c r="D14" i="71"/>
  <c r="K70" i="39"/>
  <c r="L68" i="39"/>
  <c r="W7" i="35"/>
  <c r="AC7" i="35"/>
  <c r="V38" i="35" s="1"/>
  <c r="I38" i="35" s="1"/>
  <c r="J65" i="40"/>
  <c r="K63" i="40"/>
  <c r="I52" i="21"/>
  <c r="J52" i="21" s="1"/>
  <c r="U7" i="35"/>
  <c r="AB7" i="35"/>
  <c r="T38" i="35" s="1"/>
  <c r="G38" i="35" s="1"/>
  <c r="R49" i="21"/>
  <c r="E48" i="21"/>
  <c r="G52" i="21"/>
  <c r="H52" i="21" s="1"/>
  <c r="G53" i="21"/>
  <c r="H53" i="21" s="1"/>
  <c r="F7" i="35"/>
  <c r="L57" i="15"/>
  <c r="L60" i="15" s="1"/>
  <c r="L46" i="15" s="1"/>
  <c r="L51" i="15"/>
  <c r="J17" i="67" l="1"/>
  <c r="D11" i="81"/>
  <c r="D7" i="81" s="1"/>
  <c r="C26" i="81" s="1"/>
  <c r="C32" i="81" s="1"/>
  <c r="C38" i="81" s="1"/>
  <c r="C39" i="81" s="1"/>
  <c r="C40" i="81" s="1"/>
  <c r="C41" i="81" s="1"/>
  <c r="C61" i="67"/>
  <c r="C59" i="67" s="1"/>
  <c r="C64" i="67"/>
  <c r="C75" i="67"/>
  <c r="C37" i="67"/>
  <c r="C30" i="67" s="1"/>
  <c r="C39" i="67" s="1"/>
  <c r="C56" i="67"/>
  <c r="C65" i="67" s="1"/>
  <c r="Q70" i="67"/>
  <c r="J22" i="67"/>
  <c r="J13" i="67"/>
  <c r="J23" i="67" s="1"/>
  <c r="J16" i="15"/>
  <c r="J25" i="15" s="1"/>
  <c r="Q68" i="15"/>
  <c r="C36" i="82"/>
  <c r="Q49" i="82"/>
  <c r="J19" i="82"/>
  <c r="J17" i="82" s="1"/>
  <c r="C13" i="82"/>
  <c r="C57" i="82"/>
  <c r="J14" i="82"/>
  <c r="C80" i="15"/>
  <c r="C79" i="15" s="1"/>
  <c r="S11" i="39"/>
  <c r="AB11" i="39"/>
  <c r="C41" i="69"/>
  <c r="Q67" i="15"/>
  <c r="C58" i="15"/>
  <c r="C67" i="15" s="1"/>
  <c r="C68" i="15" s="1"/>
  <c r="C27" i="12"/>
  <c r="C25" i="12" s="1"/>
  <c r="C32" i="12" s="1"/>
  <c r="B2" i="12" s="1"/>
  <c r="B3" i="12" s="1"/>
  <c r="C40" i="15"/>
  <c r="C46" i="69"/>
  <c r="C45" i="69" s="1"/>
  <c r="D13" i="71"/>
  <c r="C12" i="71"/>
  <c r="C46" i="68"/>
  <c r="C45" i="68" s="1"/>
  <c r="C43" i="68"/>
  <c r="C41" i="68" s="1"/>
  <c r="C28" i="69"/>
  <c r="C27" i="69" s="1"/>
  <c r="C25" i="69"/>
  <c r="C22" i="69"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67"/>
  <c r="E11" i="81" l="1"/>
  <c r="E7" i="81" s="1"/>
  <c r="C27" i="81" s="1"/>
  <c r="J16" i="67"/>
  <c r="J25" i="67" s="1"/>
  <c r="C58" i="67"/>
  <c r="C67" i="67" s="1"/>
  <c r="C68" i="67" s="1"/>
  <c r="C71" i="67" s="1"/>
  <c r="Q67" i="67"/>
  <c r="L57" i="67"/>
  <c r="L60" i="67" s="1"/>
  <c r="C80" i="67"/>
  <c r="C79" i="67" s="1"/>
  <c r="C40" i="67"/>
  <c r="C45" i="67" s="1"/>
  <c r="C46" i="67" s="1"/>
  <c r="Q69" i="67"/>
  <c r="Q68" i="67" s="1"/>
  <c r="B2" i="81"/>
  <c r="B3" i="81" s="1"/>
  <c r="C49" i="69"/>
  <c r="C51" i="69" s="1"/>
  <c r="J13" i="82"/>
  <c r="J23" i="82" s="1"/>
  <c r="J22" i="82"/>
  <c r="Q70" i="82"/>
  <c r="C56" i="82"/>
  <c r="C65" i="82" s="1"/>
  <c r="C75" i="82"/>
  <c r="C37" i="82"/>
  <c r="C30" i="82" s="1"/>
  <c r="C39" i="82" s="1"/>
  <c r="C61" i="82"/>
  <c r="C59" i="82" s="1"/>
  <c r="C64" i="82"/>
  <c r="Q65" i="15"/>
  <c r="Q75" i="15" s="1"/>
  <c r="Q47" i="15"/>
  <c r="Q53" i="15" s="1"/>
  <c r="Q56" i="15"/>
  <c r="Q62" i="15" s="1"/>
  <c r="C43" i="15"/>
  <c r="C83" i="15"/>
  <c r="C82" i="15" s="1"/>
  <c r="B2" i="15"/>
  <c r="C71" i="15"/>
  <c r="C46" i="15"/>
  <c r="C31" i="69"/>
  <c r="C11" i="71"/>
  <c r="T12" i="71"/>
  <c r="D12" i="71"/>
  <c r="U12" i="71" s="1"/>
  <c r="C49" i="68"/>
  <c r="C51" i="68" s="1"/>
  <c r="M70" i="39"/>
  <c r="N68" i="39"/>
  <c r="R39" i="35"/>
  <c r="E38" i="35"/>
  <c r="M63" i="40"/>
  <c r="L65" i="40"/>
  <c r="AO6" i="1"/>
  <c r="D19" i="9"/>
  <c r="L51" i="82"/>
  <c r="C52" i="69" l="1"/>
  <c r="B2" i="69" s="1"/>
  <c r="B3" i="69" s="1"/>
  <c r="C43" i="67"/>
  <c r="Q47" i="67"/>
  <c r="Q53" i="67" s="1"/>
  <c r="Q65" i="67"/>
  <c r="Q56" i="67"/>
  <c r="C83" i="67"/>
  <c r="C82" i="67" s="1"/>
  <c r="L46" i="67"/>
  <c r="D2" i="67" s="1"/>
  <c r="Q66" i="67"/>
  <c r="Q75" i="67" s="1"/>
  <c r="Q57" i="67"/>
  <c r="Q62" i="67" s="1"/>
  <c r="C58" i="82"/>
  <c r="C67" i="82" s="1"/>
  <c r="C68" i="82" s="1"/>
  <c r="C71" i="82" s="1"/>
  <c r="C80" i="82"/>
  <c r="C79" i="82" s="1"/>
  <c r="Q67" i="82"/>
  <c r="Q69" i="82"/>
  <c r="Q68" i="82" s="1"/>
  <c r="C40" i="82"/>
  <c r="J16" i="82"/>
  <c r="J25" i="82" s="1"/>
  <c r="B6" i="70"/>
  <c r="B3" i="15"/>
  <c r="C10" i="71"/>
  <c r="D11" i="71"/>
  <c r="D102" i="9"/>
  <c r="D21" i="9"/>
  <c r="N70" i="39"/>
  <c r="O68" i="39"/>
  <c r="O70" i="39" s="1"/>
  <c r="F7" i="39"/>
  <c r="C39" i="35"/>
  <c r="B2" i="35" s="1"/>
  <c r="B3" i="35" s="1"/>
  <c r="C38" i="35"/>
  <c r="N63" i="40"/>
  <c r="M65" i="40"/>
  <c r="E43" i="35"/>
  <c r="F43" i="35" s="1"/>
  <c r="E42" i="35"/>
  <c r="F42" i="35" s="1"/>
  <c r="I43" i="35"/>
  <c r="J43" i="35" s="1"/>
  <c r="D20" i="9"/>
  <c r="C57" i="69" l="1"/>
  <c r="C56" i="69" s="1"/>
  <c r="B3" i="67"/>
  <c r="B2" i="67"/>
  <c r="Q47" i="82"/>
  <c r="Q53" i="82" s="1"/>
  <c r="Q65" i="82"/>
  <c r="Q75" i="82" s="1"/>
  <c r="B2" i="82"/>
  <c r="C43" i="82"/>
  <c r="C83" i="82"/>
  <c r="C82" i="82" s="1"/>
  <c r="Q56" i="82"/>
  <c r="Q62" i="82" s="1"/>
  <c r="C46" i="82"/>
  <c r="D10" i="71"/>
  <c r="C9" i="71"/>
  <c r="D103" i="9"/>
  <c r="AA7" i="39"/>
  <c r="R47" i="39" s="1"/>
  <c r="S7" i="39"/>
  <c r="J7" i="39"/>
  <c r="H7" i="39"/>
  <c r="O63" i="40"/>
  <c r="O65" i="40" s="1"/>
  <c r="N65" i="40"/>
  <c r="AO7" i="1"/>
  <c r="B7" i="70" l="1"/>
  <c r="B2" i="70" s="1"/>
  <c r="B3" i="70" s="1"/>
  <c r="B3" i="82"/>
  <c r="C8" i="71"/>
  <c r="D9" i="71"/>
  <c r="AB7" i="39"/>
  <c r="T47" i="39" s="1"/>
  <c r="G47" i="39" s="1"/>
  <c r="U7" i="39"/>
  <c r="AC7" i="39"/>
  <c r="V47" i="39" s="1"/>
  <c r="I47" i="39" s="1"/>
  <c r="W7" i="39"/>
  <c r="E47" i="39"/>
  <c r="J7" i="40"/>
  <c r="F7" i="40"/>
  <c r="H7" i="40"/>
  <c r="C7" i="71" l="1"/>
  <c r="T8" i="71"/>
  <c r="D8" i="71"/>
  <c r="U8" i="71" s="1"/>
  <c r="R48" i="39"/>
  <c r="C47" i="39" s="1"/>
  <c r="E51" i="39"/>
  <c r="F51" i="39" s="1"/>
  <c r="E52" i="39"/>
  <c r="F52" i="39" s="1"/>
  <c r="I52" i="39"/>
  <c r="J52" i="39" s="1"/>
  <c r="I51" i="39"/>
  <c r="J51" i="39" s="1"/>
  <c r="G52" i="39"/>
  <c r="H52" i="39" s="1"/>
  <c r="G51" i="39"/>
  <c r="H51" i="39" s="1"/>
  <c r="U7" i="40"/>
  <c r="AB7" i="40"/>
  <c r="T42" i="40" s="1"/>
  <c r="G42" i="40" s="1"/>
  <c r="AA7" i="40"/>
  <c r="R42" i="40" s="1"/>
  <c r="S7" i="40"/>
  <c r="AC7" i="40"/>
  <c r="V42" i="40" s="1"/>
  <c r="I42" i="40" s="1"/>
  <c r="W7" i="40"/>
  <c r="C6" i="71" l="1"/>
  <c r="D7" i="71"/>
  <c r="C48" i="39"/>
  <c r="B56" i="39" s="1"/>
  <c r="F56" i="39" s="1"/>
  <c r="C6" i="68" s="1"/>
  <c r="I46" i="40"/>
  <c r="J46" i="40" s="1"/>
  <c r="R43" i="40"/>
  <c r="E42" i="40"/>
  <c r="G47" i="40"/>
  <c r="H47" i="40" s="1"/>
  <c r="G46" i="40"/>
  <c r="H46" i="40" s="1"/>
  <c r="C5" i="71" l="1"/>
  <c r="D6" i="71"/>
  <c r="C7" i="68"/>
  <c r="C5" i="68" s="1"/>
  <c r="B63" i="39"/>
  <c r="F63" i="39" s="1"/>
  <c r="B61" i="39"/>
  <c r="F61" i="39" s="1"/>
  <c r="B62" i="39"/>
  <c r="F62" i="39" s="1"/>
  <c r="B57" i="39"/>
  <c r="F57" i="39" s="1"/>
  <c r="B64" i="39"/>
  <c r="F64" i="39" s="1"/>
  <c r="B59" i="39"/>
  <c r="F59" i="39" s="1"/>
  <c r="B58" i="39"/>
  <c r="F58" i="39" s="1"/>
  <c r="B60" i="39"/>
  <c r="F60" i="39" s="1"/>
  <c r="B65" i="39"/>
  <c r="F65" i="39" s="1"/>
  <c r="C42" i="40"/>
  <c r="C43" i="40"/>
  <c r="E47" i="40"/>
  <c r="F47" i="40" s="1"/>
  <c r="E46" i="40"/>
  <c r="F46" i="40" s="1"/>
  <c r="I47" i="40"/>
  <c r="J47" i="40" s="1"/>
  <c r="D5" i="71" l="1"/>
  <c r="M20" i="43"/>
  <c r="C20" i="68"/>
  <c r="C25" i="68" s="1"/>
  <c r="C23" i="68"/>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s="1"/>
  <c r="C19" i="9"/>
  <c r="C57" i="68" l="1"/>
  <c r="C56" i="68" s="1"/>
  <c r="C102" i="9"/>
  <c r="C21" i="9"/>
  <c r="D22" i="9"/>
  <c r="G19" i="9"/>
  <c r="B3" i="68"/>
  <c r="D35" i="9"/>
  <c r="D34" i="9"/>
  <c r="C20" i="9"/>
  <c r="C103" i="9" l="1"/>
  <c r="G20" i="9"/>
  <c r="C32" i="9" s="1"/>
  <c r="C35" i="9" s="1"/>
  <c r="C34" i="9" s="1"/>
  <c r="G21" i="9"/>
  <c r="D14" i="74"/>
  <c r="G14" i="74" l="1"/>
  <c r="B6" i="74" s="1"/>
  <c r="E14" i="74"/>
  <c r="F14" i="74"/>
  <c r="B5" i="74"/>
  <c r="C6" i="74" l="1"/>
  <c r="D6" i="74"/>
  <c r="D5" i="74"/>
  <c r="C5" i="74"/>
  <c r="D118" i="9"/>
  <c r="D4" i="52" s="1"/>
  <c r="B47" i="72" s="1"/>
  <c r="F118" i="9"/>
  <c r="F4" i="52" s="1"/>
  <c r="B51" i="72" s="1"/>
  <c r="H118" i="9"/>
  <c r="C104" i="9" s="1"/>
  <c r="H101" i="9" l="1"/>
  <c r="D5" i="53" s="1"/>
  <c r="D6" i="53" s="1"/>
  <c r="B22" i="72" s="1"/>
  <c r="I118" i="9"/>
  <c r="C105" i="9" s="1"/>
  <c r="F119" i="9"/>
  <c r="F5" i="52" s="1"/>
  <c r="B53" i="72" s="1"/>
  <c r="G118" i="9"/>
  <c r="G4" i="52" s="1"/>
  <c r="B52" i="72" s="1"/>
  <c r="H119" i="9"/>
  <c r="H5" i="52" s="1"/>
  <c r="D119" i="9"/>
  <c r="D5" i="52" s="1"/>
  <c r="B49" i="72" s="1"/>
  <c r="B20" i="72"/>
  <c r="E118" i="9"/>
  <c r="E4" i="52" s="1"/>
  <c r="B48" i="72" s="1"/>
  <c r="D45" i="9"/>
  <c r="H102" i="9"/>
  <c r="D7" i="53" s="1"/>
  <c r="B21" i="72" s="1"/>
  <c r="H4" i="52"/>
  <c r="I4" i="52"/>
  <c r="M48" i="9" l="1"/>
  <c r="H107" i="9"/>
  <c r="D53" i="9"/>
  <c r="C93" i="9"/>
  <c r="C86" i="9" s="1"/>
  <c r="D52" i="9"/>
  <c r="C78" i="9"/>
  <c r="C73" i="9" s="1"/>
  <c r="D55" i="9"/>
  <c r="M53" i="9" s="1"/>
  <c r="C72" i="9"/>
  <c r="C79" i="9" s="1"/>
  <c r="C64" i="9"/>
  <c r="C63" i="9" s="1"/>
  <c r="C67" i="9" s="1"/>
  <c r="C85" i="9"/>
  <c r="C95" i="9" s="1"/>
  <c r="D13" i="53"/>
  <c r="D122" i="9"/>
  <c r="H108" i="9"/>
  <c r="D15" i="53" s="1"/>
  <c r="B31" i="72" s="1"/>
  <c r="M49" i="9"/>
  <c r="L64" i="9" l="1"/>
  <c r="M64" i="9" s="1"/>
  <c r="L67" i="9"/>
  <c r="M67" i="9" s="1"/>
  <c r="L68" i="9"/>
  <c r="M68" i="9" s="1"/>
  <c r="L66" i="9"/>
  <c r="M66" i="9" s="1"/>
  <c r="L65" i="9"/>
  <c r="M65" i="9" s="1"/>
  <c r="L63" i="9"/>
  <c r="M63" i="9" s="1"/>
  <c r="D8" i="52"/>
  <c r="D123" i="9"/>
  <c r="D9" i="52" s="1"/>
  <c r="C96" i="9"/>
  <c r="E96" i="9" s="1"/>
  <c r="E97" i="9" s="1"/>
  <c r="C80" i="9"/>
  <c r="E80" i="9" s="1"/>
  <c r="E81" i="9" s="1"/>
  <c r="B30" i="72"/>
  <c r="D14" i="53"/>
  <c r="B32" i="72" s="1"/>
  <c r="D59" i="9"/>
  <c r="M55" i="9" s="1"/>
  <c r="C68" i="9"/>
  <c r="D54" i="9"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<sst xmlns="http://schemas.openxmlformats.org/spreadsheetml/2006/main" count="10763" uniqueCount="4237">
  <si>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</si>
  <si>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</si>
  <si>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</si>
  <si>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</si>
  <si>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</si>
  <si>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</si>
  <si>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</si>
  <si>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</si>
  <si>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</si>
  <si>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</si>
  <si>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</si>
  <si>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</si>
  <si>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</si>
  <si>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</si>
  <si>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</si>
  <si>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</si>
  <si>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</si>
  <si>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</si>
  <si>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</si>
  <si>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</si>
  <si>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</si>
  <si>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</si>
  <si>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</si>
  <si>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</si>
  <si>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</si>
  <si>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</si>
  <si>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</si>
  <si>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</si>
  <si>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</si>
  <si>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</si>
  <si>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</si>
  <si>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</si>
  <si>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</si>
  <si>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</si>
  <si>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</si>
  <si>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</si>
  <si>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</si>
  <si>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</si>
  <si>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</si>
  <si>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</si>
  <si>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</si>
  <si>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</si>
  <si>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</si>
  <si>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</si>
  <si>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</si>
  <si>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</si>
  <si>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</si>
  <si>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</si>
  <si>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</si>
  <si>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</si>
  <si>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</si>
  <si>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</si>
  <si>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</si>
  <si>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</si>
  <si>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</si>
  <si>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</si>
  <si>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</si>
  <si>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</si>
  <si>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</si>
  <si>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</si>
  <si>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</si>
  <si>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</si>
  <si>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</si>
  <si>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</si>
  <si>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</si>
  <si>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</si>
  <si>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</si>
  <si>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</si>
  <si>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</si>
  <si>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</si>
  <si>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</si>
  <si>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</si>
  <si>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</si>
  <si>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</si>
  <si>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</si>
  <si>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</si>
  <si>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</si>
  <si>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</si>
  <si>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</si>
  <si>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</si>
  <si>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</si>
  <si>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</si>
  <si>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</si>
  <si>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</si>
  <si>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</si>
  <si>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</si>
  <si>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</si>
  <si>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</si>
  <si>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</si>
  <si>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</si>
  <si>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</si>
  <si>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</si>
  <si>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</si>
  <si>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</si>
  <si>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</si>
  <si>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</si>
  <si>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</si>
  <si>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</si>
  <si>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</si>
  <si>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</si>
  <si>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</si>
  <si>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</si>
  <si>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</si>
  <si>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</si>
  <si>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</si>
  <si>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</si>
  <si>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</si>
  <si>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</si>
  <si>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</si>
  <si>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</si>
  <si>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</si>
  <si>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</si>
  <si>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</si>
  <si>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</si>
  <si>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</si>
  <si>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</si>
  <si>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</si>
  <si>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</si>
  <si>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</si>
  <si>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</si>
  <si>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</si>
  <si>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</si>
  <si>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</si>
  <si>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</si>
  <si>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</si>
  <si>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</si>
  <si>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</si>
  <si>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</si>
  <si>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</si>
  <si>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</si>
  <si>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</si>
  <si>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</si>
  <si>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</si>
  <si>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</si>
  <si>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</si>
  <si>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</si>
  <si>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</si>
  <si>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</si>
  <si>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</si>
  <si>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</si>
  <si>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</si>
  <si>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</si>
  <si>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</si>
  <si>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</si>
  <si>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</si>
  <si>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</si>
  <si>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</si>
  <si>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</si>
  <si>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</si>
  <si>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</si>
  <si>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</si>
  <si>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</si>
  <si>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</si>
  <si>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</si>
  <si>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</si>
  <si>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</si>
  <si>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</si>
  <si>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</si>
  <si>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</si>
  <si>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</si>
  <si>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</si>
  <si>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</si>
  <si>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</si>
  <si>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</si>
  <si>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</si>
  <si>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</si>
  <si>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</si>
  <si>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</si>
  <si>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</si>
  <si>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</si>
  <si>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</si>
  <si>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</si>
  <si>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</si>
  <si>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</si>
  <si>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</si>
  <si>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</si>
  <si>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</si>
  <si>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</si>
  <si>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</si>
  <si>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</si>
  <si>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</si>
  <si>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</si>
  <si>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</si>
  <si>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</si>
  <si>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</si>
  <si>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</si>
  <si>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</si>
  <si>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</si>
  <si>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</si>
  <si>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</si>
  <si>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</si>
  <si>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</si>
  <si>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</si>
  <si>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</si>
  <si>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</si>
  <si>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</si>
  <si>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</si>
  <si>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</si>
  <si>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</si>
  <si>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</si>
  <si>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</si>
  <si>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</si>
  <si>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</si>
  <si>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</si>
  <si>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</si>
  <si>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</si>
  <si>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</si>
  <si>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</si>
  <si>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</si>
  <si>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</si>
  <si>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</si>
  <si>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</si>
  <si>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</si>
  <si>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</si>
  <si>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</si>
  <si>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</si>
  <si>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</si>
  <si>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</si>
  <si>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</si>
  <si>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</si>
  <si>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</si>
  <si>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</si>
  <si>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</si>
  <si>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</si>
  <si>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</si>
  <si>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</si>
  <si>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</si>
  <si>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</si>
  <si>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</si>
  <si>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</si>
  <si>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</si>
  <si>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</si>
  <si>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</si>
  <si>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</si>
  <si>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</si>
  <si>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</si>
  <si>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</si>
  <si>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</si>
  <si>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</si>
  <si>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</si>
  <si>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</si>
  <si>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</si>
  <si>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</si>
  <si>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</si>
  <si>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</si>
  <si>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</si>
  <si>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</si>
  <si>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</si>
  <si>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</si>
  <si>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</si>
  <si>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</si>
  <si>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</si>
  <si>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</si>
  <si>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</si>
  <si>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</si>
  <si>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</si>
  <si>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</si>
  <si>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</si>
  <si>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</si>
  <si>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</si>
  <si>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</si>
  <si>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</si>
  <si>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</si>
  <si>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</si>
  <si>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</si>
  <si>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</si>
  <si>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</si>
  <si>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</si>
  <si>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</si>
  <si>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</si>
  <si>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</si>
  <si>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</si>
  <si>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</si>
  <si>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</si>
  <si>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</si>
  <si>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</si>
  <si>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</si>
  <si>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</si>
  <si>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</si>
  <si>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</si>
  <si>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</si>
  <si>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</si>
  <si>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</si>
  <si>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</si>
  <si>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</si>
  <si>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</si>
  <si>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</si>
  <si>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</si>
  <si>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</si>
  <si>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</si>
  <si>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</si>
  <si>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</si>
  <si>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</si>
  <si>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</si>
  <si>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</si>
  <si>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</si>
  <si>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</si>
  <si>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</si>
  <si>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</si>
  <si>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</si>
  <si>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</si>
  <si>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</si>
  <si>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</si>
  <si>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</si>
  <si>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</si>
  <si>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</si>
  <si>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</si>
  <si>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</si>
  <si>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</si>
  <si>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</si>
  <si>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</si>
  <si>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</si>
  <si>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</si>
  <si>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</si>
  <si>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</si>
  <si>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</si>
  <si>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</si>
  <si>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</si>
  <si>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</si>
  <si>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</si>
  <si>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</si>
  <si>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</si>
  <si>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</si>
  <si>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</si>
  <si>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</si>
  <si>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</si>
  <si>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</si>
  <si>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</si>
  <si>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</si>
  <si>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</si>
  <si>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</si>
  <si>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</si>
  <si>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</si>
  <si>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</si>
  <si>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</si>
  <si>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</si>
  <si>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</si>
  <si>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</si>
  <si>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</si>
  <si>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</si>
  <si>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</si>
  <si>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</si>
  <si>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</si>
  <si>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</si>
  <si>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</si>
  <si>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</si>
  <si>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</si>
  <si>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</si>
  <si>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</si>
  <si>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</si>
  <si>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</si>
  <si>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</si>
  <si>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</si>
  <si>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</si>
  <si>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</si>
  <si>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</si>
  <si>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</si>
  <si>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</si>
  <si>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</si>
  <si>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</si>
  <si>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</si>
  <si>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</si>
  <si>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</si>
  <si>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</si>
  <si>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</si>
  <si>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</si>
  <si>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</si>
  <si>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</si>
  <si>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</si>
  <si>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</si>
  <si>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</si>
  <si>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</si>
  <si>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</si>
  <si>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</si>
  <si>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</si>
  <si>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</si>
  <si>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</si>
  <si>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</si>
  <si>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</si>
  <si>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</si>
  <si>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</si>
  <si>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</si>
  <si>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</si>
  <si>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</si>
  <si>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</si>
  <si>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</si>
  <si>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</si>
  <si>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</si>
  <si>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</si>
  <si>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</si>
  <si>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</si>
  <si>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</si>
  <si>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</si>
  <si>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</si>
  <si>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</si>
  <si>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</si>
  <si>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</si>
  <si>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</si>
  <si>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</si>
  <si>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</si>
  <si>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</si>
  <si>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</si>
  <si>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</si>
  <si>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</si>
  <si>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</si>
  <si>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</si>
  <si>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</si>
  <si>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</si>
  <si>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</si>
  <si>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</si>
  <si>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</si>
  <si>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</si>
  <si>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</si>
  <si>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</si>
  <si>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</si>
  <si>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</si>
  <si>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</si>
  <si>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</si>
  <si>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</si>
  <si>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</si>
  <si>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</si>
  <si>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</si>
  <si>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</si>
  <si>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</si>
  <si>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</si>
  <si>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</si>
  <si>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</si>
  <si>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</si>
  <si>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</si>
  <si>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</si>
  <si>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</si>
  <si>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</si>
  <si>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</si>
  <si>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</si>
  <si>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</si>
  <si>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</si>
  <si>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</si>
  <si>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</si>
  <si>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</si>
  <si>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</si>
  <si>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</si>
  <si>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</si>
  <si>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</si>
  <si>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</si>
  <si>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</si>
  <si>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</si>
  <si>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</si>
  <si>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</si>
  <si>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</si>
  <si>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</si>
  <si>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</si>
  <si>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</si>
  <si>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</si>
  <si>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</si>
  <si>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</si>
  <si>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</si>
  <si>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</si>
  <si>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</si>
  <si>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</si>
  <si>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</si>
  <si>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</si>
  <si>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</si>
  <si>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</si>
  <si>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</si>
  <si>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</si>
  <si>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</si>
  <si>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</si>
  <si>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</si>
  <si>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</si>
  <si>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</si>
  <si>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</si>
  <si>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</si>
  <si>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</si>
  <si>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</si>
  <si>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</si>
  <si>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</si>
  <si>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</si>
  <si>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</si>
  <si>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</si>
  <si>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</si>
  <si>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</si>
  <si>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</si>
  <si>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</si>
  <si>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</si>
  <si>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</si>
  <si>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</si>
  <si>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</si>
  <si>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</si>
  <si>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</si>
  <si>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</si>
  <si>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</si>
  <si>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</si>
  <si>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</si>
  <si>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</si>
  <si>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</si>
  <si>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</si>
  <si>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</si>
  <si>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</si>
  <si>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</si>
  <si>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</si>
  <si>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</si>
  <si>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</si>
  <si>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</si>
  <si>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</si>
  <si>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</si>
  <si>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</si>
  <si>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</si>
  <si>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</si>
  <si>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</si>
  <si>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</si>
  <si>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</si>
  <si>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</si>
  <si>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</si>
  <si>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</si>
  <si>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</si>
  <si>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</si>
  <si>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</si>
  <si>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</si>
  <si>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</si>
  <si>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</si>
  <si>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</si>
  <si>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</si>
  <si>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</si>
  <si>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</si>
  <si>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</si>
  <si>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</si>
  <si>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</si>
  <si>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</si>
  <si>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</si>
  <si>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</si>
  <si>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</si>
  <si>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</si>
  <si>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</si>
  <si>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</si>
  <si>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</si>
  <si>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</si>
  <si>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</si>
  <si>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</si>
  <si>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</si>
  <si>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</si>
  <si>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</si>
  <si>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</si>
  <si>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</si>
  <si>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</si>
  <si>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</si>
  <si>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</si>
  <si>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</si>
  <si>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</si>
  <si>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</si>
  <si>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</si>
  <si>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</si>
  <si>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</si>
  <si>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</si>
  <si>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</si>
  <si>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</si>
  <si>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</si>
  <si>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</si>
  <si>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</si>
  <si>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</si>
  <si>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</si>
  <si>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</si>
  <si>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</si>
  <si>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</si>
  <si>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</si>
  <si>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</si>
  <si>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</si>
  <si>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</si>
  <si>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</si>
  <si>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</si>
  <si>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</si>
  <si>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</si>
  <si>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</si>
  <si>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</si>
  <si>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</si>
  <si>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</si>
  <si>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</si>
  <si>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</si>
  <si>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</si>
  <si>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</si>
  <si>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</si>
  <si>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</si>
  <si>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</si>
  <si>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</si>
  <si>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</si>
  <si>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</si>
  <si>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</si>
  <si>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</si>
  <si>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</si>
  <si>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</si>
  <si>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</si>
  <si>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</si>
  <si>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</si>
  <si>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</si>
  <si>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</si>
  <si>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</si>
  <si>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</si>
  <si>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</si>
  <si>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</si>
  <si>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</si>
  <si>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</si>
  <si>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</si>
  <si>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</si>
  <si>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</si>
  <si>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</si>
  <si>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</si>
  <si>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</si>
  <si>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</si>
  <si>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</si>
  <si>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</si>
  <si>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</si>
  <si>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</si>
  <si>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</si>
  <si>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</si>
  <si>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</si>
  <si>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</si>
  <si>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</si>
  <si>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</si>
  <si>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</si>
  <si>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</si>
  <si>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</si>
  <si>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</si>
  <si>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</si>
  <si>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</si>
  <si>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</si>
  <si>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</si>
  <si>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</si>
  <si>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</si>
  <si>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</si>
  <si>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</si>
  <si>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</si>
  <si>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</si>
  <si>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</si>
  <si>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</si>
  <si>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</si>
  <si>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</si>
  <si>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</si>
  <si>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</si>
  <si>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</si>
  <si>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</si>
  <si>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</si>
  <si>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</si>
  <si>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</si>
  <si>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</si>
  <si>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</si>
  <si>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</si>
  <si>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</si>
  <si>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</si>
  <si>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</si>
  <si>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</si>
  <si>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</si>
  <si>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</si>
  <si>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</si>
  <si>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</si>
  <si>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</si>
  <si>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</si>
  <si>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</si>
  <si>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</si>
  <si>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</si>
  <si>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</si>
  <si>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</si>
  <si>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</si>
  <si>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</si>
  <si>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</si>
  <si>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</si>
  <si>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</si>
  <si>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</si>
  <si>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</si>
  <si>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</si>
  <si>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</si>
  <si>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</si>
  <si>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</si>
  <si>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</si>
  <si>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</si>
  <si>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</si>
  <si>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</si>
  <si>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</si>
  <si>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</si>
  <si>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</si>
  <si>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</si>
  <si>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</si>
  <si>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</si>
  <si>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</si>
  <si>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</si>
  <si>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</si>
  <si>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</si>
  <si>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</si>
  <si>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</si>
  <si>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</si>
  <si>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</si>
  <si>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</si>
  <si>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</si>
  <si>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</si>
  <si>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</si>
  <si>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</si>
  <si>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</si>
  <si>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</si>
  <si>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</si>
  <si>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</si>
  <si>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</si>
  <si>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</si>
  <si>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</si>
  <si>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</si>
  <si>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</si>
  <si>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</si>
  <si>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</si>
  <si>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</si>
  <si>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</si>
  <si>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</si>
  <si>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</si>
  <si>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</si>
  <si>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</si>
  <si>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</si>
  <si>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</si>
  <si>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</si>
  <si>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</si>
  <si>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</si>
  <si>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</si>
  <si>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</si>
  <si>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</si>
  <si>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</si>
  <si>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</si>
  <si>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</si>
  <si>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</si>
  <si>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</si>
  <si>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</si>
  <si>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</si>
  <si>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</si>
  <si>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</si>
  <si>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</si>
  <si>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</si>
  <si>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</si>
  <si>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</si>
  <si>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</si>
  <si>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</si>
  <si>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</si>
  <si>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</si>
  <si>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</si>
  <si>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</si>
  <si>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</si>
  <si>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</si>
  <si>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</si>
  <si>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</si>
  <si>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</si>
  <si>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</si>
  <si>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</si>
  <si>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</si>
  <si>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</si>
  <si>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</si>
  <si>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</si>
  <si>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</si>
  <si>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</si>
  <si>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</si>
  <si>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</si>
  <si>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</si>
  <si>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</si>
  <si>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</si>
  <si>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</si>
  <si>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</si>
  <si>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</si>
  <si>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</si>
  <si>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</si>
  <si>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</si>
  <si>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</si>
  <si>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</si>
  <si>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</si>
  <si>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</si>
  <si>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</si>
  <si>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</si>
  <si>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</si>
  <si>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</si>
  <si>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</si>
  <si>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</si>
  <si>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</si>
  <si>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</si>
  <si>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</si>
  <si>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</si>
  <si>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</si>
  <si>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</si>
  <si>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</si>
  <si>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</si>
  <si>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</si>
  <si>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</si>
  <si>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</si>
  <si>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</si>
  <si>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</si>
  <si>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</si>
  <si>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</si>
  <si>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</si>
  <si>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</si>
  <si>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</si>
  <si>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</si>
  <si>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</si>
  <si>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</si>
  <si>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</si>
  <si>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</si>
  <si>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</si>
  <si>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</si>
  <si>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</si>
  <si>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</si>
  <si>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</si>
  <si>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</si>
  <si>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</si>
  <si>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</si>
  <si>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</si>
  <si>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</si>
  <si>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</si>
  <si>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</si>
  <si>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</si>
  <si>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</si>
  <si>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</si>
  <si>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</si>
  <si>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</si>
  <si>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</si>
  <si>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</si>
  <si>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</si>
  <si>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</si>
  <si>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</si>
  <si>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</si>
  <si>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</si>
  <si>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</si>
  <si>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</si>
  <si>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</si>
  <si>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</si>
  <si>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</si>
  <si>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</si>
  <si>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</si>
  <si>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</si>
  <si>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</si>
  <si>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</si>
  <si>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</si>
  <si>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</si>
  <si>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</si>
  <si>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</si>
  <si>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</si>
  <si>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</si>
  <si>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</si>
  <si>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</si>
  <si>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</si>
  <si>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</si>
  <si>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</si>
  <si>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</si>
  <si>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</si>
  <si>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</si>
  <si>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</si>
  <si>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</si>
  <si>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</si>
  <si>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</si>
  <si>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</si>
  <si>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</si>
  <si>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</si>
  <si>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</si>
  <si>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</si>
  <si>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</si>
  <si>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</si>
  <si>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</si>
  <si>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</si>
  <si>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</si>
  <si>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</si>
  <si>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</si>
  <si>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</si>
  <si>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</si>
  <si>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</si>
  <si>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</si>
  <si>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</si>
  <si>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</si>
  <si>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</si>
  <si>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</si>
  <si>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</si>
  <si>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</si>
  <si>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</si>
  <si>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</si>
  <si>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</si>
  <si>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</si>
  <si>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</si>
  <si>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</si>
  <si>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</si>
  <si>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</si>
  <si>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</si>
  <si>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</si>
  <si>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</si>
  <si>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</si>
  <si>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</si>
  <si>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</si>
  <si>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</si>
  <si>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</si>
  <si>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</si>
  <si>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</si>
  <si>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</si>
  <si>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</si>
  <si>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</si>
  <si>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</si>
  <si>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</si>
  <si>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</si>
  <si>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</si>
  <si>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</si>
  <si>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</si>
  <si>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</si>
  <si>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</si>
  <si>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</si>
  <si>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</si>
  <si>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</si>
  <si>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</si>
  <si>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</si>
  <si>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</si>
  <si>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</si>
  <si>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</si>
  <si>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</si>
  <si>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</si>
  <si>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</si>
  <si>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</si>
  <si>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</si>
  <si>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</si>
  <si>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</si>
  <si>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</si>
  <si>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</si>
  <si>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</si>
  <si>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</si>
  <si>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</si>
  <si>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</si>
  <si>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</si>
  <si>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</si>
  <si>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</si>
  <si>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</si>
  <si>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</si>
  <si>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</si>
  <si>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</si>
  <si>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</si>
  <si>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</si>
  <si>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</si>
  <si>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</si>
  <si>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</si>
  <si>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</si>
  <si>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</si>
  <si>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</si>
  <si>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</si>
  <si>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</si>
  <si>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</si>
  <si>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</si>
  <si>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</si>
  <si>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</si>
  <si>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</si>
  <si>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</si>
  <si>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</si>
  <si>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</si>
  <si>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</si>
  <si>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</si>
  <si>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</si>
  <si>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</si>
  <si>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</si>
  <si>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</si>
  <si>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</si>
  <si>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</si>
  <si>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</si>
  <si>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</si>
  <si>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</si>
  <si>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</si>
  <si>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</si>
  <si>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</si>
  <si>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</si>
  <si>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</si>
  <si>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</si>
  <si>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</si>
  <si>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</si>
  <si>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</si>
  <si>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</si>
  <si>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</si>
  <si>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</si>
  <si>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</si>
  <si>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</si>
  <si>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</si>
  <si>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</si>
  <si>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</si>
  <si>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</si>
  <si>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</si>
  <si>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</si>
  <si>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</si>
  <si>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</si>
  <si>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</si>
  <si>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</si>
  <si>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</si>
  <si>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</si>
  <si>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</si>
  <si>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</si>
  <si>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</si>
  <si>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</si>
  <si>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</si>
  <si>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</si>
  <si>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</si>
  <si>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</si>
  <si>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</si>
  <si>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</si>
  <si>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</si>
  <si>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</si>
  <si>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</si>
  <si>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</si>
  <si>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</si>
  <si>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</si>
  <si>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</si>
  <si>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</si>
  <si>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</si>
  <si>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</si>
  <si>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</si>
  <si>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</si>
  <si>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</si>
  <si>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</si>
  <si>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</si>
  <si>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</si>
  <si>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</si>
  <si>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</si>
  <si>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</si>
  <si>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</si>
  <si>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</si>
  <si>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</si>
  <si>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</si>
  <si>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</si>
  <si>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</si>
  <si>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</si>
  <si>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</si>
  <si>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</si>
  <si>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</si>
  <si>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</si>
  <si>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</si>
  <si>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</si>
  <si>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</si>
  <si>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</si>
  <si>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</si>
  <si>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</si>
  <si>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</si>
  <si>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</si>
  <si>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</si>
  <si>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</si>
  <si>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</si>
  <si>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</si>
  <si>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</si>
  <si>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</si>
  <si>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</si>
  <si>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</si>
  <si>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</si>
  <si>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</si>
  <si>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</si>
  <si>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</si>
  <si>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</si>
  <si>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</si>
  <si>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</si>
  <si>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</si>
  <si>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</si>
  <si>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</si>
  <si>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</si>
  <si>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</si>
  <si>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</si>
  <si>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</si>
  <si>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</si>
  <si>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</si>
  <si>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</si>
  <si>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</si>
  <si>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</si>
  <si>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</si>
  <si>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</si>
  <si>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</si>
  <si>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</si>
  <si>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</si>
  <si>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</si>
  <si>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</si>
  <si>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</si>
  <si>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</si>
  <si>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</si>
  <si>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</si>
  <si>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</si>
  <si>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</si>
  <si>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</si>
  <si>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</si>
  <si>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</si>
  <si>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</si>
  <si>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</si>
  <si>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</si>
  <si>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</si>
  <si>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</si>
  <si>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</si>
  <si>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</si>
  <si>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</si>
  <si>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</si>
  <si>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</si>
  <si>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</si>
  <si>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</si>
  <si>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</si>
  <si>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</si>
  <si>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</si>
  <si>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</si>
  <si>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</si>
  <si>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</si>
  <si>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</si>
  <si>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</si>
  <si>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</si>
  <si>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</si>
  <si>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</si>
  <si>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</si>
  <si>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</si>
  <si>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</si>
  <si>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</si>
  <si>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</si>
  <si>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</si>
  <si>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</si>
  <si>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</si>
  <si>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</si>
  <si>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</si>
  <si>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</si>
  <si>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</si>
  <si>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</si>
  <si>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</si>
  <si>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</si>
  <si>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</si>
  <si>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</si>
  <si>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</si>
  <si>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</si>
  <si>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</si>
  <si>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</si>
  <si>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</si>
  <si>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</si>
  <si>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</si>
  <si>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</si>
  <si>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</si>
  <si>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</si>
  <si>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</si>
  <si>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</si>
  <si>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</si>
  <si>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</si>
  <si>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</si>
  <si>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</si>
  <si>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</si>
  <si>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</si>
  <si>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</si>
  <si>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</si>
  <si>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</si>
  <si>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</si>
  <si>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</si>
  <si>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</si>
  <si>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</si>
  <si>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</si>
  <si>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</si>
  <si>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</si>
  <si>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</si>
  <si>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</si>
  <si>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</si>
  <si>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</si>
  <si>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</si>
  <si>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</si>
  <si>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</si>
  <si>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</si>
  <si>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</si>
  <si>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</si>
  <si>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</si>
  <si>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</si>
  <si>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</si>
  <si>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</si>
  <si>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</si>
  <si>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</si>
  <si>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</si>
  <si>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</si>
  <si>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</si>
  <si>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</si>
  <si>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</si>
  <si>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</si>
  <si>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</si>
  <si>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</si>
  <si>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</si>
  <si>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</si>
  <si>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</si>
  <si>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</si>
  <si>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</si>
  <si>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</si>
  <si>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</si>
  <si>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</si>
  <si>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</si>
  <si>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</si>
  <si>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</si>
  <si>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</si>
  <si>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</si>
  <si>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</si>
  <si>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</si>
  <si>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</si>
  <si>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</si>
  <si>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</si>
  <si>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</si>
  <si>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</si>
  <si>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</si>
  <si>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</si>
  <si>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</si>
  <si>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</si>
  <si>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</si>
  <si>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</si>
  <si>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</si>
  <si>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</si>
  <si>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</si>
  <si>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</si>
  <si>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</si>
  <si>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</si>
  <si>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</si>
  <si>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</si>
  <si>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</si>
  <si>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</si>
  <si>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</si>
  <si>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</si>
  <si>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</si>
  <si>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</si>
  <si>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</si>
  <si>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</si>
  <si>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</si>
  <si>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</si>
  <si>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</si>
  <si>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</si>
  <si>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</si>
  <si>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</si>
  <si>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</si>
  <si>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</si>
  <si>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</si>
  <si>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</si>
  <si>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</si>
  <si>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</si>
  <si>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</si>
  <si>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</si>
  <si>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</si>
  <si>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</si>
  <si>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</si>
  <si>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</si>
  <si>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</si>
  <si>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</si>
  <si>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</si>
  <si>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</si>
  <si>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</si>
  <si>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</si>
  <si>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</si>
  <si>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</si>
  <si>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</si>
  <si>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</si>
  <si>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</si>
  <si>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</si>
  <si>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</si>
  <si>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</si>
  <si>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</si>
  <si>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</si>
  <si>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</si>
  <si>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</si>
  <si>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</si>
  <si>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</si>
  <si>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</si>
  <si>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</si>
  <si>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</si>
  <si>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</si>
  <si>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</si>
  <si>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</si>
  <si>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</si>
  <si>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</si>
  <si>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</si>
  <si>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</si>
  <si>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</si>
  <si>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</si>
  <si>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</si>
  <si>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</si>
  <si>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</si>
  <si>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</si>
  <si>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</si>
  <si>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</si>
  <si>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</si>
  <si>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</si>
  <si>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</si>
  <si>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</si>
  <si>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</si>
  <si>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</si>
  <si>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</si>
  <si>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</si>
  <si>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</si>
  <si>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</si>
  <si>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</si>
  <si>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</si>
  <si>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</si>
  <si>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</si>
  <si>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</si>
  <si>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</si>
  <si>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</si>
  <si>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</si>
  <si>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</si>
  <si>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</si>
  <si>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</si>
  <si>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</si>
  <si>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</si>
  <si>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</si>
  <si>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</si>
  <si>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</si>
  <si>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</si>
  <si>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</si>
  <si>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</si>
  <si>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</si>
  <si>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</si>
  <si>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</si>
  <si>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</si>
  <si>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</si>
  <si>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</si>
  <si>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</si>
  <si>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</si>
  <si>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</si>
  <si>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</si>
  <si>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</si>
  <si>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</si>
  <si>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</si>
  <si>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</si>
  <si>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</si>
  <si>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</si>
  <si>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</si>
  <si>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</si>
  <si>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</si>
  <si>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</si>
  <si>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</si>
  <si>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</si>
  <si>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</si>
  <si>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</si>
  <si>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</si>
  <si>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</si>
  <si>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</si>
  <si>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</si>
  <si>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</si>
  <si>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</si>
  <si>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</si>
  <si>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</si>
  <si>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</si>
  <si>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</si>
  <si>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</si>
  <si>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</si>
  <si>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</si>
  <si>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</si>
  <si>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</si>
  <si>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</si>
  <si>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</si>
  <si>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</si>
  <si>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</si>
  <si>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</si>
  <si>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</si>
  <si>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</si>
  <si>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</si>
  <si>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</si>
  <si>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</si>
  <si>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</si>
  <si>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</si>
  <si>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</si>
  <si>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</si>
  <si>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</si>
  <si>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</si>
  <si>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</si>
  <si>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</si>
  <si>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</si>
  <si>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</si>
  <si>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</si>
  <si>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</si>
  <si>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</si>
  <si>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</si>
  <si>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</si>
  <si>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</si>
  <si>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</si>
  <si>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</si>
  <si>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</si>
  <si>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</si>
  <si>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</si>
  <si>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</si>
  <si>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</si>
  <si>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</si>
  <si>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</si>
  <si>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</si>
  <si>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</si>
  <si>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</si>
  <si>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</si>
  <si>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</si>
  <si>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</si>
  <si>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</si>
  <si>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</si>
  <si>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</si>
  <si>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</si>
  <si>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</si>
  <si>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</si>
  <si>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</si>
  <si>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</si>
  <si>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</si>
  <si>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</si>
  <si>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</si>
  <si>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</si>
  <si>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</si>
  <si>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</si>
  <si>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</si>
  <si>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</si>
  <si>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</si>
  <si>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</si>
  <si>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</si>
  <si>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</si>
  <si>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</si>
  <si>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</si>
  <si>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</si>
  <si>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</si>
  <si>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</si>
  <si>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</si>
  <si>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</si>
  <si>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</si>
  <si>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</si>
  <si>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</si>
  <si>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</si>
  <si>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</si>
  <si>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</si>
  <si>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</si>
  <si>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</si>
  <si>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</si>
  <si>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</si>
  <si>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</si>
  <si>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</si>
  <si>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</si>
  <si>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</si>
  <si>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</si>
  <si>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</si>
  <si>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</si>
  <si>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</si>
  <si>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</si>
  <si>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</si>
  <si>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</si>
  <si>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</si>
  <si>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</si>
  <si>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</si>
  <si>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</si>
  <si>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</si>
  <si>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</si>
  <si>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</si>
  <si>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</si>
  <si>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</si>
  <si>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</si>
  <si>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</si>
  <si>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</si>
  <si>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</si>
  <si>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</si>
  <si>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</si>
  <si>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</si>
  <si>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</si>
  <si>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</si>
  <si>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</si>
  <si>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</si>
  <si>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</si>
  <si>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</si>
  <si>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</si>
  <si>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</si>
  <si>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</si>
  <si>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</si>
  <si>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</si>
  <si>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</si>
  <si>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</si>
  <si>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</si>
  <si>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</si>
  <si>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</si>
  <si>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</si>
  <si>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</si>
  <si>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</si>
  <si>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</si>
  <si>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</si>
  <si>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</si>
  <si>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</si>
  <si>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</si>
  <si>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</si>
  <si>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</si>
  <si>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</si>
  <si>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</si>
  <si>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</si>
  <si>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</si>
  <si>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</si>
  <si>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</si>
  <si>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</si>
  <si>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</si>
  <si>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</si>
  <si>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</si>
  <si>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</si>
  <si>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</si>
  <si>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</si>
  <si>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</si>
  <si>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</si>
  <si>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</si>
  <si>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</si>
  <si>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</si>
  <si>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</si>
  <si>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</si>
  <si>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</si>
  <si>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</si>
  <si>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</si>
  <si>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</si>
  <si>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</si>
  <si>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</si>
  <si>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</si>
  <si>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</si>
  <si>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</si>
  <si>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</si>
  <si>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</si>
  <si>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</si>
  <si>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</si>
  <si>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</si>
  <si>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</si>
  <si>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</si>
  <si>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</si>
  <si>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</si>
  <si>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</si>
  <si>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</si>
  <si>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</si>
  <si>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</si>
  <si>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</si>
  <si>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</si>
  <si>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</si>
  <si>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</si>
  <si>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</si>
  <si>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</si>
  <si>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</si>
  <si>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</si>
  <si>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</si>
  <si>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</si>
  <si>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</si>
  <si>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</si>
  <si>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</si>
  <si>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</si>
  <si>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</si>
  <si>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</si>
  <si>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</si>
  <si>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</si>
  <si>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</si>
  <si>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</si>
  <si>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</si>
  <si>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</si>
  <si>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</si>
  <si>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</si>
  <si>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</si>
  <si>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</si>
  <si>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</si>
  <si>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</si>
  <si>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</si>
  <si>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</si>
  <si>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</si>
  <si>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</si>
  <si>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</si>
  <si>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</si>
  <si>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</si>
  <si>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</si>
  <si>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</si>
  <si>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</si>
  <si>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</si>
  <si>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</si>
  <si>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</si>
  <si>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</si>
  <si>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</si>
  <si>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</si>
  <si>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</si>
  <si>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</si>
  <si>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</si>
  <si>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</si>
  <si>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</si>
  <si>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</si>
  <si>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</si>
  <si>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</si>
  <si>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</si>
  <si>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</si>
  <si>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</si>
  <si>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</si>
  <si>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</si>
  <si>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</si>
  <si>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</si>
  <si>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</si>
  <si>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</si>
  <si>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</si>
  <si>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</si>
  <si>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</si>
  <si>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</si>
  <si>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</si>
  <si>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</si>
  <si>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</si>
  <si>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</si>
  <si>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</si>
  <si>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</si>
  <si>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</si>
  <si>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</si>
  <si>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</si>
  <si>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</si>
  <si>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</si>
  <si>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</si>
  <si>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</si>
  <si>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</si>
  <si>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</si>
  <si>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</si>
  <si>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</si>
  <si>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</si>
  <si>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</si>
  <si>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</si>
  <si>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</si>
  <si>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</si>
  <si>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</si>
  <si>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</si>
  <si>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</si>
  <si>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</si>
  <si>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</si>
  <si>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</si>
  <si>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</si>
  <si>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</si>
  <si>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</si>
  <si>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</si>
  <si>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</si>
  <si>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</si>
  <si>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</si>
  <si>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</si>
  <si>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</si>
  <si>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</si>
  <si>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</si>
  <si>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</si>
  <si>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</si>
  <si>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</si>
  <si>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</si>
  <si>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</si>
  <si>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</si>
  <si>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</si>
  <si>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</si>
  <si>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</si>
  <si>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</si>
  <si>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</si>
  <si>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</si>
  <si>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</si>
  <si>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</si>
  <si>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</si>
  <si>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</si>
  <si>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</si>
  <si>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</si>
  <si>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</si>
  <si>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</si>
  <si>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</si>
  <si>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</si>
  <si>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</si>
  <si>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</si>
  <si>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</si>
  <si>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</si>
  <si>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</si>
  <si>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</si>
  <si>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</si>
  <si>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</si>
  <si>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</si>
  <si>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</si>
  <si>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</si>
  <si>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</si>
  <si>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</si>
  <si>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</si>
  <si>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</si>
  <si>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</si>
  <si>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</si>
  <si>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</si>
  <si>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</si>
  <si>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</si>
  <si>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</si>
  <si>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</si>
  <si>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</si>
  <si>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</si>
  <si>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</si>
  <si>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</si>
  <si>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</si>
  <si>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</si>
  <si>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</si>
  <si>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</si>
  <si>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</si>
  <si>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</si>
  <si>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</si>
  <si>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</si>
  <si>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</si>
  <si>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</si>
  <si>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</si>
  <si>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</si>
  <si>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</si>
  <si>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</si>
  <si>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</si>
  <si>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</si>
  <si>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</si>
  <si>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</si>
  <si>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</si>
  <si>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</si>
  <si>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</si>
  <si>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</si>
  <si>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</si>
  <si>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</si>
  <si>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</si>
  <si>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</si>
  <si>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</si>
  <si>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</si>
  <si>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</si>
  <si>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</si>
  <si>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</si>
  <si>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</si>
  <si>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</si>
  <si>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</si>
  <si>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</si>
  <si>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</si>
  <si>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</si>
  <si>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</si>
  <si>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</si>
  <si>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</si>
  <si>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</si>
  <si>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</si>
  <si>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</si>
  <si>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</si>
  <si>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</si>
  <si>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</si>
  <si>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</si>
  <si>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</si>
  <si>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</si>
  <si>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</si>
  <si>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</si>
  <si>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</si>
  <si>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</si>
  <si>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</si>
  <si>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</si>
  <si>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</si>
  <si>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</si>
  <si>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</si>
  <si>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</si>
  <si>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</si>
  <si>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</si>
  <si>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</si>
  <si>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</si>
  <si>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</si>
  <si>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</si>
  <si>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</si>
  <si>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</si>
  <si>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</si>
  <si>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</si>
  <si>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</si>
  <si>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</si>
  <si>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</si>
  <si>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</si>
  <si>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</si>
  <si>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</si>
  <si>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</si>
  <si>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</si>
  <si>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</si>
  <si>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</si>
  <si>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</si>
  <si>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</si>
  <si>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</si>
  <si>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</si>
  <si>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</si>
  <si>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</si>
  <si>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</si>
  <si>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</si>
  <si>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</si>
  <si>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</si>
  <si>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</si>
  <si>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</si>
  <si>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</si>
  <si>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</si>
  <si>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</si>
  <si>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</si>
  <si>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</si>
  <si>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</si>
  <si>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</si>
  <si>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</si>
  <si>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</si>
  <si>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</si>
  <si>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</si>
  <si>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</si>
  <si>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</si>
  <si>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</si>
  <si>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</si>
  <si>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</si>
  <si>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</si>
  <si>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</si>
  <si>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</si>
  <si>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</si>
  <si>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</si>
  <si>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</si>
  <si>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</si>
  <si>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</si>
  <si>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</si>
  <si>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</si>
  <si>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</si>
  <si>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</si>
  <si>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</si>
  <si>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</si>
  <si>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</si>
  <si>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</si>
  <si>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</si>
  <si>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</si>
  <si>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</si>
  <si>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</si>
  <si>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</si>
  <si>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</si>
  <si>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</si>
  <si>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</si>
  <si>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</si>
  <si>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</si>
  <si>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</si>
  <si>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</si>
  <si>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</si>
  <si>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</si>
  <si>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</si>
  <si>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</si>
  <si>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</si>
  <si>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</si>
  <si>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</si>
  <si>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</si>
  <si>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</si>
  <si>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</si>
  <si>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</si>
  <si>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</si>
  <si>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</si>
  <si>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</si>
  <si>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</si>
  <si>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</si>
  <si>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</si>
  <si>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</si>
  <si>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</si>
  <si>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</si>
  <si>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</si>
  <si>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</si>
  <si>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</si>
  <si>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</si>
  <si>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</si>
  <si>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</si>
  <si>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</si>
  <si>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</si>
  <si>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</si>
  <si>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</si>
  <si>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</si>
  <si>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</si>
  <si>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</si>
  <si>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</si>
  <si>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</si>
  <si>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</si>
  <si>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</si>
  <si>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</si>
  <si>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</si>
  <si>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</si>
  <si>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</si>
  <si>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</si>
  <si>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</si>
  <si>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</si>
  <si>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</si>
  <si>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</si>
  <si>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</si>
  <si>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</si>
  <si>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</si>
  <si>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</si>
  <si>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</si>
  <si>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</si>
  <si>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</si>
  <si>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</si>
  <si>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</si>
  <si>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</si>
  <si>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</si>
  <si>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</si>
  <si>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</si>
  <si>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</si>
  <si>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</si>
  <si>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</si>
  <si>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</si>
  <si>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</si>
  <si>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</si>
  <si>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</si>
  <si>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</si>
  <si>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</si>
  <si>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</si>
  <si>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</si>
  <si>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</si>
  <si>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</si>
  <si>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</si>
  <si>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</si>
  <si>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</si>
  <si>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</si>
  <si>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</si>
  <si>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</si>
  <si>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</si>
  <si>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</si>
  <si>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</si>
  <si>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</si>
  <si>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</si>
  <si>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</si>
  <si>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</si>
  <si>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</si>
  <si>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</si>
  <si>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</si>
  <si>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</si>
  <si>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</si>
  <si>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</si>
  <si>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</si>
  <si>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</si>
  <si>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</si>
  <si>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</si>
  <si>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</si>
  <si>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</si>
  <si>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</si>
  <si>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</si>
  <si>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</si>
  <si>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</si>
  <si>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</si>
  <si>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</si>
  <si>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</si>
  <si>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</si>
  <si>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</si>
  <si>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</si>
  <si>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</si>
  <si>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</si>
  <si>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</si>
  <si>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</si>
  <si>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</si>
  <si>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</si>
  <si>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</si>
  <si>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</si>
  <si>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</si>
  <si>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</si>
  <si>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</si>
  <si>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</si>
  <si>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</si>
  <si>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</si>
  <si>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</si>
  <si>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</si>
  <si>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</si>
  <si>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</si>
  <si>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</si>
  <si>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</si>
  <si>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</si>
  <si>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</si>
  <si>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</si>
  <si>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</si>
  <si>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</si>
  <si>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</si>
  <si>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</si>
  <si>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</si>
  <si>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</si>
  <si>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</si>
  <si>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</si>
  <si>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</si>
  <si>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</si>
  <si>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</si>
  <si>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</si>
  <si>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</si>
  <si>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</si>
  <si>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</si>
  <si>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</si>
  <si>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</si>
  <si>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</si>
  <si>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</si>
  <si>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</si>
  <si>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</si>
  <si>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</si>
  <si>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</si>
  <si>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</si>
  <si>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</si>
  <si>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</si>
  <si>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</si>
  <si>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</si>
  <si>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</si>
  <si>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</si>
  <si>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</si>
  <si>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</si>
  <si>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</si>
  <si>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</si>
  <si>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</si>
  <si>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</si>
  <si>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</si>
  <si>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</si>
  <si>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</si>
  <si>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</si>
  <si>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</si>
  <si>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</si>
  <si>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</si>
  <si>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</si>
  <si>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</si>
  <si>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</si>
  <si>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</si>
  <si>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</si>
  <si>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</si>
  <si>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</si>
  <si>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</si>
  <si>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</si>
  <si>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</si>
  <si>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</si>
  <si>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</si>
  <si>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</si>
  <si>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</si>
  <si>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</si>
  <si>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</si>
  <si>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</si>
  <si>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</si>
  <si>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</si>
  <si>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</si>
  <si>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</si>
  <si>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</si>
  <si>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</si>
  <si>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</si>
  <si>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</si>
  <si>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</si>
  <si>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</si>
  <si>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</si>
  <si>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</si>
  <si>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</si>
  <si>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</si>
  <si>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</si>
  <si>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</si>
  <si>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</si>
  <si>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</si>
  <si>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</si>
  <si>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</si>
  <si>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</si>
  <si>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</si>
  <si>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</si>
  <si>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</si>
  <si>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</si>
  <si>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</si>
  <si>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</si>
  <si>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</si>
  <si>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</si>
  <si>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</si>
  <si>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</si>
  <si>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</si>
  <si>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</si>
  <si>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</si>
  <si>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</si>
  <si>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</si>
  <si>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</si>
  <si>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</si>
  <si>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</si>
  <si>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</si>
  <si>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</si>
  <si>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</si>
  <si>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</si>
  <si>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</si>
  <si>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</si>
  <si>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</si>
  <si>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</si>
  <si>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</si>
  <si>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</si>
  <si>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</si>
  <si>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</si>
  <si>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</si>
  <si>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</si>
  <si>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</si>
  <si>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</si>
  <si>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</si>
  <si>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</si>
  <si>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</si>
  <si>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</si>
  <si>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</si>
  <si>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</si>
  <si>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</si>
  <si>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</si>
  <si>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</si>
  <si>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</si>
  <si>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</si>
  <si>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</si>
  <si>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</si>
  <si>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</si>
  <si>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</si>
  <si>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</si>
  <si>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</si>
  <si>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</si>
  <si>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</si>
  <si>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</si>
  <si>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</si>
  <si>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</si>
  <si>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</si>
  <si>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</si>
  <si>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</si>
  <si>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</si>
  <si>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</si>
  <si>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</si>
  <si>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</si>
  <si>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</si>
  <si>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</si>
  <si>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</si>
  <si>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</si>
  <si>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</si>
  <si>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</si>
  <si>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</si>
  <si>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</si>
  <si>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</si>
  <si>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</si>
  <si>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</si>
  <si>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</si>
  <si>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</si>
  <si>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</si>
  <si>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</si>
  <si>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</si>
  <si>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</si>
  <si>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</si>
  <si>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</si>
  <si>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</si>
  <si>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</si>
  <si>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</si>
  <si>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</si>
  <si>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</si>
  <si>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</si>
  <si>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</si>
  <si>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</si>
  <si>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</si>
  <si>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</si>
  <si>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</si>
  <si>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</si>
  <si>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</si>
  <si>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</si>
  <si>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</si>
  <si>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</si>
  <si>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</si>
  <si>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</si>
  <si>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</si>
  <si>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</si>
  <si>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</si>
  <si>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</si>
  <si>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</si>
  <si>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</si>
  <si>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</si>
  <si>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</si>
  <si>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</si>
  <si>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</si>
  <si>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</si>
  <si>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</si>
  <si>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</si>
  <si>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</si>
  <si>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</si>
  <si>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</si>
  <si>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</si>
  <si>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</si>
  <si>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</si>
  <si>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</si>
  <si>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</si>
  <si>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</si>
  <si>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</si>
  <si>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</si>
  <si>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</si>
  <si>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</si>
  <si>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</si>
  <si>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</si>
  <si>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</si>
  <si>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</si>
  <si>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</si>
  <si>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</si>
  <si>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</si>
  <si>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</si>
  <si>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</si>
  <si>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</si>
  <si>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</si>
  <si>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</si>
  <si>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</si>
  <si>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</si>
  <si>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</si>
  <si>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</si>
  <si>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</si>
  <si>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</si>
  <si>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</si>
  <si>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</si>
  <si>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</si>
  <si>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</si>
  <si>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</si>
  <si>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</si>
  <si>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</si>
  <si>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</si>
  <si>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</si>
  <si>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</si>
  <si>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</si>
  <si>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</si>
  <si>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</si>
  <si>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</si>
  <si>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</si>
  <si>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</si>
  <si>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</si>
  <si>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</si>
  <si>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</si>
  <si>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</si>
  <si>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</si>
  <si>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</si>
  <si>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</si>
  <si>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</si>
  <si>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</si>
  <si>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</si>
  <si>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</si>
  <si>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</si>
  <si>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</si>
  <si>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</si>
  <si>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</si>
  <si>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</si>
  <si>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</si>
  <si>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</si>
  <si>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</si>
  <si>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</si>
  <si>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</si>
  <si>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</si>
  <si>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</si>
  <si>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</si>
  <si>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</si>
  <si>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</si>
  <si>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</si>
  <si>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</si>
  <si>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</si>
  <si>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</si>
  <si>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</si>
  <si>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</si>
  <si>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</si>
  <si>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</si>
  <si>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</si>
  <si>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</si>
  <si>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</si>
  <si>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</si>
  <si>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</si>
  <si>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</si>
  <si>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</si>
  <si>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</si>
  <si>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</si>
  <si>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</si>
  <si>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</si>
  <si>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</si>
  <si>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</si>
  <si>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</si>
  <si>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</si>
  <si>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</si>
  <si>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</si>
  <si>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</si>
  <si>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</si>
  <si>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</si>
  <si>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</si>
  <si>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</si>
  <si>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</si>
  <si>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</si>
  <si>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</si>
  <si>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</si>
  <si>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</si>
  <si>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</si>
  <si>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</si>
  <si>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</si>
  <si>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</si>
  <si>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</si>
  <si>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</si>
  <si>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</si>
  <si>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</si>
  <si>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</si>
  <si>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</si>
  <si>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</si>
  <si>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</si>
  <si>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</si>
  <si>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</si>
  <si>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</si>
  <si>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</si>
  <si>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</si>
  <si>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</si>
  <si>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</si>
  <si>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</si>
  <si>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</si>
  <si>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</si>
  <si>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</si>
  <si>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</si>
  <si>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</si>
  <si>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</si>
  <si>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</si>
  <si>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</si>
  <si>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</si>
  <si>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</si>
  <si>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</si>
  <si>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</si>
  <si>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</si>
  <si>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</si>
  <si>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</si>
  <si>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</si>
  <si>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</si>
  <si>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</si>
  <si>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</si>
  <si>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</si>
  <si>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</si>
  <si>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</si>
  <si>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</si>
  <si>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</si>
  <si>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</si>
  <si>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</si>
  <si>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</si>
  <si>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</si>
  <si>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</si>
  <si>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</si>
  <si>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</si>
  <si>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</si>
  <si>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</si>
  <si>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</si>
  <si>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</si>
  <si>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</si>
  <si>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</si>
  <si>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</si>
  <si>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</si>
  <si>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</si>
  <si>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</si>
  <si>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</si>
  <si>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</si>
  <si>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</si>
  <si>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</si>
  <si>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</si>
  <si>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</si>
  <si>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</si>
  <si>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</si>
  <si>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</si>
  <si>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</si>
  <si>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</si>
  <si>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</si>
  <si>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</si>
  <si>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</si>
  <si>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</si>
  <si>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</si>
  <si>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</si>
  <si>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</si>
  <si>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</si>
  <si>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</si>
  <si>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</si>
  <si>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</si>
  <si>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</si>
  <si>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</si>
  <si>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</si>
  <si>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</si>
  <si>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</si>
  <si>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</si>
  <si>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</si>
  <si>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</si>
  <si>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</si>
  <si>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</si>
  <si>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</si>
  <si>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</si>
  <si>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</si>
  <si>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</si>
  <si>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</si>
  <si>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</si>
  <si>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</si>
  <si>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</si>
  <si>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</si>
  <si>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</si>
  <si>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</si>
  <si>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</si>
  <si>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</si>
  <si>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</si>
  <si>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</si>
  <si>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</si>
  <si>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</si>
  <si>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</si>
  <si>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</si>
  <si>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</si>
  <si>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</si>
  <si>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</si>
  <si>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</si>
  <si>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</si>
  <si>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</si>
  <si>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</si>
  <si>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</si>
  <si>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</si>
  <si>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</si>
  <si>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</si>
  <si>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</si>
  <si>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</si>
  <si>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</si>
  <si>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</si>
  <si>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</si>
  <si>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</si>
  <si>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</si>
  <si>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</si>
  <si>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</si>
  <si>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</si>
  <si>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</si>
  <si>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</si>
  <si>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</si>
  <si>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</si>
  <si>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</si>
  <si>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</si>
  <si>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</si>
  <si>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</si>
  <si>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</si>
  <si>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</si>
  <si>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</si>
  <si>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</si>
  <si>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</si>
  <si>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</si>
  <si>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</si>
  <si>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</si>
  <si>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</si>
  <si>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</si>
  <si>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</si>
  <si>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</si>
  <si>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</si>
  <si>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</si>
  <si>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</si>
  <si>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</si>
  <si>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</si>
  <si>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</si>
  <si>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</si>
  <si>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</si>
  <si>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</si>
  <si>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</si>
  <si>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</si>
  <si>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</si>
  <si>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</si>
  <si>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</si>
  <si>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</si>
  <si>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</si>
  <si>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</si>
  <si>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</si>
  <si>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</si>
  <si>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</si>
  <si>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</si>
  <si>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</si>
  <si>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</si>
  <si>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</si>
  <si>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</si>
  <si>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</si>
  <si>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</si>
  <si>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</si>
  <si>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</si>
  <si>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</si>
  <si>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</si>
  <si>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</si>
  <si>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</si>
  <si>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</si>
  <si>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</si>
  <si>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</si>
  <si>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</si>
  <si>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</si>
  <si>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</si>
  <si>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</si>
  <si>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</si>
  <si>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</si>
  <si>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</si>
  <si>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</si>
  <si>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</si>
  <si>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</si>
  <si>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</si>
  <si>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</si>
  <si>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</si>
  <si>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</si>
  <si>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</si>
  <si>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</si>
  <si>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</si>
  <si>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</si>
  <si>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</si>
  <si>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</si>
  <si>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</si>
  <si>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</si>
  <si>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</si>
  <si>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</si>
  <si>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</si>
  <si>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</si>
  <si>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</si>
  <si>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</si>
  <si>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</si>
  <si>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</si>
  <si>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</si>
  <si>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</si>
  <si>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</si>
  <si>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</si>
  <si>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</si>
  <si>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</si>
  <si>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</si>
  <si>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</si>
  <si>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</si>
  <si>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</si>
  <si>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</si>
  <si>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</si>
  <si>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</si>
  <si>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</si>
  <si>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</si>
  <si>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</si>
  <si>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</si>
  <si>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</si>
  <si>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</si>
  <si>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</si>
  <si>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</si>
  <si>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</si>
  <si>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</si>
  <si>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</si>
  <si>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</si>
  <si>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</si>
  <si>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</si>
  <si>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</si>
  <si>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</si>
  <si>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</si>
  <si>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</si>
  <si>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</si>
  <si>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</si>
  <si>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</si>
  <si>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</si>
  <si>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</si>
  <si>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</si>
  <si>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</si>
  <si>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</si>
  <si>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</si>
  <si>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</si>
  <si>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</si>
  <si>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</si>
  <si>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</si>
  <si>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</si>
  <si>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</si>
  <si>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</si>
  <si>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</si>
  <si>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</si>
  <si>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</si>
  <si>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</si>
  <si>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</si>
  <si>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</si>
  <si>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</si>
  <si>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</si>
  <si>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</si>
  <si>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</si>
  <si>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</si>
  <si>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</si>
  <si>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</si>
  <si>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</si>
  <si>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</si>
  <si>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</si>
  <si>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</si>
  <si>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</si>
  <si>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</si>
  <si>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</si>
  <si>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</si>
  <si>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</si>
  <si>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</si>
  <si>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</si>
  <si>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</si>
  <si>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</si>
  <si>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</si>
  <si>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</si>
  <si>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</si>
  <si>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</si>
  <si>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</si>
  <si>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</si>
  <si>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</si>
  <si>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</si>
  <si>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</si>
  <si>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</si>
  <si>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</si>
  <si>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</si>
  <si>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</si>
  <si>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</si>
  <si>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</si>
  <si>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</si>
  <si>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</si>
  <si>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</si>
  <si>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</si>
  <si>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</si>
  <si>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</si>
  <si>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</si>
  <si>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</si>
  <si>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</si>
  <si>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</si>
  <si>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</si>
  <si>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</si>
  <si>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</si>
  <si>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</si>
  <si>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</si>
  <si>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</si>
  <si>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</si>
  <si>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</si>
  <si>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</si>
  <si>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</si>
  <si>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</si>
  <si>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</si>
  <si>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</si>
  <si>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</si>
  <si>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</si>
  <si>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</si>
  <si>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</si>
  <si>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</si>
  <si>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</si>
  <si>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</si>
  <si>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</si>
  <si>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</si>
  <si>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</si>
  <si>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</si>
  <si>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</si>
  <si>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</si>
  <si>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</si>
  <si>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</si>
  <si>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</si>
  <si>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</si>
  <si>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</si>
  <si>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</si>
  <si>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</si>
  <si>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</si>
  <si>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</si>
  <si>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</si>
  <si>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</si>
  <si>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</si>
  <si>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</si>
  <si>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</si>
  <si>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</si>
  <si>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</si>
  <si>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</si>
  <si>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</si>
  <si>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</si>
  <si>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</si>
  <si>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</si>
  <si>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</si>
  <si>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</si>
  <si>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</si>
  <si>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</si>
  <si>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</si>
  <si>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</si>
  <si>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</si>
  <si>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</si>
  <si>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</si>
  <si>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</si>
  <si>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</si>
  <si>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</si>
  <si>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</si>
  <si>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</si>
  <si>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</si>
  <si>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</si>
  <si>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</si>
  <si>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</si>
  <si>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</si>
  <si>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</si>
  <si>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</si>
  <si>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</si>
  <si>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</si>
  <si>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</si>
  <si>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</si>
  <si>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</si>
  <si>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</si>
  <si>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</si>
  <si>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</si>
  <si>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</si>
  <si>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</si>
  <si>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</si>
  <si>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</si>
  <si>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</si>
  <si>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</si>
  <si>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</si>
  <si>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</si>
  <si>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</si>
  <si>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</si>
  <si>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</si>
  <si>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</si>
  <si>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</si>
  <si>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</si>
  <si>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</si>
  <si>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</si>
  <si>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</si>
  <si>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</si>
  <si>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</si>
  <si>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</si>
  <si>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</si>
  <si>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</si>
  <si>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</si>
  <si>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</si>
  <si>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</si>
  <si>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</si>
  <si>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</si>
  <si>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</si>
  <si>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</si>
  <si>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</si>
  <si>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</si>
  <si>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</si>
  <si>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</si>
  <si>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</si>
  <si>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</si>
  <si>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</si>
  <si>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</si>
  <si>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</si>
  <si>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</si>
  <si>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</si>
  <si>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</si>
  <si>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</si>
  <si>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</si>
  <si>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</si>
  <si>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</si>
  <si>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</si>
  <si>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</si>
  <si>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</si>
  <si>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</si>
  <si>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</si>
  <si>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</si>
  <si>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</si>
  <si>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</si>
  <si>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</si>
  <si>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</si>
  <si>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</si>
  <si>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</si>
  <si>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</si>
  <si>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</si>
  <si>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</si>
  <si>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</si>
  <si>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</si>
  <si>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</si>
  <si>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</si>
  <si>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</si>
  <si>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</si>
  <si>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</si>
  <si>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</si>
  <si>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</si>
  <si>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</si>
  <si>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</si>
  <si>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</si>
  <si>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</si>
  <si>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</si>
  <si>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</si>
  <si>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</si>
  <si>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</si>
  <si>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</si>
  <si>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</si>
  <si>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</si>
  <si>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</si>
  <si>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</si>
  <si>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</si>
  <si>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</si>
  <si>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</si>
  <si>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</si>
  <si>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</si>
  <si>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</si>
  <si>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</si>
  <si>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</si>
  <si>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</si>
  <si>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</si>
  <si>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</si>
  <si>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</si>
  <si>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</si>
  <si>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</si>
  <si>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</si>
  <si>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</si>
  <si>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</si>
  <si>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</si>
  <si>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</si>
  <si>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</si>
  <si>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</si>
  <si>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</si>
  <si>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</si>
  <si>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</si>
  <si>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</si>
  <si>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</si>
  <si>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</si>
  <si>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</si>
  <si>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</si>
  <si>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</si>
  <si>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</si>
  <si>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</si>
  <si>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</si>
  <si>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</si>
  <si>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</si>
  <si>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</si>
  <si>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</si>
  <si>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</si>
  <si>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</si>
  <si>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</si>
  <si>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</si>
  <si>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</si>
  <si>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</si>
  <si>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</si>
  <si>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</si>
  <si>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</si>
  <si>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</si>
  <si>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</si>
  <si>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</si>
  <si>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</si>
  <si>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</si>
  <si>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</si>
  <si>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</si>
  <si>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</si>
  <si>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</si>
  <si>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</si>
  <si>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</si>
  <si>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</si>
  <si>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</si>
  <si>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</si>
  <si>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</si>
  <si>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</si>
  <si>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</si>
  <si>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</si>
  <si>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</si>
  <si>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</si>
  <si>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</si>
  <si>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</si>
  <si>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</si>
  <si>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</si>
  <si>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</si>
  <si>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</si>
  <si>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</si>
  <si>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</si>
  <si>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</si>
  <si>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</si>
  <si>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</si>
  <si>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</si>
  <si>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</si>
  <si>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</si>
  <si>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</si>
  <si>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</si>
  <si>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</si>
  <si>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</si>
  <si>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</si>
  <si>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</si>
  <si>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</si>
  <si>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</si>
  <si>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</si>
  <si>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</si>
  <si>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</si>
  <si>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</si>
  <si>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</si>
  <si>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</si>
  <si>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</si>
  <si>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</si>
  <si>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</si>
  <si>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</si>
  <si>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</si>
  <si>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</si>
  <si>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</si>
  <si>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</si>
  <si>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</si>
  <si>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</si>
  <si>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</si>
  <si>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</si>
  <si>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</si>
  <si>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</si>
  <si>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</si>
  <si>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</si>
  <si>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</si>
  <si>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</si>
  <si>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</si>
  <si>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</si>
  <si>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</si>
  <si>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</si>
  <si>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</si>
  <si>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</si>
  <si>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</si>
  <si>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</si>
  <si>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</si>
  <si>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</si>
  <si>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</si>
  <si>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</si>
  <si>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</si>
  <si>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</si>
  <si>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</si>
  <si>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</si>
  <si>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</si>
  <si>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</si>
  <si>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</si>
  <si>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</si>
  <si>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</si>
  <si>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</si>
  <si>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</si>
  <si>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</si>
  <si>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</si>
  <si>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</si>
  <si>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</si>
  <si>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</si>
  <si>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</si>
  <si>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</si>
  <si>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</si>
  <si>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</si>
  <si>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</si>
  <si>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</si>
  <si>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</si>
  <si>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</si>
  <si>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</si>
  <si>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</si>
  <si>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</si>
  <si>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</si>
  <si>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</si>
  <si>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</si>
  <si>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</si>
  <si>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</si>
  <si>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</si>
  <si>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</si>
  <si>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</si>
  <si>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</si>
  <si>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</si>
  <si>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</si>
  <si>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</si>
  <si>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</si>
  <si>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</si>
  <si>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</si>
  <si>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</si>
  <si>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</si>
  <si>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</si>
  <si>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</si>
  <si>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</si>
  <si>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</si>
  <si>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</si>
  <si>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</si>
  <si>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</si>
  <si>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</si>
  <si>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</si>
  <si>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</si>
  <si>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</si>
  <si>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</si>
  <si>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</si>
  <si>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</si>
  <si>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</si>
  <si>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</si>
  <si>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</si>
  <si>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</si>
  <si>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</si>
  <si>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</si>
  <si>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</si>
  <si>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</si>
  <si>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</si>
  <si>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</si>
  <si>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</si>
  <si>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</si>
  <si>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</si>
  <si>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</si>
  <si>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</si>
  <si>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</si>
  <si>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</si>
  <si>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</si>
  <si>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</si>
  <si>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</si>
  <si>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</si>
  <si>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</si>
  <si>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</si>
  <si>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</si>
  <si>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</si>
  <si>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</si>
  <si>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</si>
  <si>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</si>
  <si>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</si>
  <si>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</si>
  <si>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</si>
  <si>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</si>
  <si>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</si>
  <si>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</si>
  <si>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</si>
  <si>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</si>
  <si>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</si>
  <si>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</si>
  <si>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</si>
  <si>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</si>
  <si>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</si>
  <si>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</si>
  <si>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</si>
  <si>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</si>
  <si>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</si>
  <si>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</si>
  <si>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</si>
  <si>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</si>
  <si>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</si>
  <si>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</si>
  <si>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</si>
  <si>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</si>
  <si>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</si>
  <si>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</si>
  <si>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</si>
  <si>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</si>
  <si>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</si>
  <si>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</si>
  <si>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</si>
  <si>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</si>
  <si>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</si>
  <si>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</si>
  <si>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</si>
  <si>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</si>
  <si>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</si>
  <si>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</si>
  <si>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</si>
  <si>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</si>
  <si>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</si>
  <si>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</si>
  <si>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</si>
  <si>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</si>
  <si>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</si>
  <si>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</si>
  <si>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</si>
  <si>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</si>
  <si>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</si>
  <si>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</si>
  <si>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</si>
  <si>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</si>
  <si>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</si>
  <si>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</si>
  <si>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</si>
  <si>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</si>
  <si>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</si>
  <si>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</si>
  <si>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</si>
  <si>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</si>
  <si>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</si>
  <si>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</si>
  <si>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</si>
  <si>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</si>
  <si>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</si>
  <si>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</si>
  <si>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</si>
  <si>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</si>
  <si>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</si>
  <si>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</si>
  <si>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</si>
  <si>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</si>
  <si>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</si>
  <si>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</si>
  <si>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</si>
  <si>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</si>
  <si>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</si>
  <si>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</si>
  <si>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</si>
  <si>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</si>
  <si>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</si>
  <si>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</si>
  <si>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</si>
  <si>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</si>
  <si>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</si>
  <si>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</si>
  <si>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</si>
  <si>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</si>
  <si>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</si>
  <si>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</si>
  <si>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</si>
  <si>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</si>
  <si>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</si>
  <si>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</si>
  <si>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</si>
  <si>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</si>
  <si>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</si>
  <si>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</si>
  <si>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</si>
  <si>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</si>
  <si>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</si>
  <si>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</si>
  <si>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</si>
  <si>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</si>
  <si>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</si>
  <si>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</si>
  <si>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</si>
  <si>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</si>
  <si>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</si>
  <si>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</si>
  <si>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</si>
  <si>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</si>
  <si>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</si>
  <si>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</si>
  <si>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</si>
  <si>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</si>
  <si>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</si>
  <si>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</si>
  <si>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</si>
  <si>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</si>
  <si>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</si>
  <si>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</si>
  <si>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</si>
  <si>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</si>
  <si>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</si>
  <si>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</si>
  <si>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</si>
  <si>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</si>
  <si>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</si>
  <si>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</si>
  <si>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</si>
  <si>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</si>
  <si>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</si>
  <si>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</si>
  <si>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</si>
  <si>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</si>
  <si>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</si>
  <si>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</si>
  <si>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</si>
  <si>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</si>
  <si>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</si>
  <si>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</si>
  <si>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</si>
  <si>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</si>
  <si>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</si>
  <si>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</si>
  <si>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</si>
  <si>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</si>
  <si>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</si>
  <si>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</si>
  <si>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</si>
  <si>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</si>
  <si>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</si>
  <si>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</si>
  <si>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</si>
  <si>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</si>
  <si>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</si>
  <si>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</si>
  <si>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</si>
  <si>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phoneticPr fontId="140" type="noConversion"/>
  </si>
  <si>
    <t>坐落</t>
  </si>
  <si>
    <t>楼层</t>
  </si>
  <si>
    <t>房屋用途</t>
  </si>
  <si>
    <t>建筑面积（㎡）</t>
  </si>
  <si>
    <t>涪陵区百花路88号（渝东国际商贸城一期）2幢1-1</t>
  </si>
  <si>
    <t>名义层1</t>
  </si>
  <si>
    <t>商业服务</t>
  </si>
  <si>
    <t>涪陵区百花路88号（渝东国际商贸城一期）2幢1-2</t>
  </si>
  <si>
    <t>涪陵区百花路88号（渝东国际商贸城一期）2幢1-3</t>
  </si>
  <si>
    <t>涪陵区百花路88号（渝东国际商贸城一期）2幢1-4</t>
  </si>
  <si>
    <t>涪陵区百花路88号（渝东国际商贸城一期）2幢1-5</t>
  </si>
  <si>
    <t>涪陵区百花路88号（渝东国际商贸城一期）2幢1-6</t>
  </si>
  <si>
    <t>涪陵区百花路88号（渝东国际商贸城一期）2幢1-7</t>
  </si>
  <si>
    <t>涪陵区百花路88号（渝东国际商贸城一期）2幢1-8</t>
  </si>
  <si>
    <t>涪陵区百花路88号（渝东国际商贸城一期）2幢1-9</t>
  </si>
  <si>
    <t>涪陵区百花路88号（渝东国际商贸城一期）2幢1-10</t>
  </si>
  <si>
    <t>涪陵区百花路88号（渝东国际商贸城一期）2幢1-11</t>
  </si>
  <si>
    <t>涪陵区百花路88号（渝东国际商贸城一期）2幢1-12</t>
  </si>
  <si>
    <t>涪陵区百花路88号（渝东国际商贸城一期）2幢1-13</t>
  </si>
  <si>
    <t>涪陵区百花路88号（渝东国际商贸城一期）2幢1-14</t>
  </si>
  <si>
    <t>涪陵区百花路88号（渝东国际商贸城一期）2幢1-15</t>
  </si>
  <si>
    <t>涪陵区百花路88号（渝东国际商贸城一期）2幢1-16</t>
  </si>
  <si>
    <t>涪陵区百花路88号（渝东国际商贸城一期）2幢1-17</t>
  </si>
  <si>
    <t>涪陵区百花路88号（渝东国际商贸城一期）2幢1-18</t>
  </si>
  <si>
    <t>涪陵区百花路88号（渝东国际商贸城一期）2幢1-19</t>
  </si>
  <si>
    <t>涪陵区百花路88号（渝东国际商贸城一期）2幢1-20</t>
  </si>
  <si>
    <t>涪陵区百花路88号（渝东国际商贸城一期）2幢1-21</t>
  </si>
  <si>
    <t>涪陵区百花路88号（渝东国际商贸城一期）2幢1-22</t>
  </si>
  <si>
    <t>涪陵区百花路88号（渝东国际商贸城一期）2幢1-23</t>
  </si>
  <si>
    <t>涪陵区百花路88号（渝东国际商贸城一期）2幢1-24</t>
  </si>
  <si>
    <t>涪陵区百花路88号（渝东国际商贸城一期）2幢1-25</t>
  </si>
  <si>
    <t>涪陵区百花路88号（渝东国际商贸城一期）2幢1-26</t>
  </si>
  <si>
    <t>涪陵区百花路88号（渝东国际商贸城一期）2幢1-27</t>
  </si>
  <si>
    <t>涪陵区百花路88号（渝东国际商贸城一期）2幢1-28</t>
  </si>
  <si>
    <t>涪陵区百花路88号（渝东国际商贸城一期）2幢1-29</t>
  </si>
  <si>
    <t>涪陵区百花路88号（渝东国际商贸城一期）2幢1-30</t>
  </si>
  <si>
    <t>涪陵区百花路88号（渝东国际商贸城一期）2幢1-31</t>
  </si>
  <si>
    <t>涪陵区百花路88号（渝东国际商贸城一期）2幢1-32</t>
  </si>
  <si>
    <t>涪陵区百花路88号（渝东国际商贸城一期）2幢1-33</t>
  </si>
  <si>
    <t>涪陵区百花路88号（渝东国际商贸城一期）2幢1-34</t>
  </si>
  <si>
    <t>涪陵区百花路88号（渝东国际商贸城一期）2幢1-35</t>
  </si>
  <si>
    <t>涪陵区百花路88号（渝东国际商贸城一期）2幢1-36</t>
  </si>
  <si>
    <t>涪陵区百花路88号（渝东国际商贸城一期）2幢1-37</t>
  </si>
  <si>
    <t>涪陵区百花路88号（渝东国际商贸城一期）2幢1-38</t>
  </si>
  <si>
    <t>涪陵区百花路88号（渝东国际商贸城一期）2幢1-39</t>
  </si>
  <si>
    <t>涪陵区百花路88号（渝东国际商贸城一期）2幢1-40</t>
  </si>
  <si>
    <t>涪陵区百花路88号（渝东国际商贸城一期）2幢1-41</t>
  </si>
  <si>
    <t>涪陵区百花路88号（渝东国际商贸城一期）2幢1-42</t>
  </si>
  <si>
    <t>涪陵区百花路88号（渝东国际商贸城一期）2幢1-43</t>
  </si>
  <si>
    <t>涪陵区百花路88号（渝东国际商贸城一期）2幢1-44</t>
  </si>
  <si>
    <t>涪陵区百花路88号（渝东国际商贸城一期）2幢1-45</t>
  </si>
  <si>
    <t>涪陵区百花路88号（渝东国际商贸城一期）2幢1-46</t>
  </si>
  <si>
    <t>涪陵区百花路88号（渝东国际商贸城一期）2幢1-47</t>
  </si>
  <si>
    <t>涪陵区百花路88号（渝东国际商贸城一期）2幢1-48</t>
  </si>
  <si>
    <t>涪陵区百花路88号（渝东国际商贸城一期）2幢1-49</t>
  </si>
  <si>
    <t>涪陵区百花路88号（渝东国际商贸城一期）2幢1-50</t>
  </si>
  <si>
    <t>涪陵区百花路88号（渝东国际商贸城一期）2幢1-51</t>
  </si>
  <si>
    <t>涪陵区百花路88号（渝东国际商贸城一期）2幢1-52</t>
  </si>
  <si>
    <t>涪陵区百花路88号（渝东国际商贸城一期）2幢1-53</t>
  </si>
  <si>
    <t>涪陵区百花路88号（渝东国际商贸城一期）2幢1-54</t>
  </si>
  <si>
    <t>涪陵区百花路88号（渝东国际商贸城一期）2幢1-55</t>
  </si>
  <si>
    <t>涪陵区百花路88号（渝东国际商贸城一期）2幢1-56</t>
  </si>
  <si>
    <t>涪陵区百花路88号（渝东国际商贸城一期）2幢1-57</t>
  </si>
  <si>
    <t>涪陵区百花路88号（渝东国际商贸城一期）2幢1-234</t>
  </si>
  <si>
    <t>涪陵区百花路88号（渝东国际商贸城一期）2幢1-294</t>
  </si>
  <si>
    <t>涪陵区百花路88号（渝东国际商贸城一期）2幢1-295</t>
  </si>
  <si>
    <t>涪陵区百花路88号（渝东国际商贸城一期）2幢1-296</t>
  </si>
  <si>
    <t>涪陵区百花路88号（渝东国际商贸城一期）2幢1-347</t>
  </si>
  <si>
    <t>涪陵区百花路88号（渝东国际商贸城一期）2幢1-384</t>
  </si>
  <si>
    <t>涪陵区百花路88号（渝东国际商贸城一期）2幢1-385</t>
  </si>
  <si>
    <t>涪陵区百花路88号（渝东国际商贸城一期）2幢1-386</t>
  </si>
  <si>
    <t>涪陵区百花路88号（渝东国际商贸城一期）2幢1-427</t>
  </si>
  <si>
    <t>涪陵区百花路88号（渝东国际商贸城一期）2幢1-428</t>
  </si>
  <si>
    <t>涪陵区百花路88号（渝东国际商贸城一期）2幢1-429</t>
  </si>
  <si>
    <t>涪陵区百花路88号（渝东国际商贸城一期）2幢1-附95</t>
  </si>
  <si>
    <t>涪陵区百花路88号（渝东国际商贸城一期）2幢1-附96</t>
  </si>
  <si>
    <t>涪陵区百花路88号（渝东国际商贸城一期）2幢2-1</t>
  </si>
  <si>
    <t>名义层2</t>
  </si>
  <si>
    <t>涪陵区百花路88号（渝东国际商贸城一期）2幢2-2</t>
  </si>
  <si>
    <t>涪陵区百花路88号（渝东国际商贸城一期）2幢2-3</t>
  </si>
  <si>
    <t>涪陵区百花路88号（渝东国际商贸城一期）2幢2-4</t>
  </si>
  <si>
    <t>涪陵区百花路88号（渝东国际商贸城一期）2幢2-5</t>
  </si>
  <si>
    <t>涪陵区百花路88号（渝东国际商贸城一期）2幢2-6</t>
  </si>
  <si>
    <t>涪陵区百花路88号（渝东国际商贸城一期）2幢2-7</t>
  </si>
  <si>
    <t>涪陵区百花路88号（渝东国际商贸城一期）2幢2-8</t>
  </si>
  <si>
    <t>涪陵区百花路88号（渝东国际商贸城一期）2幢2-9</t>
  </si>
  <si>
    <t>涪陵区百花路88号（渝东国际商贸城一期）2幢2-10</t>
  </si>
  <si>
    <t>涪陵区百花路88号（渝东国际商贸城一期）2幢2-11</t>
  </si>
  <si>
    <t>涪陵区百花路88号（渝东国际商贸城一期）2幢2-12</t>
  </si>
  <si>
    <t>涪陵区百花路88号（渝东国际商贸城一期）2幢2-13</t>
  </si>
  <si>
    <t>涪陵区百花路88号（渝东国际商贸城一期）2幢2-14</t>
  </si>
  <si>
    <t>涪陵区百花路88号（渝东国际商贸城一期）2幢2-15</t>
  </si>
  <si>
    <t>涪陵区百花路88号（渝东国际商贸城一期）2幢2-16</t>
  </si>
  <si>
    <t>涪陵区百花路88号（渝东国际商贸城一期）2幢2-17</t>
  </si>
  <si>
    <t>涪陵区百花路88号（渝东国际商贸城一期）2幢2-18</t>
  </si>
  <si>
    <t>涪陵区百花路88号（渝东国际商贸城一期）2幢2-19</t>
  </si>
  <si>
    <t>涪陵区百花路88号（渝东国际商贸城一期）2幢2-20</t>
  </si>
  <si>
    <t>涪陵区百花路88号（渝东国际商贸城一期）2幢2-21</t>
  </si>
  <si>
    <t>涪陵区百花路88号（渝东国际商贸城一期）2幢2-22</t>
  </si>
  <si>
    <t>涪陵区百花路88号（渝东国际商贸城一期）2幢2-23</t>
  </si>
  <si>
    <t>涪陵区百花路88号（渝东国际商贸城一期）2幢2-24</t>
  </si>
  <si>
    <t>涪陵区百花路88号（渝东国际商贸城一期）2幢2-25</t>
  </si>
  <si>
    <t>涪陵区百花路88号（渝东国际商贸城一期）2幢2-26</t>
  </si>
  <si>
    <t>涪陵区百花路88号（渝东国际商贸城一期）2幢2-27</t>
  </si>
  <si>
    <t>涪陵区百花路88号（渝东国际商贸城一期）2幢2-28</t>
  </si>
  <si>
    <t>涪陵区百花路88号（渝东国际商贸城一期）2幢2-29</t>
  </si>
  <si>
    <t>涪陵区百花路88号（渝东国际商贸城一期）2幢2-30</t>
  </si>
  <si>
    <t>涪陵区百花路88号（渝东国际商贸城一期）2幢2-31</t>
  </si>
  <si>
    <t>涪陵区百花路88号（渝东国际商贸城一期）2幢2-32</t>
  </si>
  <si>
    <t>涪陵区百花路88号（渝东国际商贸城一期）2幢2-33</t>
  </si>
  <si>
    <t>涪陵区百花路88号（渝东国际商贸城一期）2幢2-34</t>
  </si>
  <si>
    <t>涪陵区百花路88号（渝东国际商贸城一期）2幢2-35</t>
  </si>
  <si>
    <t>涪陵区百花路88号（渝东国际商贸城一期）2幢2-36</t>
  </si>
  <si>
    <t>涪陵区百花路88号（渝东国际商贸城一期）2幢2-37</t>
  </si>
  <si>
    <t>涪陵区百花路88号（渝东国际商贸城一期）2幢2-38</t>
  </si>
  <si>
    <t>涪陵区百花路88号（渝东国际商贸城一期）2幢2-39</t>
  </si>
  <si>
    <t>涪陵区百花路88号（渝东国际商贸城一期）2幢2-40</t>
  </si>
  <si>
    <t>涪陵区百花路88号（渝东国际商贸城一期）2幢2-41</t>
  </si>
  <si>
    <t>涪陵区百花路88号（渝东国际商贸城一期）2幢2-42</t>
  </si>
  <si>
    <t>涪陵区百花路88号（渝东国际商贸城一期）2幢2-43</t>
  </si>
  <si>
    <t>涪陵区百花路88号（渝东国际商贸城一期）2幢2-44</t>
  </si>
  <si>
    <t>涪陵区百花路88号（渝东国际商贸城一期）2幢2-45</t>
  </si>
  <si>
    <t>涪陵区百花路88号（渝东国际商贸城一期）2幢2-46</t>
  </si>
  <si>
    <t>涪陵区百花路88号（渝东国际商贸城一期）2幢2-47</t>
  </si>
  <si>
    <t>涪陵区百花路88号（渝东国际商贸城一期）2幢2-48</t>
  </si>
  <si>
    <t>涪陵区百花路88号（渝东国际商贸城一期）2幢2-49</t>
  </si>
  <si>
    <t>涪陵区百花路88号（渝东国际商贸城一期）2幢2-50</t>
  </si>
  <si>
    <t>涪陵区百花路88号（渝东国际商贸城一期）2幢2-51</t>
  </si>
  <si>
    <t>涪陵区百花路88号（渝东国际商贸城一期）2幢2-52</t>
  </si>
  <si>
    <t>涪陵区百花路88号（渝东国际商贸城一期）2幢2-53</t>
  </si>
  <si>
    <t>涪陵区百花路88号（渝东国际商贸城一期）2幢2-54</t>
  </si>
  <si>
    <t>涪陵区百花路88号（渝东国际商贸城一期）2幢2-55</t>
  </si>
  <si>
    <t>涪陵区百花路88号（渝东国际商贸城一期）2幢2-56</t>
  </si>
  <si>
    <t>涪陵区百花路88号（渝东国际商贸城一期）2幢2-57</t>
  </si>
  <si>
    <t>涪陵区百花路88号（渝东国际商贸城一期）2幢2-58</t>
  </si>
  <si>
    <t>涪陵区百花路88号（渝东国际商贸城一期）2幢2-59</t>
  </si>
  <si>
    <t>涪陵区百花路88号（渝东国际商贸城一期）2幢2-60</t>
  </si>
  <si>
    <t>涪陵区百花路88号（渝东国际商贸城一期）2幢2-61</t>
  </si>
  <si>
    <t>涪陵区百花路88号（渝东国际商贸城一期）2幢2-62</t>
  </si>
  <si>
    <t>涪陵区百花路88号（渝东国际商贸城一期）2幢2-342</t>
  </si>
  <si>
    <t>涪陵区百花路88号（渝东国际商贸城一期）2幢2-446</t>
  </si>
  <si>
    <t>涪陵区百花路88号（渝东国际商贸城一期）2幢2-447</t>
  </si>
  <si>
    <t>涪陵区百花路88号（渝东国际商贸城一期）2幢2-448</t>
  </si>
  <si>
    <t>涪陵区百花路88号（渝东国际商贸城一期）2幢2-449</t>
  </si>
  <si>
    <t>涪陵区百花路88号（渝东国际商贸城一期）2幢2-450</t>
  </si>
  <si>
    <t>涪陵区百花路88号（渝东国际商贸城一期）2幢2-477</t>
  </si>
  <si>
    <t>涪陵区百花路88号（渝东国际商贸城一期）2幢2-483</t>
  </si>
  <si>
    <t>涪陵区百花路88号（渝东国际商贸城一期）2幢3-1</t>
  </si>
  <si>
    <t>名义层3</t>
  </si>
  <si>
    <t>涪陵区百花路88号（渝东国际商贸城一期）2幢3-2</t>
  </si>
  <si>
    <t>涪陵区百花路88号（渝东国际商贸城一期）2幢3-3</t>
  </si>
  <si>
    <t>涪陵区百花路88号（渝东国际商贸城一期）2幢3-4</t>
  </si>
  <si>
    <t>涪陵区百花路88号（渝东国际商贸城一期）2幢3-5</t>
  </si>
  <si>
    <t>涪陵区百花路88号（渝东国际商贸城一期）2幢3-6</t>
  </si>
  <si>
    <t>涪陵区百花路88号（渝东国际商贸城一期）2幢3-7</t>
  </si>
  <si>
    <t>涪陵区百花路88号（渝东国际商贸城一期）2幢3-8</t>
  </si>
  <si>
    <t>涪陵区百花路88号（渝东国际商贸城一期）2幢3-9</t>
  </si>
  <si>
    <t>涪陵区百花路88号（渝东国际商贸城一期）2幢3-10</t>
  </si>
  <si>
    <t>涪陵区百花路88号（渝东国际商贸城一期）2幢3-11</t>
  </si>
  <si>
    <t>涪陵区百花路88号（渝东国际商贸城一期）2幢3-12</t>
  </si>
  <si>
    <t>涪陵区百花路88号（渝东国际商贸城一期）2幢3-13</t>
  </si>
  <si>
    <t>涪陵区百花路88号（渝东国际商贸城一期）2幢3-14</t>
  </si>
  <si>
    <t>涪陵区百花路88号（渝东国际商贸城一期）2幢3-15</t>
  </si>
  <si>
    <t>涪陵区百花路88号（渝东国际商贸城一期）2幢3-16</t>
  </si>
  <si>
    <t>涪陵区百花路88号（渝东国际商贸城一期）2幢3-17</t>
  </si>
  <si>
    <t>涪陵区百花路88号（渝东国际商贸城一期）2幢3-18</t>
  </si>
  <si>
    <t>涪陵区百花路88号（渝东国际商贸城一期）2幢3-19</t>
  </si>
  <si>
    <t>涪陵区百花路88号（渝东国际商贸城一期）2幢3-20</t>
  </si>
  <si>
    <t>涪陵区百花路88号（渝东国际商贸城一期）2幢3-21</t>
  </si>
  <si>
    <t>涪陵区百花路88号（渝东国际商贸城一期）2幢3-22</t>
  </si>
  <si>
    <t>涪陵区百花路88号（渝东国际商贸城一期）2幢3-23</t>
  </si>
  <si>
    <t>涪陵区百花路88号（渝东国际商贸城一期）2幢3-24</t>
  </si>
  <si>
    <t>涪陵区百花路88号（渝东国际商贸城一期）2幢3-25</t>
  </si>
  <si>
    <t>涪陵区百花路88号（渝东国际商贸城一期）2幢3-26</t>
  </si>
  <si>
    <t>涪陵区百花路88号（渝东国际商贸城一期）2幢3-27</t>
  </si>
  <si>
    <t>涪陵区百花路88号（渝东国际商贸城一期）2幢3-28</t>
  </si>
  <si>
    <t>涪陵区百花路88号（渝东国际商贸城一期）2幢3-29</t>
  </si>
  <si>
    <t>涪陵区百花路88号（渝东国际商贸城一期）2幢3-30</t>
  </si>
  <si>
    <t>涪陵区百花路88号（渝东国际商贸城一期）2幢3-31</t>
  </si>
  <si>
    <t>涪陵区百花路88号（渝东国际商贸城一期）2幢3-32</t>
  </si>
  <si>
    <t>涪陵区百花路88号（渝东国际商贸城一期）2幢3-33</t>
  </si>
  <si>
    <t>涪陵区百花路88号（渝东国际商贸城一期）2幢3-34</t>
  </si>
  <si>
    <t>涪陵区百花路88号（渝东国际商贸城一期）2幢3-35</t>
  </si>
  <si>
    <t>涪陵区百花路88号（渝东国际商贸城一期）2幢3-36</t>
  </si>
  <si>
    <t>涪陵区百花路88号（渝东国际商贸城一期）2幢3-37</t>
  </si>
  <si>
    <t>涪陵区百花路88号（渝东国际商贸城一期）2幢3-38</t>
  </si>
  <si>
    <t>涪陵区百花路88号（渝东国际商贸城一期）2幢3-39</t>
  </si>
  <si>
    <t>涪陵区百花路88号（渝东国际商贸城一期）2幢3-40</t>
  </si>
  <si>
    <t>涪陵区百花路88号（渝东国际商贸城一期）2幢3-41</t>
  </si>
  <si>
    <t>涪陵区百花路88号（渝东国际商贸城一期）2幢3-42</t>
  </si>
  <si>
    <t>涪陵区百花路88号（渝东国际商贸城一期）2幢3-43</t>
  </si>
  <si>
    <t>涪陵区百花路88号（渝东国际商贸城一期）2幢3-44</t>
  </si>
  <si>
    <t>涪陵区百花路88号（渝东国际商贸城一期）2幢3-45</t>
  </si>
  <si>
    <t>涪陵区百花路88号（渝东国际商贸城一期）2幢3-46</t>
  </si>
  <si>
    <t>涪陵区百花路88号（渝东国际商贸城一期）2幢3-47</t>
  </si>
  <si>
    <t>涪陵区百花路88号（渝东国际商贸城一期）2幢3-48</t>
  </si>
  <si>
    <t>涪陵区百花路88号（渝东国际商贸城一期）2幢3-49</t>
  </si>
  <si>
    <t>涪陵区百花路88号（渝东国际商贸城一期）2幢3-50</t>
  </si>
  <si>
    <t>涪陵区百花路88号（渝东国际商贸城一期）2幢3-51</t>
  </si>
  <si>
    <t>涪陵区百花路88号（渝东国际商贸城一期）2幢3-52</t>
  </si>
  <si>
    <t>涪陵区百花路88号（渝东国际商贸城一期）2幢3-53</t>
  </si>
  <si>
    <t>涪陵区百花路88号（渝东国际商贸城一期）2幢3-54</t>
  </si>
  <si>
    <t>涪陵区百花路88号（渝东国际商贸城一期）2幢3-55</t>
  </si>
  <si>
    <t>涪陵区百花路88号（渝东国际商贸城一期）2幢3-56</t>
  </si>
  <si>
    <t>涪陵区百花路88号（渝东国际商贸城一期）2幢3-57</t>
  </si>
  <si>
    <t>涪陵区百花路88号（渝东国际商贸城一期）2幢3-58</t>
  </si>
  <si>
    <t>涪陵区百花路88号（渝东国际商贸城一期）2幢3-59</t>
  </si>
  <si>
    <t>涪陵区百花路88号（渝东国际商贸城一期）2幢3-60</t>
  </si>
  <si>
    <t>涪陵区百花路88号（渝东国际商贸城一期）2幢3-61</t>
  </si>
  <si>
    <t>涪陵区百花路88号（渝东国际商贸城一期）2幢3-62</t>
  </si>
  <si>
    <t>涪陵区百花路88号（渝东国际商贸城一期）2幢3-441</t>
  </si>
  <si>
    <t>涪陵区百花路88号（渝东国际商贸城一期）2幢3-442</t>
  </si>
  <si>
    <t>涪陵区百花路88号（渝东国际商贸城一期）2幢3-443</t>
  </si>
  <si>
    <t>涪陵区百花路88号（渝东国际商贸城一期）2幢3-444</t>
  </si>
  <si>
    <t>涪陵区百花路88号（渝东国际商贸城一期）2幢3-445</t>
  </si>
  <si>
    <t>涪陵区百花路88号（渝东国际商贸城一期）2幢3-478</t>
  </si>
  <si>
    <t>涪陵区百花路88号（渝东国际商贸城一期）2幢4-18</t>
  </si>
  <si>
    <t>名义层4</t>
  </si>
  <si>
    <t>涪陵区百花路88号（渝东国际商贸城一期）2幢4-19</t>
  </si>
  <si>
    <t>涪陵区百花路88号（渝东国际商贸城一期）2幢4-20</t>
  </si>
  <si>
    <t>涪陵区百花路88号（渝东国际商贸城一期）2幢4-21</t>
  </si>
  <si>
    <t>涪陵区百花路88号（渝东国际商贸城一期）2幢4-22</t>
  </si>
  <si>
    <t>涪陵区百花路88号（渝东国际商贸城一期）2幢4-23</t>
  </si>
  <si>
    <t>涪陵区百花路88号（渝东国际商贸城一期）2幢4-24</t>
  </si>
  <si>
    <t>涪陵区百花路88号（渝东国际商贸城一期）2幢4-25</t>
  </si>
  <si>
    <t>涪陵区百花路88号（渝东国际商贸城一期）2幢4-26</t>
  </si>
  <si>
    <t>涪陵区百花路88号（渝东国际商贸城一期）2幢4-27</t>
  </si>
  <si>
    <t>涪陵区百花路88号（渝东国际商贸城一期）2幢4-28</t>
  </si>
  <si>
    <t>涪陵区百花路88号（渝东国际商贸城一期）2幢4-29</t>
  </si>
  <si>
    <t>涪陵区百花路88号（渝东国际商贸城一期）2幢4-30</t>
  </si>
  <si>
    <t>涪陵区百花路88号（渝东国际商贸城一期）2幢4-31</t>
  </si>
  <si>
    <t>涪陵区百花路88号（渝东国际商贸城一期）2幢4-32</t>
  </si>
  <si>
    <t>涪陵区百花路88号（渝东国际商贸城一期）2幢4-33</t>
  </si>
  <si>
    <t>涪陵区百花路88号（渝东国际商贸城一期）2幢4-34</t>
  </si>
  <si>
    <t>涪陵区百花路88号（渝东国际商贸城一期）2幢4-35</t>
  </si>
  <si>
    <t>涪陵区百花路88号（渝东国际商贸城一期）2幢4-36</t>
  </si>
  <si>
    <t>涪陵区百花路88号（渝东国际商贸城一期）2幢4-37</t>
  </si>
  <si>
    <t>涪陵区百花路88号（渝东国际商贸城一期）2幢4-38</t>
  </si>
  <si>
    <t>涪陵区百花路88号（渝东国际商贸城一期）2幢4-39</t>
  </si>
  <si>
    <t>涪陵区百花路88号（渝东国际商贸城一期）2幢4-158</t>
  </si>
  <si>
    <t>涪陵区百花路88号（渝东国际商贸城一期）2幢4-159</t>
  </si>
  <si>
    <t>涪陵区百花路88号（渝东国际商贸城一期）2幢4-160</t>
  </si>
  <si>
    <t>涪陵区百花路88号（渝东国际商贸城一期）2幢4-161</t>
  </si>
  <si>
    <t>涪陵区百花路88号（渝东国际商贸城一期）2幢4-162</t>
  </si>
  <si>
    <t>涪陵区百花路88号（渝东国际商贸城一期）2幢4-163</t>
  </si>
  <si>
    <t>涪陵区百花路88号（渝东国际商贸城一期）2幢4-178</t>
  </si>
  <si>
    <t>涪陵区百花路88号（渝东国际商贸城一期）2幢4-179</t>
  </si>
  <si>
    <t>涪陵区百花路88号（渝东国际商贸城一期）2幢4-180</t>
  </si>
  <si>
    <t>涪陵区百花路88号（渝东国际商贸城一期）2幢4-181</t>
  </si>
  <si>
    <t>涪陵区百花路88号（渝东国际商贸城一期）2幢4-182</t>
  </si>
  <si>
    <t>涪陵区百花路88号（渝东国际商贸城一期）2幢4-183</t>
  </si>
  <si>
    <t>涪陵区百花路88号（渝东国际商贸城一期）2幢负1-40</t>
  </si>
  <si>
    <t>名义层负1</t>
  </si>
  <si>
    <t>涪陵区百花路88号（渝东国际商贸城一期）2幢负1-46</t>
  </si>
  <si>
    <t>涪陵区百花路88号（渝东国际商贸城一期）2幢负1-49</t>
  </si>
  <si>
    <t>涪陵区百花路88号（渝东国际商贸城一期）2幢负1-63</t>
  </si>
  <si>
    <t>涪陵区百花路88号（渝东国际商贸城一期）2幢负1-65</t>
  </si>
  <si>
    <t>涪陵区百花路88号（渝东国际商贸城一期）2幢负1-66</t>
  </si>
  <si>
    <t>涪陵区百花路88号（渝东国际商贸城一期）2幢负1-67</t>
  </si>
  <si>
    <t>涪陵区百花路88号（渝东国际商贸城一期）2幢负1-68</t>
  </si>
  <si>
    <t>涪陵区百花路88号（渝东国际商贸城一期）2幢负1-69</t>
  </si>
  <si>
    <t>涪陵区百花路88号（渝东国际商贸城一期）2幢负1-72</t>
  </si>
  <si>
    <t>涪陵区百花路88号（渝东国际商贸城一期）2幢负1-78</t>
  </si>
  <si>
    <t>涪陵区百花路88号（渝东国际商贸城一期）2幢负1-79</t>
  </si>
  <si>
    <t>涪陵区百花路88号（渝东国际商贸城一期）2幢负1-80</t>
  </si>
  <si>
    <t>涪陵区百花路88号（渝东国际商贸城一期）2幢负1-81</t>
  </si>
  <si>
    <t>涪陵区百花路88号（渝东国际商贸城一期）2幢负1-99</t>
  </si>
  <si>
    <t>涪陵区百花路88号（渝东国际商贸城一期）2幢负1-100</t>
  </si>
  <si>
    <t>涪陵区百花路88号（渝东国际商贸城一期）2幢负1-108</t>
  </si>
  <si>
    <t>涪陵区百花路88号（渝东国际商贸城一期）2幢负1-109</t>
  </si>
  <si>
    <t>涪陵区百花路88号（渝东国际商贸城一期）2幢负1-110</t>
  </si>
  <si>
    <t>涪陵区百花路88号（渝东国际商贸城一期）2幢负1-111</t>
  </si>
  <si>
    <t>涪陵区百花路88号（渝东国际商贸城一期）2幢负1-112</t>
  </si>
  <si>
    <t>涪陵区百花路88号（渝东国际商贸城一期）2幢负1-113</t>
  </si>
  <si>
    <t>涪陵区百花路88号（渝东国际商贸城一期）2幢负1-114</t>
  </si>
  <si>
    <t>涪陵区百花路88号（渝东国际商贸城一期）2幢负1-115</t>
  </si>
  <si>
    <t>涪陵区百花路88号（渝东国际商贸城一期）2幢负1-116</t>
  </si>
  <si>
    <t>涪陵区百花路88号（渝东国际商贸城一期）2幢负1-117</t>
  </si>
  <si>
    <t>涪陵区百花路88号（渝东国际商贸城一期）2幢负1-118</t>
  </si>
  <si>
    <t>涪陵区百花路88号（渝东国际商贸城一期）2幢负1-119</t>
  </si>
  <si>
    <t>涪陵区百花路88号（渝东国际商贸城一期）2幢负1-120</t>
  </si>
  <si>
    <t>涪陵区百花路88号（渝东国际商贸城一期）2幢负1-121</t>
  </si>
  <si>
    <t>涪陵区百花路88号（渝东国际商贸城一期）2幢负1-122</t>
  </si>
  <si>
    <t>涪陵区百花路88号（渝东国际商贸城一期）2幢负1-123</t>
  </si>
  <si>
    <t>涪陵区百花路88号（渝东国际商贸城一期）2幢负1-124</t>
  </si>
  <si>
    <t>涪陵区百花路88号（渝东国际商贸城一期）2幢负1-125</t>
  </si>
  <si>
    <t>涪陵区百花路88号（渝东国际商贸城一期）2幢负1-126</t>
  </si>
  <si>
    <t>涪陵区百花路88号（渝东国际商贸城一期）2幢负1-127</t>
  </si>
  <si>
    <t>涪陵区百花路88号（渝东国际商贸城一期）2幢负1-128</t>
  </si>
  <si>
    <t>涪陵区百花路88号（渝东国际商贸城一期）2幢负1-129</t>
  </si>
  <si>
    <t>涪陵区百花路88号（渝东国际商贸城一期）2幢负1-130</t>
  </si>
  <si>
    <t>涪陵区百花路88号（渝东国际商贸城一期）2幢负1-131</t>
  </si>
  <si>
    <t>涪陵区百花路88号（渝东国际商贸城一期）2幢负1-132</t>
  </si>
  <si>
    <t>涪陵区百花路88号（渝东国际商贸城一期）2幢负1-133</t>
  </si>
  <si>
    <t>涪陵区百花路88号（渝东国际商贸城一期）2幢负1-134</t>
  </si>
  <si>
    <t>涪陵区百花路88号（渝东国际商贸城一期）2幢负1-135</t>
  </si>
  <si>
    <t>涪陵区百花路88号（渝东国际商贸城一期）2幢负1-136</t>
  </si>
  <si>
    <t>涪陵区百花路88号（渝东国际商贸城一期）2幢负1-137</t>
  </si>
  <si>
    <t>涪陵区百花路88号（渝东国际商贸城一期）2幢负1-142</t>
  </si>
  <si>
    <t>涪陵区百花路88号（渝东国际商贸城一期）2幢负1-143</t>
  </si>
  <si>
    <t>涪陵区百花路88号（渝东国际商贸城一期）2幢负1-147</t>
  </si>
  <si>
    <t>涪陵区百花路88号（渝东国际商贸城一期）2幢负1-148</t>
  </si>
  <si>
    <t>涪陵区百花路88号（渝东国际商贸城一期）2幢负1-附23</t>
  </si>
  <si>
    <t>涪陵区百花路88号（渝东国际商贸城一期）2幢负1-附105</t>
  </si>
  <si>
    <t>涪陵区百花路88号（渝东国际商贸城一期）2幢负1-附106</t>
  </si>
  <si>
    <t>涪陵区百花路88号（渝东国际商贸城一期）2幢负1-附107</t>
  </si>
  <si>
    <t>涪陵区百花路88号（渝东国际商贸城一期）2幢负1-附108</t>
  </si>
  <si>
    <t>涪陵区百花路88号（渝东国际商贸城一期）2幢负1-附109</t>
  </si>
  <si>
    <t>涪陵区百花路88号（渝东国际商贸城一期）2幢负1-附110</t>
  </si>
  <si>
    <t>涪陵区百花路88号（渝东国际商贸城一期）2幢负1-附111</t>
  </si>
  <si>
    <t>涪陵区百花路88号（渝东国际商贸城一期）2幢负1-附113</t>
  </si>
  <si>
    <t>涪陵区百花路88号（渝东国际商贸城一期）2幢负1-附115</t>
  </si>
  <si>
    <t>商业小计</t>
  </si>
  <si>
    <t>涪陵区百花路88号渝东国际商贸城一期第1幢车库负1-1</t>
  </si>
  <si>
    <t>负1层</t>
  </si>
  <si>
    <t>停车用房</t>
  </si>
  <si>
    <t>涪陵区百花路88号渝东国际商贸城一期第1幢车库负1-2</t>
  </si>
  <si>
    <t>涪陵区百花路88号渝东国际商贸城一期第1幢车库负1-3</t>
  </si>
  <si>
    <t>涪陵区百花路88号渝东国际商贸城一期第1幢车库负1-4</t>
  </si>
  <si>
    <t>涪陵区百花路88号渝东国际商贸城一期第1幢车库负1-5</t>
  </si>
  <si>
    <t>涪陵区百花路88号渝东国际商贸城一期第1幢车库负1-6</t>
  </si>
  <si>
    <t>涪陵区百花路88号渝东国际商贸城一期第1幢车库负1-7</t>
  </si>
  <si>
    <t>涪陵区百花路88号渝东国际商贸城一期第1幢车库负1-8</t>
  </si>
  <si>
    <t>涪陵区百花路88号渝东国际商贸城一期第1幢车库负1-9</t>
  </si>
  <si>
    <t>涪陵区百花路88号渝东国际商贸城一期第1幢车库负1-10</t>
  </si>
  <si>
    <t>涪陵区百花路88号渝东国际商贸城一期第1幢车库负1-11</t>
  </si>
  <si>
    <t>涪陵区百花路88号渝东国际商贸城一期第1幢车库负1-12</t>
  </si>
  <si>
    <t>涪陵区百花路88号渝东国际商贸城一期第1幢车库负1-13</t>
  </si>
  <si>
    <t>涪陵区百花路88号渝东国际商贸城一期第1幢车库负1-14</t>
  </si>
  <si>
    <t>涪陵区百花路88号渝东国际商贸城一期第1幢车库负1-15</t>
  </si>
  <si>
    <t>涪陵区百花路88号渝东国际商贸城一期第1幢车库负1-16</t>
  </si>
  <si>
    <t>涪陵区百花路88号渝东国际商贸城一期第1幢车库负1-17</t>
  </si>
  <si>
    <t>涪陵区百花路88号渝东国际商贸城一期第1幢车库负1-18</t>
  </si>
  <si>
    <t>涪陵区百花路88号渝东国际商贸城一期第1幢车库负1-19</t>
  </si>
  <si>
    <t>涪陵区百花路88号渝东国际商贸城一期第1幢车库负1-20</t>
  </si>
  <si>
    <t>涪陵区百花路88号渝东国际商贸城一期第1幢车库负1-21</t>
  </si>
  <si>
    <t>涪陵区百花路88号渝东国际商贸城一期第1幢车库负1-22</t>
  </si>
  <si>
    <t>涪陵区百花路88号渝东国际商贸城一期第1幢车库负1-23</t>
  </si>
  <si>
    <t>涪陵区百花路88号渝东国际商贸城一期第1幢车库负1-24</t>
  </si>
  <si>
    <t>涪陵区百花路88号渝东国际商贸城一期第1幢车库负1-25</t>
  </si>
  <si>
    <t>涪陵区百花路88号渝东国际商贸城一期第1幢车库负1-26</t>
  </si>
  <si>
    <t>涪陵区百花路88号渝东国际商贸城一期第1幢车库负1-27</t>
  </si>
  <si>
    <t>涪陵区百花路88号渝东国际商贸城一期第1幢车库负1-28</t>
  </si>
  <si>
    <t>涪陵区百花路88号渝东国际商贸城一期第1幢车库负1-29</t>
  </si>
  <si>
    <t>涪陵区百花路88号渝东国际商贸城一期第1幢车库负1-30</t>
  </si>
  <si>
    <t>涪陵区百花路88号渝东国际商贸城一期第1幢车库负1-31</t>
  </si>
  <si>
    <t>涪陵区百花路88号渝东国际商贸城一期第1幢车库负1-32</t>
  </si>
  <si>
    <t>涪陵区百花路88号渝东国际商贸城一期第1幢车库负1-33</t>
  </si>
  <si>
    <t>涪陵区百花路88号渝东国际商贸城一期第1幢车库负1-34</t>
  </si>
  <si>
    <t>涪陵区百花路88号渝东国际商贸城一期第1幢车库负1-35</t>
  </si>
  <si>
    <t>涪陵区百花路88号渝东国际商贸城一期第1幢车库负1-36</t>
  </si>
  <si>
    <t>涪陵区百花路88号渝东国际商贸城一期第1幢车库负1-37</t>
  </si>
  <si>
    <t>涪陵区百花路88号渝东国际商贸城一期第1幢车库负1-38</t>
  </si>
  <si>
    <t>涪陵区百花路88号渝东国际商贸城一期第1幢车库负1-39</t>
  </si>
  <si>
    <t>涪陵区百花路88号渝东国际商贸城一期第1幢车库负1-40</t>
  </si>
  <si>
    <t>涪陵区百花路88号渝东国际商贸城一期第1幢车库负1-41</t>
  </si>
  <si>
    <t>涪陵区百花路88号渝东国际商贸城一期第1幢车库负1-42</t>
  </si>
  <si>
    <t>涪陵区百花路88号渝东国际商贸城一期第1幢车库负1-43</t>
  </si>
  <si>
    <t>涪陵区百花路88号渝东国际商贸城一期第1幢车库负1-44</t>
  </si>
  <si>
    <t>涪陵区百花路88号渝东国际商贸城一期第1幢车库负1-45</t>
  </si>
  <si>
    <t>涪陵区百花路88号渝东国际商贸城一期第1幢车库负1-46</t>
  </si>
  <si>
    <t>涪陵区百花路88号渝东国际商贸城一期第1幢车库负1-47</t>
  </si>
  <si>
    <t>涪陵区百花路88号渝东国际商贸城一期第1幢车库负1-48</t>
  </si>
  <si>
    <t>涪陵区百花路88号渝东国际商贸城一期第1幢车库负1-49</t>
  </si>
  <si>
    <t>涪陵区百花路88号渝东国际商贸城一期第1幢车库负1-50</t>
  </si>
  <si>
    <t>涪陵区百花路88号渝东国际商贸城一期第1幢车库负1-51</t>
  </si>
  <si>
    <t>涪陵区百花路88号渝东国际商贸城一期第1幢车库负1-52</t>
  </si>
  <si>
    <t>涪陵区百花路88号渝东国际商贸城一期第1幢车库负1-53</t>
  </si>
  <si>
    <t>涪陵区百花路88号渝东国际商贸城一期第1幢车库负1-54</t>
  </si>
  <si>
    <t>涪陵区百花路88号渝东国际商贸城一期第1幢车库负1-55</t>
  </si>
  <si>
    <t>涪陵区百花路88号渝东国际商贸城一期第1幢车库负1-56</t>
  </si>
  <si>
    <t>涪陵区百花路88号渝东国际商贸城一期第1幢车库负1-57</t>
  </si>
  <si>
    <t>涪陵区百花路88号渝东国际商贸城一期第1幢车库负1-58</t>
  </si>
  <si>
    <t>涪陵区百花路88号渝东国际商贸城一期第1幢车库负1-59</t>
  </si>
  <si>
    <t>涪陵区百花路88号渝东国际商贸城一期第1幢车库负1-60</t>
  </si>
  <si>
    <t>涪陵区百花路88号渝东国际商贸城一期第1幢车库负1-61</t>
  </si>
  <si>
    <t>涪陵区百花路88号渝东国际商贸城一期第1幢车库负1-62</t>
  </si>
  <si>
    <t>涪陵区百花路88号渝东国际商贸城一期第1幢车库负1-63</t>
  </si>
  <si>
    <t>涪陵区百花路88号渝东国际商贸城一期第1幢车库负1-64</t>
  </si>
  <si>
    <t>涪陵区百花路88号渝东国际商贸城一期第1幢车库负1-65</t>
  </si>
  <si>
    <t>涪陵区百花路88号渝东国际商贸城一期第1幢车库负1-66</t>
  </si>
  <si>
    <t>涪陵区百花路88号渝东国际商贸城一期第1幢车库负1-67</t>
  </si>
  <si>
    <t>涪陵区百花路88号渝东国际商贸城一期第1幢车库负1-68</t>
  </si>
  <si>
    <t>涪陵区百花路88号渝东国际商贸城一期第1幢车库负1-69</t>
  </si>
  <si>
    <t>涪陵区百花路88号渝东国际商贸城一期第1幢车库负1-70</t>
  </si>
  <si>
    <t>涪陵区百花路88号渝东国际商贸城一期第1幢车库负1-71</t>
  </si>
  <si>
    <t>涪陵区百花路88号渝东国际商贸城一期第1幢车库负1-72</t>
  </si>
  <si>
    <t>涪陵区百花路88号渝东国际商贸城一期第1幢车库负1-73</t>
  </si>
  <si>
    <t>涪陵区百花路88号渝东国际商贸城一期第1幢车库负1-74</t>
  </si>
  <si>
    <t>涪陵区百花路88号渝东国际商贸城一期第1幢车库负1-75</t>
  </si>
  <si>
    <t>涪陵区百花路88号渝东国际商贸城一期第1幢车库负1-76</t>
  </si>
  <si>
    <t>涪陵区百花路88号渝东国际商贸城一期第1幢车库负1-77</t>
  </si>
  <si>
    <t>涪陵区百花路88号渝东国际商贸城一期第1幢车库负1-78</t>
  </si>
  <si>
    <t>涪陵区百花路88号渝东国际商贸城一期第1幢车库负1-79</t>
  </si>
  <si>
    <t>涪陵区百花路88号渝东国际商贸城一期第1幢车库负1-80</t>
  </si>
  <si>
    <t>涪陵区百花路88号渝东国际商贸城一期第1幢车库负1-81</t>
  </si>
  <si>
    <t>涪陵区百花路88号渝东国际商贸城一期第1幢车库负1-82</t>
  </si>
  <si>
    <t>涪陵区百花路88号渝东国际商贸城一期第1幢车库负1-83</t>
  </si>
  <si>
    <t>涪陵区百花路88号渝东国际商贸城一期第1幢车库负1-84</t>
  </si>
  <si>
    <t>涪陵区百花路88号渝东国际商贸城一期第1幢车库负1-85</t>
  </si>
  <si>
    <t>涪陵区百花路88号渝东国际商贸城一期第1幢车库负1-86</t>
  </si>
  <si>
    <t>涪陵区百花路88号渝东国际商贸城一期第1幢车库负1-87</t>
  </si>
  <si>
    <t>涪陵区百花路88号渝东国际商贸城一期第1幢车库负1-88</t>
  </si>
  <si>
    <t>涪陵区百花路88号渝东国际商贸城一期第1幢车库负1-89</t>
  </si>
  <si>
    <t>涪陵区百花路88号渝东国际商贸城一期第1幢车库负1-90</t>
  </si>
  <si>
    <t>涪陵区百花路88号渝东国际商贸城一期第1幢车库负1-91</t>
  </si>
  <si>
    <t>涪陵区百花路88号渝东国际商贸城一期第1幢车库负1-92</t>
  </si>
  <si>
    <t>涪陵区百花路88号渝东国际商贸城一期第1幢车库负1-93</t>
  </si>
  <si>
    <t>涪陵区百花路88号渝东国际商贸城一期第1幢车库负1-94</t>
  </si>
  <si>
    <t>涪陵区百花路88号渝东国际商贸城一期第1幢车库负1-95</t>
  </si>
  <si>
    <t>涪陵区百花路88号渝东国际商贸城一期第1幢车库负1-96</t>
  </si>
  <si>
    <t>涪陵区百花路88号渝东国际商贸城一期第1幢车库负1-97</t>
  </si>
  <si>
    <t>涪陵区百花路88号渝东国际商贸城一期第1幢车库负1-98</t>
  </si>
  <si>
    <t>涪陵区百花路88号渝东国际商贸城一期第1幢车库负1-99</t>
  </si>
  <si>
    <t>涪陵区百花路88号渝东国际商贸城一期第1幢车库负1-100</t>
  </si>
  <si>
    <t>涪陵区百花路88号渝东国际商贸城一期第1幢车库负1-101</t>
  </si>
  <si>
    <t>涪陵区百花路88号渝东国际商贸城一期第1幢车库负1-102</t>
  </si>
  <si>
    <t>涪陵区百花路88号渝东国际商贸城一期第1幢车库负1-103</t>
  </si>
  <si>
    <t>涪陵区百花路88号渝东国际商贸城一期第1幢车库负1-104</t>
  </si>
  <si>
    <t>涪陵区百花路88号渝东国际商贸城一期第1幢车库负1-105</t>
  </si>
  <si>
    <t>涪陵区百花路88号渝东国际商贸城一期第1幢车库负1-106</t>
  </si>
  <si>
    <t>涪陵区百花路88号渝东国际商贸城一期第1幢车库负1-107</t>
  </si>
  <si>
    <t>涪陵区百花路88号渝东国际商贸城一期第1幢车库负1-108</t>
  </si>
  <si>
    <t>涪陵区百花路88号渝东国际商贸城一期第1幢车库负1-109</t>
  </si>
  <si>
    <t>涪陵区百花路88号渝东国际商贸城一期第1幢车库负1-110</t>
  </si>
  <si>
    <t>涪陵区百花路88号渝东国际商贸城一期第1幢车库负1-111</t>
  </si>
  <si>
    <t>涪陵区百花路88号渝东国际商贸城一期第1幢车库负1-112</t>
  </si>
  <si>
    <t>涪陵区百花路88号渝东国际商贸城一期第1幢车库负1-113</t>
  </si>
  <si>
    <t>涪陵区百花路88号渝东国际商贸城一期第1幢车库负1-114</t>
  </si>
  <si>
    <t>涪陵区百花路88号渝东国际商贸城一期第1幢车库负1-115</t>
  </si>
  <si>
    <t>涪陵区百花路88号渝东国际商贸城一期第1幢车库负1-116</t>
  </si>
  <si>
    <t>涪陵区百花路88号渝东国际商贸城一期第1幢车库负1-117</t>
  </si>
  <si>
    <t>涪陵区百花路88号渝东国际商贸城一期第1幢车库负1-118</t>
  </si>
  <si>
    <t>涪陵区百花路88号渝东国际商贸城一期第1幢车库负1-119</t>
  </si>
  <si>
    <t>涪陵区百花路88号渝东国际商贸城一期第1幢车库负1-120</t>
  </si>
  <si>
    <t>涪陵区百花路88号渝东国际商贸城一期第1幢车库负1-121</t>
  </si>
  <si>
    <t>涪陵区百花路88号渝东国际商贸城一期第1幢车库负1-122</t>
  </si>
  <si>
    <t>涪陵区百花路88号渝东国际商贸城一期第1幢车库负1-123</t>
  </si>
  <si>
    <t>涪陵区百花路88号渝东国际商贸城一期第1幢车库负1-124</t>
  </si>
  <si>
    <t>涪陵区百花路88号渝东国际商贸城一期第1幢车库负1-125</t>
  </si>
  <si>
    <t>涪陵区百花路88号渝东国际商贸城一期第1幢车库负1-126</t>
  </si>
  <si>
    <t>涪陵区百花路88号渝东国际商贸城一期第1幢车库负1-127</t>
  </si>
  <si>
    <t>涪陵区百花路88号渝东国际商贸城一期第1幢车库负1-128</t>
  </si>
  <si>
    <t>涪陵区百花路88号渝东国际商贸城一期第1幢车库负1-129</t>
  </si>
  <si>
    <t>涪陵区百花路88号渝东国际商贸城一期第1幢车库负1-130</t>
  </si>
  <si>
    <t>涪陵区百花路88号渝东国际商贸城一期第1幢车库负1-131</t>
  </si>
  <si>
    <t>涪陵区百花路88号渝东国际商贸城一期第1幢车库负1-132</t>
  </si>
  <si>
    <t>涪陵区百花路88号渝东国际商贸城一期第1幢车库负1-133</t>
  </si>
  <si>
    <t>涪陵区百花路88号渝东国际商贸城一期第1幢车库负1-134</t>
  </si>
  <si>
    <t>涪陵区百花路88号渝东国际商贸城一期第1幢车库负1-135</t>
  </si>
  <si>
    <t>涪陵区百花路88号渝东国际商贸城一期第1幢车库负1-136</t>
  </si>
  <si>
    <t>涪陵区百花路88号渝东国际商贸城一期第1幢车库负1-137</t>
  </si>
  <si>
    <t>涪陵区百花路88号渝东国际商贸城一期第1幢车库负1-138</t>
  </si>
  <si>
    <t>涪陵区百花路88号渝东国际商贸城一期第1幢车库负1-139</t>
  </si>
  <si>
    <t>涪陵区百花路88号渝东国际商贸城一期第1幢车库负1-140</t>
  </si>
  <si>
    <t>涪陵区百花路88号渝东国际商贸城一期第1幢车库负1-141</t>
  </si>
  <si>
    <t>涪陵区百花路88号渝东国际商贸城一期第1幢车库负1-142</t>
  </si>
  <si>
    <t>涪陵区百花路88号渝东国际商贸城一期第1幢车库负1-143</t>
  </si>
  <si>
    <t>涪陵区百花路88号渝东国际商贸城一期第1幢车库负1-144</t>
  </si>
  <si>
    <t>涪陵区百花路88号渝东国际商贸城一期第1幢车库负1-145</t>
  </si>
  <si>
    <t>涪陵区百花路88号渝东国际商贸城一期第1幢车库负1-146</t>
  </si>
  <si>
    <t>涪陵区百花路88号渝东国际商贸城一期第1幢车库负1-147</t>
  </si>
  <si>
    <t>涪陵区百花路88号渝东国际商贸城一期第1幢车库负1-148</t>
  </si>
  <si>
    <t>涪陵区百花路88号渝东国际商贸城一期第1幢车库负1-149</t>
  </si>
  <si>
    <t>涪陵区百花路88号渝东国际商贸城一期第1幢车库负1-150</t>
  </si>
  <si>
    <t>涪陵区百花路88号渝东国际商贸城一期第1幢车库负1-151</t>
  </si>
  <si>
    <t>涪陵区百花路88号渝东国际商贸城一期第1幢车库负1-152</t>
  </si>
  <si>
    <t>涪陵区百花路88号渝东国际商贸城一期第1幢车库负1-153</t>
  </si>
  <si>
    <t>涪陵区百花路88号渝东国际商贸城一期第1幢车库负1-154</t>
  </si>
  <si>
    <t>涪陵区百花路88号渝东国际商贸城一期第1幢车库负1-155</t>
  </si>
  <si>
    <t>涪陵区百花路88号渝东国际商贸城一期第1幢车库负1-156</t>
  </si>
  <si>
    <t>涪陵区百花路88号渝东国际商贸城一期第1幢车库负1-157</t>
  </si>
  <si>
    <t>涪陵区百花路88号渝东国际商贸城一期第1幢车库负1-158</t>
  </si>
  <si>
    <t>涪陵区百花路88号渝东国际商贸城一期第1幢车库负1-159</t>
  </si>
  <si>
    <t>涪陵区百花路88号渝东国际商贸城一期第1幢车库负1-160</t>
  </si>
  <si>
    <t>涪陵区百花路88号渝东国际商贸城一期第1幢车库负1-161</t>
  </si>
  <si>
    <t>涪陵区百花路88号渝东国际商贸城一期第1幢车库负1-162</t>
  </si>
  <si>
    <t>涪陵区百花路88号渝东国际商贸城一期第1幢车库负1-163</t>
  </si>
  <si>
    <t>涪陵区百花路88号渝东国际商贸城一期第1幢车库负1-164</t>
  </si>
  <si>
    <t>涪陵区百花路88号渝东国际商贸城一期第1幢车库负1-165</t>
  </si>
  <si>
    <t>涪陵区百花路88号渝东国际商贸城一期第1幢车库负1-166</t>
  </si>
  <si>
    <t>涪陵区百花路88号渝东国际商贸城一期第1幢车库负1-167</t>
  </si>
  <si>
    <t>涪陵区百花路88号渝东国际商贸城一期第1幢车库负1-168</t>
  </si>
  <si>
    <t>涪陵区百花路88号渝东国际商贸城一期第1幢车库负1-169</t>
  </si>
  <si>
    <t>涪陵区百花路88号渝东国际商贸城一期第1幢车库负1-170</t>
  </si>
  <si>
    <t>涪陵区百花路88号渝东国际商贸城一期第1幢车库负1-171</t>
  </si>
  <si>
    <t>涪陵区百花路88号渝东国际商贸城一期第1幢车库负1-172</t>
  </si>
  <si>
    <t>涪陵区百花路88号渝东国际商贸城一期第1幢车库负1-173</t>
  </si>
  <si>
    <t>涪陵区百花路88号渝东国际商贸城一期第1幢车库负1-174</t>
  </si>
  <si>
    <t>涪陵区百花路88号渝东国际商贸城一期第1幢车库负1-175</t>
  </si>
  <si>
    <t>涪陵区百花路88号渝东国际商贸城一期第1幢车库负1-176</t>
  </si>
  <si>
    <t>涪陵区百花路88号渝东国际商贸城一期第1幢车库负1-177</t>
  </si>
  <si>
    <t>涪陵区百花路88号渝东国际商贸城一期第1幢车库负1-178</t>
  </si>
  <si>
    <t>涪陵区百花路88号渝东国际商贸城一期第1幢车库负1-179</t>
  </si>
  <si>
    <t>涪陵区百花路88号渝东国际商贸城一期第1幢车库负1-180</t>
  </si>
  <si>
    <t>涪陵区百花路88号渝东国际商贸城一期第1幢车库负1-181</t>
  </si>
  <si>
    <t>涪陵区百花路88号渝东国际商贸城一期第1幢车库负1-182</t>
  </si>
  <si>
    <t>涪陵区百花路88号渝东国际商贸城一期第1幢车库负1-183</t>
  </si>
  <si>
    <t>涪陵区百花路88号渝东国际商贸城一期第1幢车库负1-184</t>
  </si>
  <si>
    <t>涪陵区百花路88号渝东国际商贸城一期第1幢车库负1-185</t>
  </si>
  <si>
    <t>涪陵区百花路88号渝东国际商贸城一期第1幢车库负1-186</t>
  </si>
  <si>
    <t>涪陵区百花路88号渝东国际商贸城一期第1幢车库负1-187</t>
  </si>
  <si>
    <t>涪陵区百花路88号渝东国际商贸城一期第1幢车库负1-188</t>
  </si>
  <si>
    <t>涪陵区百花路88号渝东国际商贸城一期第1幢车库负1-189</t>
  </si>
  <si>
    <t>涪陵区百花路88号渝东国际商贸城一期第1幢车库负1-190</t>
  </si>
  <si>
    <t>涪陵区百花路88号渝东国际商贸城一期第1幢车库负1-191</t>
  </si>
  <si>
    <t>涪陵区百花路88号渝东国际商贸城一期第1幢车库负1-192</t>
  </si>
  <si>
    <t>涪陵区百花路88号渝东国际商贸城一期第1幢车库负1-193</t>
  </si>
  <si>
    <t>涪陵区百花路88号渝东国际商贸城一期第1幢车库负1-194</t>
  </si>
  <si>
    <t>涪陵区百花路88号渝东国际商贸城一期第1幢车库负1-195</t>
  </si>
  <si>
    <t>涪陵区百花路88号渝东国际商贸城一期第1幢车库负1-196</t>
  </si>
  <si>
    <t>涪陵区百花路88号渝东国际商贸城一期第1幢车库负1-197</t>
  </si>
  <si>
    <t>涪陵区百花路88号渝东国际商贸城一期第1幢车库负1-198</t>
  </si>
  <si>
    <t>涪陵区百花路88号渝东国际商贸城一期第1幢车库负1-199</t>
  </si>
  <si>
    <t>涪陵区百花路88号渝东国际商贸城一期第1幢车库负1-200</t>
  </si>
  <si>
    <t>涪陵区百花路88号渝东国际商贸城一期第1幢车库负1-201</t>
  </si>
  <si>
    <t>涪陵区百花路88号渝东国际商贸城一期第1幢车库负1-202</t>
  </si>
  <si>
    <t>涪陵区百花路88号渝东国际商贸城一期第1幢车库负1-203</t>
  </si>
  <si>
    <t>涪陵区百花路88号（渝东国际商贸城一期2）幢负2-1</t>
  </si>
  <si>
    <t>负2层</t>
  </si>
  <si>
    <t>涪陵区百花路88号渝东国际商贸城一期2幢负2-2</t>
  </si>
  <si>
    <t>涪陵区百花路88号渝东国际商贸城一期2幢负2-3</t>
  </si>
  <si>
    <t>涪陵区百花路88号渝东国际商贸城一期2幢负2-4</t>
  </si>
  <si>
    <t>涪陵区百花路88号渝东国际商贸城一期2幢负2-5</t>
  </si>
  <si>
    <t>涪陵区百花路88号渝东国际商贸城一期2幢负2-6</t>
  </si>
  <si>
    <t>涪陵区百花路88号渝东国际商贸城一期2幢负2-7</t>
  </si>
  <si>
    <t>涪陵区百花路88号渝东国际商贸城一期2幢负2-8</t>
  </si>
  <si>
    <t>涪陵区百花路88号渝东国际商贸城一期2幢负2-9</t>
  </si>
  <si>
    <t>涪陵区百花路88号渝东国际商贸城一期2幢负2-10</t>
  </si>
  <si>
    <t>涪陵区百花路88号渝东国际商贸城一期2幢负2-11</t>
  </si>
  <si>
    <t>涪陵区百花路88号渝东国际商贸城一期2幢负2-12</t>
  </si>
  <si>
    <t>涪陵区百花路88号渝东国际商贸城一期2幢负2-13</t>
  </si>
  <si>
    <t>涪陵区百花路88号渝东国际商贸城一期2幢负2-14</t>
  </si>
  <si>
    <t>涪陵区百花路88号渝东国际商贸城一期2幢负2-15</t>
  </si>
  <si>
    <t>涪陵区百花路88号渝东国际商贸城一期2幢负2-16</t>
  </si>
  <si>
    <t>涪陵区百花路88号渝东国际商贸城一期2幢负2-17</t>
  </si>
  <si>
    <t>涪陵区百花路88号渝东国际商贸城一期2幢负2-18</t>
  </si>
  <si>
    <t>涪陵区百花路88号渝东国际商贸城一期2幢负2-19</t>
  </si>
  <si>
    <t>涪陵区百花路88号渝东国际商贸城一期2幢负2-20</t>
  </si>
  <si>
    <t>涪陵区百花路88号渝东国际商贸城一期2幢负2-21</t>
  </si>
  <si>
    <t>涪陵区百花路88号渝东国际商贸城一期2幢负2-22</t>
  </si>
  <si>
    <t>涪陵区百花路88号渝东国际商贸城一期2幢负2-23</t>
  </si>
  <si>
    <t>涪陵区百花路88号渝东国际商贸城一期2幢负2-24</t>
  </si>
  <si>
    <t>涪陵区百花路88号渝东国际商贸城一期2幢负2-25</t>
  </si>
  <si>
    <t>涪陵区百花路88号渝东国际商贸城一期2幢负2-26</t>
  </si>
  <si>
    <t>涪陵区百花路88号渝东国际商贸城一期2幢负2-27</t>
  </si>
  <si>
    <t>涪陵区百花路88号渝东国际商贸城一期2幢负2-28</t>
  </si>
  <si>
    <t>涪陵区百花路88号渝东国际商贸城一期2幢负2-29</t>
  </si>
  <si>
    <t>涪陵区百花路88号渝东国际商贸城一期2幢负2-30</t>
  </si>
  <si>
    <t>涪陵区百花路88号渝东国际商贸城一期2幢负2-31</t>
  </si>
  <si>
    <t>涪陵区百花路88号渝东国际商贸城一期2幢负2-32</t>
  </si>
  <si>
    <t>涪陵区百花路88号渝东国际商贸城一期2幢负2-33</t>
  </si>
  <si>
    <t>涪陵区百花路88号渝东国际商贸城一期2幢负2-34</t>
  </si>
  <si>
    <t>涪陵区百花路88号渝东国际商贸城一期2幢负2-35</t>
  </si>
  <si>
    <t>涪陵区百花路88号渝东国际商贸城一期2幢负2-36</t>
  </si>
  <si>
    <t>涪陵区百花路88号渝东国际商贸城一期2幢负2-37</t>
  </si>
  <si>
    <t>涪陵区百花路88号渝东国际商贸城一期2幢负2-38</t>
  </si>
  <si>
    <t>涪陵区百花路88号渝东国际商贸城一期2幢负2-39</t>
  </si>
  <si>
    <t>涪陵区百花路88号渝东国际商贸城一期2幢负2-40</t>
  </si>
  <si>
    <t>涪陵区百花路88号渝东国际商贸城一期2幢负2-41</t>
  </si>
  <si>
    <t>涪陵区百花路88号渝东国际商贸城一期2幢负2-42</t>
  </si>
  <si>
    <t>涪陵区百花路88号渝东国际商贸城一期2幢负2-43</t>
  </si>
  <si>
    <t>涪陵区百花路88号渝东国际商贸城一期2幢负2-44</t>
  </si>
  <si>
    <t>涪陵区百花路88号渝东国际商贸城一期2幢负2-45</t>
  </si>
  <si>
    <t>涪陵区百花路88号渝东国际商贸城一期2幢负2-46</t>
  </si>
  <si>
    <t>涪陵区百花路88号渝东国际商贸城一期2幢负2-47</t>
  </si>
  <si>
    <t>涪陵区百花路88号渝东国际商贸城一期2幢负2-48</t>
  </si>
  <si>
    <t>涪陵区百花路88号渝东国际商贸城一期2幢负2-49</t>
  </si>
  <si>
    <t>涪陵区百花路88号渝东国际商贸城一期2幢负2-50</t>
  </si>
  <si>
    <t>涪陵区百花路88号渝东国际商贸城一期2幢负2-51</t>
  </si>
  <si>
    <t>涪陵区百花路88号渝东国际商贸城一期2幢负2-52</t>
  </si>
  <si>
    <t>涪陵区百花路88号渝东国际商贸城一期2幢负2-53</t>
  </si>
  <si>
    <t>涪陵区百花路88号渝东国际商贸城一期2幢负2-54</t>
  </si>
  <si>
    <t>涪陵区百花路88号渝东国际商贸城一期2幢负2-55</t>
  </si>
  <si>
    <t>涪陵区百花路88号渝东国际商贸城一期2幢负2-56</t>
  </si>
  <si>
    <t>涪陵区百花路88号渝东国际商贸城一期2幢负2-57</t>
  </si>
  <si>
    <t>涪陵区百花路88号渝东国际商贸城一期2幢负2-58</t>
  </si>
  <si>
    <t>涪陵区百花路88号渝东国际商贸城一期2幢负2-59</t>
  </si>
  <si>
    <t>涪陵区百花路88号渝东国际商贸城一期2幢负2-60</t>
  </si>
  <si>
    <t>涪陵区百花路88号渝东国际商贸城一期2幢负2-61</t>
  </si>
  <si>
    <t>涪陵区百花路88号渝东国际商贸城一期2幢负2-62</t>
  </si>
  <si>
    <t>涪陵区百花路88号渝东国际商贸城一期2幢负2-63</t>
  </si>
  <si>
    <t>涪陵区百花路88号渝东国际商贸城一期2幢负2-64</t>
  </si>
  <si>
    <t>涪陵区百花路88号渝东国际商贸城一期2幢负2-65</t>
  </si>
  <si>
    <t>涪陵区百花路88号渝东国际商贸城一期2幢负2-66</t>
  </si>
  <si>
    <t>涪陵区百花路88号渝东国际商贸城一期2幢负2-67</t>
  </si>
  <si>
    <t>涪陵区百花路88号渝东国际商贸城一期2幢负2-68</t>
  </si>
  <si>
    <t>涪陵区百花路88号渝东国际商贸城一期2幢负2-69</t>
  </si>
  <si>
    <t>涪陵区百花路88号渝东国际商贸城一期2幢负2-70</t>
  </si>
  <si>
    <t>涪陵区百花路88号渝东国际商贸城一期2幢负2-71</t>
  </si>
  <si>
    <t>涪陵区百花路88号渝东国际商贸城一期2幢负2-72</t>
  </si>
  <si>
    <t>涪陵区百花路88号渝东国际商贸城一期2幢负2-73</t>
  </si>
  <si>
    <t>涪陵区百花路88号渝东国际商贸城一期2幢负2-74</t>
  </si>
  <si>
    <t>涪陵区百花路88号渝东国际商贸城一期2幢负2-75</t>
  </si>
  <si>
    <t>涪陵区百花路88号渝东国际商贸城一期2幢负2-76</t>
  </si>
  <si>
    <t>涪陵区百花路88号渝东国际商贸城一期2幢负2-77</t>
  </si>
  <si>
    <t>涪陵区百花路88号渝东国际商贸城一期2幢负2-78</t>
  </si>
  <si>
    <t>涪陵区百花路88号渝东国际商贸城一期2幢负2-79</t>
  </si>
  <si>
    <t>涪陵区百花路88号渝东国际商贸城一期2幢负2-80</t>
  </si>
  <si>
    <t>涪陵区百花路88号渝东国际商贸城一期2幢负2-81</t>
  </si>
  <si>
    <t>涪陵区百花路88号渝东国际商贸城一期2幢负2-82</t>
  </si>
  <si>
    <t>涪陵区百花路88号渝东国际商贸城一期2幢负2-83</t>
  </si>
  <si>
    <t>涪陵区百花路88号渝东国际商贸城一期2幢负2-84</t>
  </si>
  <si>
    <t>涪陵区百花路88号渝东国际商贸城一期2幢负2-85</t>
  </si>
  <si>
    <t>涪陵区百花路88号渝东国际商贸城一期2幢负2-86</t>
  </si>
  <si>
    <t>涪陵区百花路88号渝东国际商贸城一期2幢负2-87</t>
  </si>
  <si>
    <t>涪陵区百花路88号渝东国际商贸城一期2幢负2-88</t>
  </si>
  <si>
    <t>涪陵区百花路88号渝东国际商贸城一期2幢负2-89</t>
  </si>
  <si>
    <t>涪陵区百花路88号渝东国际商贸城一期2幢负2-90</t>
  </si>
  <si>
    <t>涪陵区百花路88号渝东国际商贸城一期2幢负2-91</t>
  </si>
  <si>
    <t>涪陵区百花路88号渝东国际商贸城一期2幢负2-92</t>
  </si>
  <si>
    <t>涪陵区百花路88号渝东国际商贸城一期2幢负2-93</t>
  </si>
  <si>
    <t>涪陵区百花路88号渝东国际商贸城一期2幢负2-94</t>
  </si>
  <si>
    <t>涪陵区百花路88号渝东国际商贸城一期2幢负2-95</t>
  </si>
  <si>
    <t>涪陵区百花路88号渝东国际商贸城一期2幢负2-96</t>
  </si>
  <si>
    <t>涪陵区百花路88号渝东国际商贸城一期2幢负2-97</t>
  </si>
  <si>
    <t>涪陵区百花路88号渝东国际商贸城一期2幢负2-98</t>
  </si>
  <si>
    <t>涪陵区百花路88号渝东国际商贸城一期2幢负2-99</t>
  </si>
  <si>
    <t>涪陵区百花路88号渝东国际商贸城一期2幢负2-100</t>
  </si>
  <si>
    <t>涪陵区百花路88号渝东国际商贸城一期2幢负2-101</t>
  </si>
  <si>
    <t>涪陵区百花路88号渝东国际商贸城一期2幢负2-102</t>
  </si>
  <si>
    <t>涪陵区百花路88号渝东国际商贸城一期2幢负2-103</t>
  </si>
  <si>
    <t>涪陵区百花路88号渝东国际商贸城一期2幢负2-104</t>
  </si>
  <si>
    <t>涪陵区百花路88号渝东国际商贸城一期2幢负2-105</t>
  </si>
  <si>
    <t>涪陵区百花路88号渝东国际商贸城一期2幢负2-106</t>
  </si>
  <si>
    <t>涪陵区百花路88号渝东国际商贸城一期2幢负2-107</t>
  </si>
  <si>
    <t>涪陵区百花路88号渝东国际商贸城一期2幢负2-108</t>
  </si>
  <si>
    <t>涪陵区百花路88号渝东国际商贸城一期2幢负2-109</t>
  </si>
  <si>
    <t>涪陵区百花路88号渝东国际商贸城一期2幢负2-110</t>
  </si>
  <si>
    <t>涪陵区百花路88号渝东国际商贸城一期2幢负2-111</t>
  </si>
  <si>
    <t>涪陵区百花路88号渝东国际商贸城一期2幢负2-112</t>
  </si>
  <si>
    <t>涪陵区百花路88号渝东国际商贸城一期2幢负2-113</t>
  </si>
  <si>
    <t>涪陵区百花路88号渝东国际商贸城一期2幢负2-114</t>
  </si>
  <si>
    <t>涪陵区百花路88号渝东国际商贸城一期2幢负2-115</t>
  </si>
  <si>
    <t>涪陵区百花路88号渝东国际商贸城一期2幢负2-116</t>
  </si>
  <si>
    <t>涪陵区百花路88号渝东国际商贸城一期2幢负2-117</t>
  </si>
  <si>
    <t>涪陵区百花路88号渝东国际商贸城一期2幢负2-118</t>
  </si>
  <si>
    <t>涪陵区百花路88号渝东国际商贸城一期2幢负2-119</t>
  </si>
  <si>
    <t>涪陵区百花路88号渝东国际商贸城一期2幢负2-120</t>
  </si>
  <si>
    <t>涪陵区百花路88号渝东国际商贸城一期2幢负2-121</t>
  </si>
  <si>
    <t>涪陵区百花路88号渝东国际商贸城一期2幢负2-122</t>
  </si>
  <si>
    <t>涪陵区百花路88号渝东国际商贸城一期2幢负2-123</t>
  </si>
  <si>
    <t>涪陵区百花路88号渝东国际商贸城一期2幢负2-124</t>
  </si>
  <si>
    <t>涪陵区百花路88号渝东国际商贸城一期2幢负2-125</t>
  </si>
  <si>
    <t>涪陵区百花路88号渝东国际商贸城一期2幢负2-126</t>
  </si>
  <si>
    <t>涪陵区百花路88号渝东国际商贸城一期2幢负2-127</t>
  </si>
  <si>
    <t>涪陵区百花路88号渝东国际商贸城一期2幢负2-128</t>
  </si>
  <si>
    <t>涪陵区百花路88号渝东国际商贸城一期2幢负2-129</t>
  </si>
  <si>
    <t>涪陵区百花路88号渝东国际商贸城一期2幢负2-130</t>
  </si>
  <si>
    <t>涪陵区百花路88号渝东国际商贸城一期2幢负2-131</t>
  </si>
  <si>
    <t>涪陵区百花路88号渝东国际商贸城一期2幢负2-132</t>
  </si>
  <si>
    <t>涪陵区百花路88号渝东国际商贸城一期2幢负2-133</t>
  </si>
  <si>
    <t>涪陵区百花路88号渝东国际商贸城一期2幢负2-134</t>
  </si>
  <si>
    <t>涪陵区百花路88号渝东国际商贸城一期2幢负2-135</t>
  </si>
  <si>
    <t>涪陵区百花路88号渝东国际商贸城一期2幢负2-136</t>
  </si>
  <si>
    <t>涪陵区百花路88号渝东国际商贸城一期2幢负2-137</t>
  </si>
  <si>
    <t>涪陵区百花路88号渝东国际商贸城一期2幢负2-138</t>
  </si>
  <si>
    <t>涪陵区百花路88号渝东国际商贸城一期2幢负2-139</t>
  </si>
  <si>
    <t>涪陵区百花路88号渝东国际商贸城一期2幢负2-140</t>
  </si>
  <si>
    <t>涪陵区百花路88号渝东国际商贸城一期2幢负2-141</t>
  </si>
  <si>
    <t>涪陵区百花路88号渝东国际商贸城一期2幢负2-142</t>
  </si>
  <si>
    <t>涪陵区百花路88号渝东国际商贸城一期2幢负2-143</t>
  </si>
  <si>
    <t>涪陵区百花路88号渝东国际商贸城一期2幢负2-144</t>
  </si>
  <si>
    <t>涪陵区百花路88号渝东国际商贸城一期2幢负2-145</t>
  </si>
  <si>
    <t>涪陵区百花路88号渝东国际商贸城一期2幢负2-146</t>
  </si>
  <si>
    <t>涪陵区百花路88号渝东国际商贸城一期2幢负2-147</t>
  </si>
  <si>
    <t>涪陵区百花路88号渝东国际商贸城一期2幢负2-148</t>
  </si>
  <si>
    <t>涪陵区百花路88号渝东国际商贸城一期2幢负2-149</t>
  </si>
  <si>
    <t>涪陵区百花路88号渝东国际商贸城一期2幢负2-150</t>
  </si>
  <si>
    <t>涪陵区百花路88号渝东国际商贸城一期2幢负2-151</t>
  </si>
  <si>
    <t>涪陵区百花路88号渝东国际商贸城一期2幢负2-152</t>
  </si>
  <si>
    <t>涪陵区百花路88号渝东国际商贸城一期2幢负2-153</t>
  </si>
  <si>
    <t>涪陵区百花路88号渝东国际商贸城一期2幢负2-154</t>
  </si>
  <si>
    <t>涪陵区百花路88号渝东国际商贸城一期2幢负2-155</t>
  </si>
  <si>
    <t>涪陵区百花路88号渝东国际商贸城一期2幢负2-156</t>
  </si>
  <si>
    <t>涪陵区百花路88号渝东国际商贸城一期2幢负2-157</t>
  </si>
  <si>
    <t>涪陵区百花路88号渝东国际商贸城一期2幢负2-158</t>
  </si>
  <si>
    <t>涪陵区百花路88号渝东国际商贸城一期2幢负2-159</t>
  </si>
  <si>
    <t>涪陵区百花路88号渝东国际商贸城一期2幢负2-160</t>
  </si>
  <si>
    <t>涪陵区百花路88号渝东国际商贸城一期2幢负2-161</t>
  </si>
  <si>
    <t>涪陵区百花路88号渝东国际商贸城一期2幢负2-162</t>
  </si>
  <si>
    <t>涪陵区百花路88号渝东国际商贸城一期2幢负2-163</t>
  </si>
  <si>
    <t>涪陵区百花路88号渝东国际商贸城一期2幢负2-164</t>
  </si>
  <si>
    <t>涪陵区百花路88号渝东国际商贸城一期2幢负2-165</t>
  </si>
  <si>
    <t>涪陵区百花路88号渝东国际商贸城一期2幢负2-166</t>
  </si>
  <si>
    <t>涪陵区百花路88号渝东国际商贸城一期2幢负2-167</t>
  </si>
  <si>
    <t>涪陵区百花路88号渝东国际商贸城一期2幢负2-168</t>
  </si>
  <si>
    <t>涪陵区百花路88号渝东国际商贸城一期2幢负2-169</t>
  </si>
  <si>
    <t>涪陵区百花路88号渝东国际商贸城一期2幢负2-170</t>
  </si>
  <si>
    <t>涪陵区百花路88号渝东国际商贸城一期2幢负2-171</t>
  </si>
  <si>
    <t>涪陵区百花路88号渝东国际商贸城一期2幢负2-172</t>
  </si>
  <si>
    <t>涪陵区百花路88号渝东国际商贸城一期2幢负2-173</t>
  </si>
  <si>
    <t>涪陵区百花路88号渝东国际商贸城一期2幢负2-174</t>
  </si>
  <si>
    <t>涪陵区百花路88号渝东国际商贸城一期2幢负2-175</t>
  </si>
  <si>
    <t>涪陵区百花路88号渝东国际商贸城一期2幢负2-176</t>
  </si>
  <si>
    <t>涪陵区百花路88号渝东国际商贸城一期2幢负2-177</t>
  </si>
  <si>
    <t>涪陵区百花路88号渝东国际商贸城一期2幢负2-178</t>
  </si>
  <si>
    <t>涪陵区百花路88号渝东国际商贸城一期2幢负2-179</t>
  </si>
  <si>
    <t>涪陵区百花路88号渝东国际商贸城一期2幢负2-180</t>
  </si>
  <si>
    <t>涪陵区百花路88号渝东国际商贸城一期2幢负2-181</t>
  </si>
  <si>
    <t>涪陵区百花路88号渝东国际商贸城一期2幢负2-182</t>
  </si>
  <si>
    <t>涪陵区百花路88号渝东国际商贸城一期2幢负2-183</t>
  </si>
  <si>
    <t>涪陵区百花路88号渝东国际商贸城一期2幢负2-184</t>
  </si>
  <si>
    <t>涪陵区百花路88号渝东国际商贸城一期2幢负2-185</t>
  </si>
  <si>
    <t>涪陵区百花路88号渝东国际商贸城一期2幢负2-186</t>
  </si>
  <si>
    <t>涪陵区百花路88号渝东国际商贸城一期2幢负2-187</t>
  </si>
  <si>
    <t>涪陵区百花路88号渝东国际商贸城一期2幢负2-188</t>
  </si>
  <si>
    <t>涪陵区百花路88号渝东国际商贸城一期2幢负2-189</t>
  </si>
  <si>
    <t>涪陵区百花路88号渝东国际商贸城一期2幢负2-190</t>
  </si>
  <si>
    <t>涪陵区百花路88号渝东国际商贸城一期2幢负2-191</t>
  </si>
  <si>
    <t>涪陵区百花路88号渝东国际商贸城一期2幢负2-192</t>
  </si>
  <si>
    <t>涪陵区百花路88号渝东国际商贸城一期2幢负2-193</t>
  </si>
  <si>
    <t>涪陵区百花路88号渝东国际商贸城一期2幢负2-194</t>
  </si>
  <si>
    <t>涪陵区百花路88号渝东国际商贸城一期2幢负2-195</t>
  </si>
  <si>
    <t>涪陵区百花路88号渝东国际商贸城一期2幢负2-196</t>
  </si>
  <si>
    <t>涪陵区百花路88号渝东国际商贸城一期2幢负2-197</t>
  </si>
  <si>
    <t>涪陵区百花路88号渝东国际商贸城一期2幢负2-198</t>
  </si>
  <si>
    <t>涪陵区百花路88号渝东国际商贸城一期2幢负2-199</t>
  </si>
  <si>
    <t>涪陵区百花路88号渝东国际商贸城一期2幢负2-200</t>
  </si>
  <si>
    <t>涪陵区百花路88号渝东国际商贸城一期2幢负2-201</t>
  </si>
  <si>
    <t>涪陵区百花路88号渝东国际商贸城一期2幢负2-202</t>
  </si>
  <si>
    <t>涪陵区百花路88号渝东国际商贸城一期2幢负2-203</t>
  </si>
  <si>
    <t>涪陵区百花路88号渝东国际商贸城一期2幢负2-204</t>
  </si>
  <si>
    <t>涪陵区百花路88号渝东国际商贸城一期2幢负2-205</t>
  </si>
  <si>
    <t>涪陵区百花路88号渝东国际商贸城一期2幢负2-206</t>
  </si>
  <si>
    <t>涪陵区百花路88号渝东国际商贸城一期2幢负2-207</t>
  </si>
  <si>
    <t>涪陵区百花路88号渝东国际商贸城一期2幢负2-208</t>
  </si>
  <si>
    <t>涪陵区百花路88号渝东国际商贸城一期2幢负2-209</t>
  </si>
  <si>
    <t>涪陵区百花路88号渝东国际商贸城一期2幢负2-210</t>
  </si>
  <si>
    <t>涪陵区百花路88号渝东国际商贸城一期2幢负2-211</t>
  </si>
  <si>
    <t>涪陵区百花路88号渝东国际商贸城一期2幢负2-212</t>
  </si>
  <si>
    <t>涪陵区百花路88号渝东国际商贸城一期2幢负2-213</t>
  </si>
  <si>
    <t>涪陵区百花路88号渝东国际商贸城一期2幢负2-214</t>
  </si>
  <si>
    <t>涪陵区百花路88号渝东国际商贸城一期2幢负2-215</t>
  </si>
  <si>
    <t>涪陵区百花路88号渝东国际商贸城一期2幢负2-216</t>
  </si>
  <si>
    <t>涪陵区百花路88号渝东国际商贸城一期2幢负2-217</t>
  </si>
  <si>
    <t>涪陵区百花路88号渝东国际商贸城一期2幢负2-218</t>
  </si>
  <si>
    <t>涪陵区百花路88号渝东国际商贸城一期2幢负2-219</t>
  </si>
  <si>
    <t>涪陵区百花路88号渝东国际商贸城一期2幢负2-220</t>
  </si>
  <si>
    <t>涪陵区百花路88号渝东国际商贸城一期2幢负2-221</t>
  </si>
  <si>
    <t>涪陵区百花路88号渝东国际商贸城一期2幢负2-222</t>
  </si>
  <si>
    <t>涪陵区百花路88号渝东国际商贸城一期2幢负2-223</t>
  </si>
  <si>
    <t>涪陵区百花路88号渝东国际商贸城一期2幢负2-224</t>
  </si>
  <si>
    <t>涪陵区百花路88号渝东国际商贸城一期2幢负2-225</t>
  </si>
  <si>
    <t>涪陵区百花路88号渝东国际商贸城一期2幢负2-226</t>
  </si>
  <si>
    <t>涪陵区百花路88号渝东国际商贸城一期2幢负2-227</t>
  </si>
  <si>
    <t>涪陵区百花路88号渝东国际商贸城一期2幢负2-228</t>
  </si>
  <si>
    <t>涪陵区百花路88号渝东国际商贸城一期2幢负2-229</t>
  </si>
  <si>
    <t>涪陵区百花路88号渝东国际商贸城一期2幢负2-230</t>
  </si>
  <si>
    <t>涪陵区百花路88号渝东国际商贸城一期2幢负2-231</t>
  </si>
  <si>
    <t>涪陵区百花路88号渝东国际商贸城一期2幢负2-232</t>
  </si>
  <si>
    <t>涪陵区百花路88号渝东国际商贸城一期2幢负2-233</t>
  </si>
  <si>
    <t>涪陵区百花路88号渝东国际商贸城一期2幢负2-234</t>
  </si>
  <si>
    <t>涪陵区百花路88号渝东国际商贸城一期2幢负2-235</t>
  </si>
  <si>
    <t>涪陵区百花路88号渝东国际商贸城一期2幢负2-236</t>
  </si>
  <si>
    <t>涪陵区百花路88号渝东国际商贸城一期2幢负2-237</t>
  </si>
  <si>
    <t>涪陵区百花路88号渝东国际商贸城一期2幢负2-238</t>
  </si>
  <si>
    <t>涪陵区百花路88号渝东国际商贸城一期2幢负2-239</t>
  </si>
  <si>
    <t>涪陵区百花路88号渝东国际商贸城一期2幢负2-240</t>
  </si>
  <si>
    <t>涪陵区百花路88号渝东国际商贸城一期2幢负2-241</t>
  </si>
  <si>
    <t>涪陵区百花路88号渝东国际商贸城一期2幢负2-242</t>
  </si>
  <si>
    <t>涪陵区百花路88号渝东国际商贸城一期2幢负2-243</t>
  </si>
  <si>
    <t>涪陵区百花路88号渝东国际商贸城一期2幢负2-244</t>
  </si>
  <si>
    <t>涪陵区百花路88号渝东国际商贸城一期2幢负2-245</t>
  </si>
  <si>
    <t>涪陵区百花路88号渝东国际商贸城一期2幢负2-246</t>
  </si>
  <si>
    <t>涪陵区百花路88号渝东国际商贸城一期2幢负2-247</t>
  </si>
  <si>
    <t>涪陵区百花路88号渝东国际商贸城一期2幢负2-248</t>
  </si>
  <si>
    <t>涪陵区百花路88号渝东国际商贸城一期2幢负2-249</t>
  </si>
  <si>
    <t>涪陵区百花路88号渝东国际商贸城一期2幢负2-250</t>
  </si>
  <si>
    <t>涪陵区百花路88号渝东国际商贸城一期2幢负2-251</t>
  </si>
  <si>
    <t>涪陵区百花路88号渝东国际商贸城一期2幢负2-252</t>
  </si>
  <si>
    <t>涪陵区百花路88号渝东国际商贸城一期2幢负2-253</t>
  </si>
  <si>
    <t>涪陵区百花路88号渝东国际商贸城一期2幢负2-254</t>
  </si>
  <si>
    <t>涪陵区百花路88号渝东国际商贸城一期2幢负2-255</t>
  </si>
  <si>
    <t>涪陵区百花路88号渝东国际商贸城一期2幢负2-256</t>
  </si>
  <si>
    <t>涪陵区百花路88号渝东国际商贸城一期2幢负2-257</t>
  </si>
  <si>
    <t>涪陵区百花路88号渝东国际商贸城一期2幢负2-258</t>
  </si>
  <si>
    <t>涪陵区百花路88号渝东国际商贸城一期2幢负2-259</t>
  </si>
  <si>
    <t>涪陵区百花路88号渝东国际商贸城一期2幢负2-260</t>
  </si>
  <si>
    <t>涪陵区百花路88号渝东国际商贸城一期2幢负2-261</t>
  </si>
  <si>
    <t>涪陵区百花路88号渝东国际商贸城一期2幢负2-262</t>
  </si>
  <si>
    <t>涪陵区百花路88号渝东国际商贸城一期2幢负2-263</t>
  </si>
  <si>
    <t>涪陵区百花路88号渝东国际商贸城一期2幢负2-264</t>
  </si>
  <si>
    <t>涪陵区百花路88号渝东国际商贸城一期2幢负2-265</t>
  </si>
  <si>
    <t>涪陵区百花路88号渝东国际商贸城一期2幢负2-266</t>
  </si>
  <si>
    <t>涪陵区百花路88号渝东国际商贸城一期2幢负2-267</t>
  </si>
  <si>
    <t>涪陵区百花路88号渝东国际商贸城一期2幢负2-268</t>
  </si>
  <si>
    <t>涪陵区百花路88号渝东国际商贸城一期2幢负2-269</t>
  </si>
  <si>
    <t>涪陵区百花路88号渝东国际商贸城一期2幢负2-270</t>
  </si>
  <si>
    <t>涪陵区百花路88号渝东国际商贸城一期2幢负2-271</t>
  </si>
  <si>
    <t>涪陵区百花路88号渝东国际商贸城一期2幢负2-272</t>
  </si>
  <si>
    <t>涪陵区百花路88号渝东国际商贸城一期2幢负2-273</t>
  </si>
  <si>
    <t>涪陵区百花路88号渝东国际商贸城一期2幢负2-274</t>
  </si>
  <si>
    <t>涪陵区百花路88号渝东国际商贸城一期2幢负2-275</t>
  </si>
  <si>
    <t>涪陵区百花路88号渝东国际商贸城一期2幢负2-276</t>
  </si>
  <si>
    <t>涪陵区百花路88号渝东国际商贸城一期2幢负2-277</t>
  </si>
  <si>
    <t>涪陵区百花路88号渝东国际商贸城一期2幢负2-278</t>
  </si>
  <si>
    <t>涪陵区百花路88号渝东国际商贸城一期2幢负2-279</t>
  </si>
  <si>
    <t>涪陵区百花路88号渝东国际商贸城一期2幢负2-280</t>
  </si>
  <si>
    <t>涪陵区百花路88号渝东国际商贸城一期2幢负2-281</t>
  </si>
  <si>
    <t>涪陵区百花路88号渝东国际商贸城一期2幢负2-282</t>
  </si>
  <si>
    <t>涪陵区百花路88号渝东国际商贸城一期2幢负2-283</t>
  </si>
  <si>
    <t>涪陵区百花路88号渝东国际商贸城一期2幢负2-284</t>
  </si>
  <si>
    <t>涪陵区百花路88号渝东国际商贸城一期2幢负2-285</t>
  </si>
  <si>
    <t>涪陵区百花路88号渝东国际商贸城一期2幢负2-286</t>
  </si>
  <si>
    <t>涪陵区百花路88号渝东国际商贸城一期2幢负2-287</t>
  </si>
  <si>
    <t>涪陵区百花路88号渝东国际商贸城一期2幢负2-288</t>
  </si>
  <si>
    <t>涪陵区百花路88号渝东国际商贸城一期2幢负2-289</t>
  </si>
  <si>
    <t>涪陵区百花路88号渝东国际商贸城一期2幢负2-290</t>
  </si>
  <si>
    <t>涪陵区百花路88号渝东国际商贸城一期2幢负2-291</t>
  </si>
  <si>
    <t>涪陵区百花路88号渝东国际商贸城一期2幢负2-292</t>
  </si>
  <si>
    <t>涪陵区百花路88号渝东国际商贸城一期2幢负2-293</t>
  </si>
  <si>
    <t>涪陵区百花路88号渝东国际商贸城一期2幢负2-294</t>
  </si>
  <si>
    <t>涪陵区百花路88号渝东国际商贸城一期2幢负2-295</t>
  </si>
  <si>
    <t>涪陵区百花路88号渝东国际商贸城一期2幢负2-296</t>
  </si>
  <si>
    <t>涪陵区百花路88号渝东国际商贸城一期2幢负2-297</t>
  </si>
  <si>
    <t>涪陵区百花路88号渝东国际商贸城一期2幢负2-298</t>
  </si>
  <si>
    <t>涪陵区百花路88号渝东国际商贸城一期2幢负2-299</t>
  </si>
  <si>
    <t>涪陵区百花路88号渝东国际商贸城一期2幢负2-300</t>
  </si>
  <si>
    <t>涪陵区百花路88号渝东国际商贸城一期2幢负2-301</t>
  </si>
  <si>
    <t>涪陵区百花路88号渝东国际商贸城一期2幢负2-302</t>
  </si>
  <si>
    <t>涪陵区百花路88号渝东国际商贸城一期2幢负2-303</t>
  </si>
  <si>
    <t>涪陵区百花路88号渝东国际商贸城一期2幢负2-304</t>
  </si>
  <si>
    <t>涪陵区百花路88号渝东国际商贸城一期2幢负2-305</t>
  </si>
  <si>
    <t>涪陵区百花路88号渝东国际商贸城一期2幢负2-306</t>
  </si>
  <si>
    <t>涪陵区百花路88号渝东国际商贸城一期2幢负2-307</t>
  </si>
  <si>
    <t>涪陵区百花路88号渝东国际商贸城一期2幢负2-308</t>
  </si>
  <si>
    <t>涪陵区百花路88号渝东国际商贸城一期2幢负2-309</t>
  </si>
  <si>
    <t>涪陵区百花路88号渝东国际商贸城一期2幢负2-310</t>
  </si>
  <si>
    <t>涪陵区百花路88号渝东国际商贸城一期2幢负2-311</t>
  </si>
  <si>
    <t>涪陵区百花路88号渝东国际商贸城一期2幢负2-312</t>
  </si>
  <si>
    <t>涪陵区百花路88号渝东国际商贸城一期2幢负2-313</t>
  </si>
  <si>
    <t>涪陵区百花路88号渝东国际商贸城一期2幢负2-314</t>
  </si>
  <si>
    <t>涪陵区百花路88号渝东国际商贸城一期2幢负2-315</t>
  </si>
  <si>
    <t>涪陵区百花路88号渝东国际商贸城一期2幢负2-316</t>
  </si>
  <si>
    <t>涪陵区百花路88号渝东国际商贸城一期2幢负2-317</t>
  </si>
  <si>
    <t>涪陵区百花路88号渝东国际商贸城一期2幢负2-318</t>
  </si>
  <si>
    <t>涪陵区百花路88号渝东国际商贸城一期2幢负2-319</t>
  </si>
  <si>
    <t>涪陵区百花路88号渝东国际商贸城一期2幢负2-320</t>
  </si>
  <si>
    <t>涪陵区百花路88号渝东国际商贸城一期2幢负2-321</t>
  </si>
  <si>
    <t>涪陵区百花路88号渝东国际商贸城一期2幢负2-322</t>
  </si>
  <si>
    <t>涪陵区百花路88号渝东国际商贸城一期2幢负2-323</t>
  </si>
  <si>
    <t>涪陵区百花路88号渝东国际商贸城一期2幢负2-324</t>
  </si>
  <si>
    <t>涪陵区百花路88号渝东国际商贸城一期2幢负2-325</t>
  </si>
  <si>
    <t>涪陵区百花路88号渝东国际商贸城一期2幢负2-327</t>
  </si>
  <si>
    <t>涪陵区百花路88号渝东国际商贸城一期2幢负2-328</t>
  </si>
  <si>
    <t>涪陵区百花路88号渝东国际商贸城一期2幢负2-329</t>
  </si>
  <si>
    <t>涪陵区百花路88号渝东国际商贸城一期2幢负2-330</t>
  </si>
  <si>
    <t>涪陵区百花路88号渝东国际商贸城一期2幢负2-331</t>
  </si>
  <si>
    <t>涪陵区百花路88号渝东国际商贸城一期2幢负2-332</t>
  </si>
  <si>
    <t>涪陵区百花路88号渝东国际商贸城一期2幢负2-333</t>
  </si>
  <si>
    <t>涪陵区百花路88号渝东国际商贸城一期2幢负2-334</t>
  </si>
  <si>
    <t>涪陵区百花路88号渝东国际商贸城一期2幢负2-335</t>
  </si>
  <si>
    <t>涪陵区百花路88号渝东国际商贸城一期2幢负1-1</t>
  </si>
  <si>
    <t>涪陵区百花路88号渝东国际商贸城一期2幢负1-2</t>
  </si>
  <si>
    <t>涪陵区百花路88号渝东国际商贸城一期2幢负1-3</t>
  </si>
  <si>
    <t>涪陵区百花路88号渝东国际商贸城一期2幢负1-4</t>
  </si>
  <si>
    <t>涪陵区百花路88号渝东国际商贸城一期2幢负1-5</t>
  </si>
  <si>
    <t>涪陵区百花路88号渝东国际商贸城一期2幢负1-6</t>
  </si>
  <si>
    <t>车位小计</t>
  </si>
  <si>
    <t>抵押</t>
  </si>
  <si>
    <t>房地产抵押价值</t>
  </si>
  <si>
    <t>其他：</t>
  </si>
  <si>
    <t>企业</t>
  </si>
  <si>
    <t>出让</t>
  </si>
  <si>
    <t>综合项目（商业、办公）</t>
  </si>
  <si>
    <t>现房</t>
  </si>
  <si>
    <t>地上</t>
  </si>
  <si>
    <t>地下</t>
  </si>
  <si>
    <t>车库</t>
  </si>
  <si>
    <t>是</t>
  </si>
  <si>
    <t>商业</t>
    <phoneticPr fontId="7" type="noConversion"/>
  </si>
  <si>
    <t>1层</t>
    <phoneticPr fontId="140" type="noConversion"/>
  </si>
  <si>
    <t>楼层</t>
    <phoneticPr fontId="140" type="noConversion"/>
  </si>
  <si>
    <t>建筑面积</t>
    <phoneticPr fontId="140" type="noConversion"/>
  </si>
  <si>
    <t>用途</t>
    <phoneticPr fontId="140" type="noConversion"/>
  </si>
  <si>
    <t>2层</t>
  </si>
  <si>
    <t>3层</t>
  </si>
  <si>
    <t>4层</t>
  </si>
  <si>
    <t>地下1层</t>
    <phoneticPr fontId="140" type="noConversion"/>
  </si>
  <si>
    <t>商业</t>
    <phoneticPr fontId="140" type="noConversion"/>
  </si>
  <si>
    <t>合计</t>
    <phoneticPr fontId="140" type="noConversion"/>
  </si>
  <si>
    <t>车库</t>
    <phoneticPr fontId="140" type="noConversion"/>
  </si>
  <si>
    <t>地下1-2层</t>
    <phoneticPr fontId="140" type="noConversion"/>
  </si>
  <si>
    <t>小计</t>
    <phoneticPr fontId="140" type="noConversion"/>
  </si>
  <si>
    <t>成新度</t>
  </si>
  <si>
    <t>收益法</t>
  </si>
  <si>
    <t>地块名称</t>
  </si>
  <si>
    <t>地块编号</t>
  </si>
  <si>
    <t>城市</t>
  </si>
  <si>
    <t>用地性质</t>
  </si>
  <si>
    <t>建设用地面积(㎡)</t>
  </si>
  <si>
    <t>规划建筑面积(㎡)</t>
  </si>
  <si>
    <t>容积率</t>
  </si>
  <si>
    <t>出让方式</t>
  </si>
  <si>
    <t>详细规划</t>
  </si>
  <si>
    <t>集中供地</t>
  </si>
  <si>
    <t>成交日期</t>
  </si>
  <si>
    <t>成交状态</t>
  </si>
  <si>
    <t>受让单位</t>
  </si>
  <si>
    <t>成交价(万元)</t>
  </si>
  <si>
    <t>成交每亩价(万元/亩)</t>
  </si>
  <si>
    <t>成交楼面价(元/㎡)</t>
  </si>
  <si>
    <t>溢价率(%)</t>
  </si>
  <si>
    <t>出让年限(年)</t>
  </si>
  <si>
    <t xml:space="preserve">涪陵区马鞍街道盘龙社区三组李渡组团南区分区 Q9-3/01    </t>
  </si>
  <si>
    <t>FL2021-06-60</t>
  </si>
  <si>
    <t xml:space="preserve">重庆市 </t>
  </si>
  <si>
    <t xml:space="preserve">      商业/办公用地</t>
  </si>
  <si>
    <t xml:space="preserve">      ≤0.3</t>
  </si>
  <si>
    <t xml:space="preserve">      挂牌</t>
  </si>
  <si>
    <t xml:space="preserve">      B41-加油加气站用地</t>
  </si>
  <si>
    <t xml:space="preserve">--      </t>
  </si>
  <si>
    <t xml:space="preserve">      已成交</t>
  </si>
  <si>
    <t xml:space="preserve">  重庆中油涪新能源有限责任公司     </t>
  </si>
  <si>
    <t xml:space="preserve">      40年</t>
  </si>
  <si>
    <t xml:space="preserve">涪陵区马鞍街道太乙门社区二、五组李渡组团中心分区C15-4/03    </t>
  </si>
  <si>
    <t>FL2021-06-61</t>
  </si>
  <si>
    <t xml:space="preserve">涪陵区龙桥街道袁家居委三、五组,南岸浦居委十一组龙桥组团南岸浦分区W5-05/02、W5-06/02    </t>
  </si>
  <si>
    <t>FL2021-07-16</t>
  </si>
  <si>
    <t xml:space="preserve">      ≤1.5</t>
  </si>
  <si>
    <t xml:space="preserve">      商务用地兼商业用地(B2B1)</t>
  </si>
  <si>
    <t xml:space="preserve">  重庆仲涪科技有限公司     </t>
  </si>
  <si>
    <t xml:space="preserve">涪陵区江东街道群沱子居委二组江东组团B分区07-14/02地块    </t>
  </si>
  <si>
    <t>FL2021-04-58</t>
  </si>
  <si>
    <t xml:space="preserve">      小于或等于1.2</t>
  </si>
  <si>
    <t xml:space="preserve">      B9-其他服务设施用地</t>
  </si>
  <si>
    <t xml:space="preserve">  重庆市涪陵区自如汽车修理厂     </t>
  </si>
  <si>
    <t xml:space="preserve">涪陵区焦石镇悦来村一组、龙石村二组    </t>
  </si>
  <si>
    <t>FL2020-14-38</t>
  </si>
  <si>
    <t xml:space="preserve">  重庆市涪陵区卷洞加油站     </t>
  </si>
  <si>
    <t xml:space="preserve">马鞍街道大石庙社区二组    </t>
  </si>
  <si>
    <t>FL2021-06-14</t>
  </si>
  <si>
    <t xml:space="preserve">  重庆紫堂成品油销售有限公司     </t>
  </si>
  <si>
    <t xml:space="preserve">涪陵区白涛街道柏林村一组    </t>
  </si>
  <si>
    <t>FL2021-08-13</t>
  </si>
  <si>
    <t xml:space="preserve">      小于或等于0.3</t>
  </si>
  <si>
    <t xml:space="preserve">      其他商服用地</t>
  </si>
  <si>
    <t xml:space="preserve">  重庆市渝祥石油成品油有限公司     </t>
  </si>
  <si>
    <t xml:space="preserve">涪陵区马鞍街道大鹅社区九组、石马社区五组    </t>
  </si>
  <si>
    <t>FL2020-06-49</t>
  </si>
  <si>
    <t xml:space="preserve">      小于或等于2</t>
  </si>
  <si>
    <t xml:space="preserve">      零售商业用地</t>
  </si>
  <si>
    <t xml:space="preserve">  重庆市涪陵区新城区开发(集团)有限公司     </t>
  </si>
  <si>
    <t xml:space="preserve">涪陵区马武镇惠民村一组    </t>
  </si>
  <si>
    <t>FL2020-15-30</t>
  </si>
  <si>
    <t xml:space="preserve">  重庆市涪陵区英发石化有限公司     </t>
  </si>
  <si>
    <t xml:space="preserve">涪陵区大顺乡大顺村四组    </t>
  </si>
  <si>
    <t>FL2020-22-29</t>
  </si>
  <si>
    <t xml:space="preserve">涪陵区崇义街道红光居委三组    </t>
  </si>
  <si>
    <t>FL2020-02-18</t>
  </si>
  <si>
    <t xml:space="preserve">      ≤1.8</t>
  </si>
  <si>
    <t xml:space="preserve">  重庆万润置地有限公司     </t>
  </si>
  <si>
    <t xml:space="preserve">涪陵区敦仁街道望栏桥社区(八角井)    </t>
  </si>
  <si>
    <t>FL2019-01-51</t>
  </si>
  <si>
    <t xml:space="preserve">      小于或等于1.4</t>
  </si>
  <si>
    <t xml:space="preserve">  重庆博建建筑规划设计有限公司 、中国武夷实业股份有限公司     </t>
  </si>
  <si>
    <t xml:space="preserve">涪陵区江北街道点易居委四、五组    </t>
  </si>
  <si>
    <t>FL2019-05-52</t>
  </si>
  <si>
    <t xml:space="preserve">      ≤0.86</t>
  </si>
  <si>
    <t xml:space="preserve">      B1-商业用地</t>
  </si>
  <si>
    <t xml:space="preserve">  重庆市涪陵区伟光汇通北山置业有限公司     </t>
  </si>
  <si>
    <t xml:space="preserve">涪陵区马鞍街道盘龙社区九组    </t>
  </si>
  <si>
    <t>FL2019-06-43</t>
  </si>
  <si>
    <t xml:space="preserve">涪陵区大木乡迎新社区二组    </t>
  </si>
  <si>
    <t>FL2019-26-41</t>
  </si>
  <si>
    <t xml:space="preserve">  重庆市东龙燃料有限责任公司     </t>
  </si>
  <si>
    <t xml:space="preserve">涪陵区龙桥街道双桂社区二组    </t>
  </si>
  <si>
    <t>FL2019-07-42</t>
  </si>
  <si>
    <t xml:space="preserve">  重庆源隆石油销售有限公司     </t>
  </si>
  <si>
    <t xml:space="preserve">涪陵区马鞍街道大石庙社区五组    </t>
  </si>
  <si>
    <t>FL2019-06-44</t>
  </si>
  <si>
    <t xml:space="preserve">      ≤1.75</t>
  </si>
  <si>
    <t xml:space="preserve">      拍卖</t>
  </si>
  <si>
    <t xml:space="preserve">      商务金融用地</t>
  </si>
  <si>
    <t xml:space="preserve">  重庆市涪陵区佰汇置业有限公司     </t>
  </si>
  <si>
    <t xml:space="preserve">涪陵区龙桥街道南浦社区居委十二组,袁家社区居委三组、五组    </t>
  </si>
  <si>
    <t>FL2019-07-32</t>
  </si>
  <si>
    <t xml:space="preserve">      ≤2</t>
  </si>
  <si>
    <t xml:space="preserve">      批发市场用地</t>
  </si>
  <si>
    <t xml:space="preserve">  重庆网唛汇实业有限公司     </t>
  </si>
  <si>
    <t>FL2019-06-31</t>
  </si>
  <si>
    <t xml:space="preserve">      ≤5.14</t>
  </si>
  <si>
    <t>FL2019-06-30</t>
  </si>
  <si>
    <t xml:space="preserve">      ≤12.55</t>
  </si>
  <si>
    <t>FL2019-06-29</t>
  </si>
  <si>
    <t>FL2019-06-28</t>
  </si>
  <si>
    <t xml:space="preserve">涪陵区荔枝街道鹅颈关村一、二组    </t>
  </si>
  <si>
    <t>FL2019-03-26</t>
  </si>
  <si>
    <t xml:space="preserve">  重庆市涪陵区浩瀚成品油销售有限公司     </t>
  </si>
  <si>
    <t xml:space="preserve">涪陵区龙潭镇金龙居委七组    </t>
  </si>
  <si>
    <t>FL2019-17-10</t>
  </si>
  <si>
    <t xml:space="preserve">      ≤0.8</t>
  </si>
  <si>
    <t xml:space="preserve">  重庆川东电力集团有限责任公司     </t>
  </si>
  <si>
    <t xml:space="preserve">涪陵区焦石镇新井村7组    </t>
  </si>
  <si>
    <t>焦石组团B分区08-04/02</t>
  </si>
  <si>
    <t xml:space="preserve">  重庆市涪陵区焦石恒山加油站     </t>
  </si>
  <si>
    <t>正常</t>
  </si>
  <si>
    <t>一般</t>
  </si>
  <si>
    <t>较好</t>
  </si>
  <si>
    <t>较差</t>
  </si>
  <si>
    <t>六通</t>
  </si>
  <si>
    <t>加权平均</t>
  </si>
  <si>
    <t>项目介绍</t>
    <phoneticPr fontId="140" type="noConversion"/>
  </si>
  <si>
    <t>未包含在土地购买价格中</t>
  </si>
  <si>
    <t>已包含在土地取得成本中</t>
  </si>
  <si>
    <t>押一</t>
  </si>
  <si>
    <t>按租金收入计税</t>
  </si>
  <si>
    <t>钢混</t>
  </si>
  <si>
    <t>非生产用房</t>
  </si>
  <si>
    <t>成本法</t>
  </si>
  <si>
    <r>
      <t>住宅新房5</t>
    </r>
    <r>
      <rPr>
        <sz val="11"/>
        <color theme="1"/>
        <rFont val="宋体"/>
        <family val="3"/>
        <charset val="134"/>
        <scheme val="minor"/>
      </rPr>
      <t>500-7000之间</t>
    </r>
    <phoneticPr fontId="140" type="noConversion"/>
  </si>
  <si>
    <r>
      <t>二手房5</t>
    </r>
    <r>
      <rPr>
        <sz val="11"/>
        <color theme="1"/>
        <rFont val="宋体"/>
        <family val="3"/>
        <charset val="134"/>
        <scheme val="minor"/>
      </rPr>
      <t>000左右</t>
    </r>
    <phoneticPr fontId="140" type="noConversion"/>
  </si>
  <si>
    <r>
      <t>商铺2</t>
    </r>
    <r>
      <rPr>
        <sz val="11"/>
        <color theme="1"/>
        <rFont val="宋体"/>
        <family val="3"/>
        <charset val="134"/>
        <scheme val="minor"/>
      </rPr>
      <t>5000左右</t>
    </r>
    <phoneticPr fontId="140" type="noConversion"/>
  </si>
  <si>
    <t>会计报表</t>
    <phoneticPr fontId="140" type="noConversion"/>
  </si>
  <si>
    <t>营业收入（年/万元）</t>
    <phoneticPr fontId="140" type="noConversion"/>
  </si>
  <si>
    <t>租赁台账（年/万元）</t>
    <phoneticPr fontId="140" type="noConversion"/>
  </si>
  <si>
    <t>折合单价（元/平米/天）</t>
    <phoneticPr fontId="140" type="noConversion"/>
  </si>
  <si>
    <t>折合单价（元/平米/天）</t>
    <phoneticPr fontId="140"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</si>
  <si>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</si>
  <si>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</si>
  <si>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</si>
  <si>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</si>
  <si>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</si>
  <si>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</si>
  <si>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</si>
  <si>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</si>
  <si>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</si>
  <si>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</si>
  <si>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</si>
  <si>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</si>
  <si>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</si>
  <si>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</si>
  <si>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</si>
  <si>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</si>
  <si>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</si>
  <si>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</si>
  <si>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</si>
  <si>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</si>
  <si>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</si>
  <si>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</si>
  <si>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</si>
  <si>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</si>
  <si>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</si>
  <si>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</si>
  <si>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</si>
  <si>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</si>
  <si>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</si>
  <si>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</si>
  <si>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</si>
  <si>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</si>
  <si>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</si>
  <si>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</si>
  <si>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</si>
  <si>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</si>
  <si>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</si>
  <si>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</si>
  <si>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</si>
  <si>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</si>
  <si>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</si>
  <si>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</si>
  <si>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</si>
  <si>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</si>
  <si>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</si>
  <si>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</si>
  <si>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</si>
  <si>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</si>
  <si>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</si>
  <si>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</si>
  <si>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</si>
  <si>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</si>
  <si>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</si>
  <si>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</si>
  <si>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</si>
  <si>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</si>
  <si>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</si>
  <si>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</si>
  <si>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</si>
  <si>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</si>
  <si>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</si>
  <si>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</si>
  <si>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</si>
  <si>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</si>
  <si>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</si>
  <si>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</si>
  <si>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</si>
  <si>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</si>
  <si>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</si>
  <si>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</si>
  <si>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</si>
  <si>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</si>
  <si>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</si>
  <si>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</si>
  <si>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</si>
  <si>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</si>
  <si>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</si>
  <si>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</si>
  <si>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</si>
  <si>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</si>
  <si>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</si>
  <si>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</si>
  <si>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</si>
  <si>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</si>
  <si>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</si>
  <si>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</si>
  <si>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</si>
  <si>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</si>
  <si>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</si>
  <si>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</si>
  <si>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</si>
  <si>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</si>
  <si>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</si>
  <si>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</si>
  <si>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</si>
  <si>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</si>
  <si>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</si>
  <si>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</si>
  <si>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</si>
  <si>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</si>
  <si>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</si>
  <si>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</si>
  <si>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</si>
  <si>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</si>
  <si>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</si>
  <si>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</si>
  <si>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</si>
  <si>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</si>
  <si>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</si>
  <si>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</si>
  <si>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</si>
  <si>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</si>
  <si>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</si>
  <si>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</si>
  <si>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</si>
  <si>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</si>
  <si>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</si>
  <si>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</si>
  <si>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</si>
  <si>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</si>
  <si>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</si>
  <si>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</si>
  <si>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</si>
  <si>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</si>
  <si>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</si>
  <si>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</si>
  <si>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</si>
  <si>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</si>
  <si>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</si>
  <si>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</si>
  <si>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</si>
  <si>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</si>
  <si>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</si>
  <si>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t>涪陵二手住宅4</t>
    </r>
    <r>
      <rPr>
        <sz val="11"/>
        <color theme="1"/>
        <rFont val="宋体"/>
        <family val="3"/>
        <charset val="134"/>
        <scheme val="minor"/>
      </rPr>
      <t>500元</t>
    </r>
    <phoneticPr fontId="140" type="noConversion"/>
  </si>
  <si>
    <r>
      <t>新房住宅6</t>
    </r>
    <r>
      <rPr>
        <sz val="11"/>
        <color theme="1"/>
        <rFont val="宋体"/>
        <family val="3"/>
        <charset val="134"/>
        <scheme val="minor"/>
      </rPr>
      <t>000-8000元</t>
    </r>
    <phoneticPr fontId="140" type="noConversion"/>
  </si>
  <si>
    <r>
      <t>新房商铺1</t>
    </r>
    <r>
      <rPr>
        <sz val="11"/>
        <color theme="1"/>
        <rFont val="宋体"/>
        <family val="3"/>
        <charset val="134"/>
        <scheme val="minor"/>
      </rPr>
      <t>8000-28000元</t>
    </r>
    <phoneticPr fontId="140" type="noConversion"/>
  </si>
  <si>
    <t>试算售价</t>
    <phoneticPr fontId="140" type="noConversion"/>
  </si>
  <si>
    <t>比例</t>
    <phoneticPr fontId="140" type="noConversion"/>
  </si>
  <si>
    <t>自定义</t>
  </si>
  <si>
    <t>收益法 (车库)</t>
    <phoneticPr fontId="16" type="noConversion"/>
  </si>
  <si>
    <t>收益法（汇总）</t>
    <phoneticPr fontId="16" type="noConversion"/>
  </si>
  <si>
    <t>收益法-经营</t>
    <phoneticPr fontId="16" type="noConversion"/>
  </si>
  <si>
    <t>利息：取LPR加浮动点数</t>
  </si>
  <si>
    <t>否</t>
  </si>
  <si>
    <t>总价</t>
  </si>
  <si>
    <t>成本比率</t>
  </si>
  <si>
    <t xml:space="preserve">涪陵宝龙广场2014年开工建设，占地200亩；总建筑面积达35万平方米，其中商业面积约12万平方米，于2017年12月23日开业，是涪陵第一个时尚消费体验中心项目，包括超市、院线、儿童集合、服装集合、电器、KTV等大型主力店。项目规划了5万多平方米的大型停车场，1000个停车位。
　　商业以一个5层的ShoppingMall为中心；-2F层室内停车场；配套商业步行街、星级酒店。
　　总体定位：
　　涪陵宝龙广场---一站式全客层品质生活中心，首席室内商业步行街(时尚、品质生活中心)
　　宣传定位----引领时尚、潮流；集餐饮、休闲、娱乐、购物为一体的中高档品质生活中心（涪陵宝龙广场，引领时尚品质新生活！！）
　　业态规划：
　　LGF——家居生活秀
　　该楼层主要以大型生活超市、连锁家电、生活配套为主，满足于周边3公里范围内30万人的基本生活需求。
　　1.1F——品质生活秀
　　各类中高档精品服装品牌、潮流服饰品牌、快时尚、时尚运动主题体验馆，大大提升你的生活品质！配套精品日化、珠宝、箱包、鞋品品类，直击最新潮流前沿；为年轻、时尚人群提供了更为广阔消费体验空间！
　　2.2F——潮流/儿童天地
　　集合儿童游玩、娱乐、体验、零售、培训、儿童配套于一体的超大型儿童主体街区，服务于以儿童为核心的家庭消费单元，构建属于涪陵儿童自己的“蓝色迪斯尼”。
　　3.3F——美食天地
　　集合本地特色美食、成渝美食、主题餐厅、时尚餐厅等，口味多达20个以上，品类30余个，为您打造美食娱乐新天地；宝龙广场美食天地的呈现，将彻底改变涪陵餐饮分布零散，异地餐饮稀缺，时尚餐饮品质低下等局面，重组涪陵餐饮格局。
　　4.4F——乐享生活秀
　　集合家庭影院、KTV、宴席主题/美容、等，将为你创造更加时尚、健康的生活方式。
</t>
    <phoneticPr fontId="140" type="noConversion"/>
  </si>
  <si>
    <t>https://cq.house.qq.com/a/20171223/010083.htm</t>
    <phoneticPr fontId="140" type="noConversion"/>
  </si>
  <si>
    <t>https://www.sohu.com/a/141791090_729553</t>
    <phoneticPr fontId="140" type="noConversion"/>
  </si>
  <si>
    <t>涪陵区百花路88号渝东国际商贸城一期2幢负2-326</t>
    <phoneticPr fontId="140" type="noConversion"/>
  </si>
  <si>
    <r>
      <rPr>
        <sz val="11"/>
        <color indexed="8"/>
        <rFont val="宋体"/>
        <family val="3"/>
        <charset val="134"/>
      </rPr>
      <t>重庆市涪陵区人民政府关于调整城市建设配套费征收标准的通知
渝文备〔</t>
    </r>
    <r>
      <rPr>
        <sz val="11"/>
        <color indexed="8"/>
        <rFont val="Arial"/>
        <family val="2"/>
      </rPr>
      <t>2015</t>
    </r>
    <r>
      <rPr>
        <sz val="11"/>
        <color indexed="8"/>
        <rFont val="宋体"/>
        <family val="3"/>
        <charset val="134"/>
      </rPr>
      <t>〕</t>
    </r>
    <r>
      <rPr>
        <sz val="11"/>
        <color indexed="8"/>
        <rFont val="Arial"/>
        <family val="2"/>
      </rPr>
      <t>2648</t>
    </r>
    <r>
      <rPr>
        <sz val="11"/>
        <color indexed="8"/>
        <rFont val="宋体"/>
        <family val="3"/>
        <charset val="134"/>
      </rPr>
      <t>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</si>
</sst>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theme="1"/>
      <name val="宋体"/>
      <family val="2"/>
      <scheme val="minor"/>
    </font>
    <font>
      <sz val="9"/>
      <color theme="1"/>
      <name val="宋体"/>
      <family val="2"/>
      <scheme val="minor"/>
    </font>
    <font>
      <sz val="9"/>
      <color theme="1"/>
      <name val="宋体"/>
      <family val="3"/>
      <charset val="134"/>
      <scheme val="minor"/>
    </font>
    <font>
      <sz val="9"/>
      <name val="Arial"/>
      <family val="2"/>
    </font>
    <font>
      <b/>
      <sz val="10"/>
      <color theme="9" tint="-0.249977111117893"/>
      <name val="Arial"/>
      <family val="2"/>
    </font>
    <font>
      <b/>
      <sz val="10"/>
      <color indexed="53"/>
      <name val="宋体"/>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166" fillId="0" borderId="0" applyFont="0" applyFill="0" applyBorder="0" applyAlignment="0" applyProtection="0">
      <alignment vertical="center"/>
    </xf>
    <xf numFmtId="0" fontId="254" fillId="0" borderId="0"/>
    <xf numFmtId="0" fontId="98" fillId="0" borderId="0">
      <alignment vertical="center"/>
    </xf>
    <xf numFmtId="0" fontId="260" fillId="0" borderId="0" applyNumberFormat="0" applyFill="0" applyBorder="0" applyAlignment="0" applyProtection="0">
      <alignment vertical="center"/>
    </xf>
  </cellStyleXfs>
  <cellXfs count="36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53" fillId="0" borderId="1" xfId="12" applyFont="1" applyBorder="1" applyAlignment="1">
      <alignment vertical="center"/>
    </xf>
    <xf numFmtId="0" fontId="166" fillId="0" borderId="1" xfId="12" applyBorder="1" applyAlignment="1">
      <alignment vertical="center"/>
    </xf>
    <xf numFmtId="0" fontId="166" fillId="0" borderId="0" xfId="12"/>
    <xf numFmtId="0" fontId="166" fillId="20" borderId="1" xfId="12" applyFill="1" applyBorder="1" applyAlignment="1">
      <alignment vertical="center"/>
    </xf>
    <xf numFmtId="0" fontId="166" fillId="9" borderId="1" xfId="12" applyFill="1" applyBorder="1" applyAlignment="1">
      <alignment vertical="center"/>
    </xf>
    <xf numFmtId="178" fontId="79" fillId="0" borderId="1" xfId="1" applyNumberFormat="1" applyFont="1" applyFill="1" applyBorder="1" applyAlignment="1" applyProtection="1">
      <alignment vertical="center"/>
      <protection locked="0" hidden="1"/>
    </xf>
    <xf numFmtId="176" fontId="166" fillId="0" borderId="0" xfId="12" applyNumberFormat="1"/>
    <xf numFmtId="43" fontId="166" fillId="0" borderId="0" xfId="12" applyNumberFormat="1"/>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0" fillId="16" borderId="0" xfId="0" applyFill="1" applyAlignment="1">
      <alignment horizontal="right" vertical="center"/>
    </xf>
    <xf numFmtId="0" fontId="98" fillId="0" borderId="0" xfId="0" applyFont="1" applyAlignment="1">
      <alignment horizontal="lef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98" fillId="0" borderId="6" xfId="0" applyFont="1" applyBorder="1">
      <alignment vertical="center"/>
    </xf>
    <xf numFmtId="0" fontId="0" fillId="0" borderId="9" xfId="0" applyBorder="1">
      <alignment vertical="center"/>
    </xf>
    <xf numFmtId="0" fontId="0" fillId="0" borderId="10" xfId="0" applyBorder="1">
      <alignment vertical="center"/>
    </xf>
    <xf numFmtId="0" fontId="98" fillId="0" borderId="23" xfId="0" applyFont="1" applyBorder="1">
      <alignment vertical="center"/>
    </xf>
    <xf numFmtId="0" fontId="0" fillId="0" borderId="24" xfId="0" applyBorder="1">
      <alignment vertical="center"/>
    </xf>
    <xf numFmtId="0" fontId="0" fillId="0" borderId="32" xfId="0" applyBorder="1">
      <alignment vertical="center"/>
    </xf>
    <xf numFmtId="0" fontId="0" fillId="0" borderId="49" xfId="0" applyBorder="1">
      <alignment vertical="center"/>
    </xf>
    <xf numFmtId="0" fontId="98" fillId="0" borderId="11" xfId="0" applyFont="1" applyBorder="1">
      <alignment vertical="center"/>
    </xf>
    <xf numFmtId="0" fontId="0" fillId="0" borderId="13" xfId="0" applyBorder="1">
      <alignment vertical="center"/>
    </xf>
    <xf numFmtId="0" fontId="0" fillId="0" borderId="61" xfId="0" applyBorder="1">
      <alignment vertical="center"/>
    </xf>
    <xf numFmtId="0" fontId="98" fillId="0" borderId="6" xfId="0" applyFont="1" applyFill="1" applyBorder="1">
      <alignment vertical="center"/>
    </xf>
    <xf numFmtId="0" fontId="98" fillId="0" borderId="25" xfId="0" applyFont="1" applyFill="1" applyBorder="1">
      <alignment vertical="center"/>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177"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7"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9" applyFont="1" applyFill="1" applyBorder="1" applyAlignment="1" applyProtection="1">
      <alignment vertical="center"/>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9"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9" applyNumberFormat="1" applyFont="1" applyBorder="1" applyAlignment="1" applyProtection="1">
      <alignment horizontal="left" vertical="center"/>
      <protection hidden="1"/>
    </xf>
    <xf numFmtId="178" fontId="103" fillId="0" borderId="24" xfId="19" applyNumberFormat="1" applyFont="1" applyBorder="1" applyAlignment="1" applyProtection="1">
      <alignment horizontal="left" vertical="center"/>
      <protection hidden="1"/>
    </xf>
    <xf numFmtId="178"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9"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77"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8"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82" fontId="55" fillId="6" borderId="3" xfId="4" applyNumberFormat="1" applyFont="1" applyFill="1" applyBorder="1" applyAlignment="1">
      <alignment horizontal="right" vertical="center"/>
    </xf>
    <xf numFmtId="179" fontId="55" fillId="0" borderId="1" xfId="4" applyNumberFormat="1" applyFont="1" applyFill="1" applyBorder="1" applyAlignment="1">
      <alignment horizontal="lef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8" fontId="56" fillId="6" borderId="1" xfId="4" applyNumberFormat="1" applyFont="1" applyFill="1" applyBorder="1" applyAlignment="1">
      <alignment horizontal="left" vertical="center"/>
    </xf>
    <xf numFmtId="187" fontId="55" fillId="0" borderId="1" xfId="4" applyNumberFormat="1" applyFont="1" applyFill="1" applyBorder="1" applyAlignment="1">
      <alignment horizontal="left" vertical="center"/>
    </xf>
    <xf numFmtId="178" fontId="55" fillId="0" borderId="24" xfId="4" applyNumberFormat="1" applyFont="1" applyFill="1" applyBorder="1" applyAlignment="1">
      <alignment horizontal="left" vertical="center"/>
    </xf>
    <xf numFmtId="182"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8" fillId="0" borderId="5" xfId="4" applyFont="1" applyFill="1" applyBorder="1" applyAlignment="1">
      <alignment horizontal="left" vertical="center"/>
    </xf>
    <xf numFmtId="0" fontId="258" fillId="0" borderId="158" xfId="4" applyFont="1" applyFill="1" applyBorder="1" applyAlignment="1">
      <alignment horizontal="left" vertical="center"/>
    </xf>
    <xf numFmtId="0" fontId="258"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lignment horizontal="right" vertical="center"/>
    </xf>
    <xf numFmtId="182"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2"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2"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2" fontId="55" fillId="0" borderId="5" xfId="4" applyNumberFormat="1" applyFont="1" applyFill="1" applyBorder="1" applyAlignment="1">
      <alignment horizontal="left" vertical="center"/>
    </xf>
    <xf numFmtId="182" fontId="55" fillId="0" borderId="158" xfId="4" applyNumberFormat="1" applyFont="1" applyFill="1" applyBorder="1" applyAlignment="1">
      <alignment horizontal="left" vertical="center"/>
    </xf>
    <xf numFmtId="182" fontId="55" fillId="0" borderId="3" xfId="4" applyNumberFormat="1" applyFont="1" applyFill="1" applyBorder="1" applyAlignment="1">
      <alignment horizontal="left" vertical="center"/>
    </xf>
    <xf numFmtId="177"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7" fontId="55" fillId="0" borderId="33" xfId="4" applyNumberFormat="1" applyFont="1" applyFill="1" applyBorder="1" applyAlignment="1">
      <alignment horizontal="left" vertical="center"/>
    </xf>
    <xf numFmtId="177" fontId="55" fillId="0" borderId="159" xfId="4" applyNumberFormat="1" applyFont="1" applyFill="1" applyBorder="1" applyAlignment="1">
      <alignment horizontal="left" vertical="center"/>
    </xf>
    <xf numFmtId="177" fontId="55" fillId="0" borderId="66" xfId="4" applyNumberFormat="1" applyFont="1" applyFill="1" applyBorder="1" applyAlignment="1">
      <alignment horizontal="left" vertical="center"/>
    </xf>
    <xf numFmtId="177"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7" fillId="0" borderId="0" xfId="4" applyFont="1" applyAlignment="1">
      <alignment horizontal="left" vertical="center"/>
    </xf>
    <xf numFmtId="0" fontId="83" fillId="6" borderId="74" xfId="4" applyFont="1" applyFill="1" applyBorder="1" applyAlignment="1">
      <alignment vertical="center"/>
    </xf>
    <xf numFmtId="187" fontId="3" fillId="0" borderId="0" xfId="4" applyNumberFormat="1" applyFont="1" applyAlignment="1">
      <alignment horizontal="left"/>
    </xf>
    <xf numFmtId="180" fontId="46" fillId="13" borderId="0" xfId="0" applyNumberFormat="1" applyFont="1" applyFill="1" applyAlignment="1" applyProtection="1">
      <alignment horizontal="center" vertical="center" wrapText="1"/>
      <protection locked="0"/>
    </xf>
    <xf numFmtId="0" fontId="166" fillId="0" borderId="0" xfId="12" applyFill="1"/>
    <xf numFmtId="0" fontId="55" fillId="22" borderId="23" xfId="1" applyFont="1" applyFill="1" applyBorder="1" applyAlignment="1" applyProtection="1"/>
    <xf numFmtId="180" fontId="55" fillId="22" borderId="1" xfId="1" applyNumberFormat="1" applyFont="1" applyFill="1" applyBorder="1" applyAlignment="1" applyProtection="1">
      <alignment horizontal="center"/>
      <protection locked="0"/>
    </xf>
    <xf numFmtId="9" fontId="56" fillId="22" borderId="1" xfId="4" applyNumberFormat="1" applyFont="1" applyFill="1" applyBorder="1" applyAlignment="1">
      <alignment horizontal="left" vertical="center"/>
    </xf>
    <xf numFmtId="0" fontId="56" fillId="9" borderId="34" xfId="4" applyFont="1" applyFill="1" applyBorder="1" applyAlignment="1">
      <alignment horizontal="left" vertical="center"/>
    </xf>
    <xf numFmtId="182" fontId="56" fillId="22" borderId="60" xfId="4" applyNumberFormat="1" applyFont="1" applyFill="1" applyBorder="1" applyAlignment="1">
      <alignment horizontal="left" vertical="center"/>
    </xf>
    <xf numFmtId="10"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166" fillId="0" borderId="0" xfId="12" applyNumberFormat="1"/>
    <xf numFmtId="0" fontId="0" fillId="0" borderId="1" xfId="17" applyNumberFormat="1" applyFont="1" applyBorder="1">
      <alignment vertical="center"/>
    </xf>
    <xf numFmtId="0" fontId="0" fillId="20" borderId="1" xfId="17" applyNumberFormat="1" applyFont="1" applyFill="1" applyBorder="1">
      <alignment vertical="center"/>
    </xf>
    <xf numFmtId="0" fontId="0" fillId="9" borderId="1" xfId="17" applyNumberFormat="1" applyFont="1" applyFill="1" applyBorder="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7"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7"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1" borderId="69" xfId="4" applyFont="1" applyFill="1" applyBorder="1" applyAlignment="1">
      <alignment vertical="center"/>
    </xf>
    <xf numFmtId="0" fontId="56" fillId="21"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22" borderId="5" xfId="4" applyFont="1" applyFill="1" applyBorder="1" applyAlignment="1">
      <alignment horizontal="left" vertical="center"/>
    </xf>
    <xf numFmtId="0" fontId="56" fillId="22" borderId="3" xfId="4" applyFont="1" applyFill="1" applyBorder="1" applyAlignment="1">
      <alignment horizontal="left" vertical="center"/>
    </xf>
    <xf numFmtId="0" fontId="55" fillId="22" borderId="5" xfId="4" applyFont="1" applyFill="1" applyBorder="1" applyAlignment="1">
      <alignment horizontal="left" vertical="center"/>
    </xf>
    <xf numFmtId="0" fontId="55" fillId="22" borderId="3" xfId="4" applyFont="1" applyFill="1" applyBorder="1" applyAlignment="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wrapText="1"/>
    </xf>
    <xf numFmtId="0" fontId="255" fillId="0" borderId="0" xfId="18" applyNumberFormat="1" applyFont="1" applyAlignment="1">
      <alignment horizontal="left"/>
    </xf>
    <xf numFmtId="0" fontId="255" fillId="0" borderId="0" xfId="18" applyNumberFormat="1" applyFont="1" applyAlignment="1">
      <alignment horizontal="center"/>
    </xf>
    <xf numFmtId="0" fontId="255" fillId="0" borderId="0" xfId="18" applyNumberFormat="1" applyFont="1" applyAlignment="1">
      <alignment horizontal="right"/>
    </xf>
    <xf numFmtId="14" fontId="256" fillId="0" borderId="0" xfId="18" applyNumberFormat="1" applyFont="1" applyAlignment="1">
      <alignment horizontal="right"/>
    </xf>
    <xf numFmtId="0" fontId="255" fillId="16" borderId="0" xfId="18" applyNumberFormat="1" applyFont="1" applyFill="1" applyAlignment="1">
      <alignment horizontal="right"/>
    </xf>
    <xf numFmtId="14" fontId="256" fillId="16" borderId="0" xfId="18" applyNumberFormat="1" applyFont="1" applyFill="1" applyAlignment="1">
      <alignment horizontal="right"/>
    </xf>
    <xf numFmtId="0" fontId="255" fillId="16" borderId="0" xfId="18" applyNumberFormat="1" applyFont="1" applyFill="1" applyAlignment="1">
      <alignment horizontal="center"/>
    </xf>
    <xf numFmtId="0" fontId="260" fillId="0" borderId="0" xfId="20" applyAlignment="1">
      <alignment horizontal="left" vertical="center"/>
    </xf>
  </cellXfs>
  <cellStyles count="21">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2"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16</xdr:col>
      <xdr:colOff>522494</xdr:colOff>
      <xdr:row>51</xdr:row>
      <xdr:rowOff>151846</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2400300" y="4457700"/>
          <a:ext cx="11057144" cy="4438096"/>
        </a:xfrm>
        <a:prstGeom prst="rect">
          <a:avLst/>
        </a:prstGeom>
      </xdr:spPr>
    </xdr:pic>
    <xdr:clientData/>
  </xdr:twoCellAnchor>
  <xdr:twoCellAnchor>
    <xdr:from>
      <xdr:col>8</xdr:col>
      <xdr:colOff>1238250</xdr:colOff>
      <xdr:row>36</xdr:row>
      <xdr:rowOff>123824</xdr:rowOff>
    </xdr:from>
    <xdr:to>
      <xdr:col>8</xdr:col>
      <xdr:colOff>1524000</xdr:colOff>
      <xdr:row>38</xdr:row>
      <xdr:rowOff>19049</xdr:rowOff>
    </xdr:to>
    <xdr:sp macro="" textlink="">
      <xdr:nvSpPr>
        <xdr:cNvPr id="3" name="五角星 2">
          <a:extLst>
            <a:ext uri="{FF2B5EF4-FFF2-40B4-BE49-F238E27FC236}">
              <a16:creationId xmlns:a16="http://schemas.microsoft.com/office/drawing/2014/main" xmlns="" id="{00000000-0008-0000-2F00-000003000000}"/>
            </a:ext>
          </a:extLst>
        </xdr:cNvPr>
        <xdr:cNvSpPr/>
      </xdr:nvSpPr>
      <xdr:spPr>
        <a:xfrm>
          <a:off x="7753350" y="6296024"/>
          <a:ext cx="285750" cy="238125"/>
        </a:xfrm>
        <a:prstGeom prst="star5">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2</xdr:col>
      <xdr:colOff>0</xdr:colOff>
      <xdr:row>53</xdr:row>
      <xdr:rowOff>0</xdr:rowOff>
    </xdr:from>
    <xdr:to>
      <xdr:col>13</xdr:col>
      <xdr:colOff>198941</xdr:colOff>
      <xdr:row>78</xdr:row>
      <xdr:rowOff>142322</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2"/>
        <a:stretch>
          <a:fillRect/>
        </a:stretch>
      </xdr:blipFill>
      <xdr:spPr>
        <a:xfrm>
          <a:off x="2400300" y="9086850"/>
          <a:ext cx="8676191" cy="4428572"/>
        </a:xfrm>
        <a:prstGeom prst="rect">
          <a:avLst/>
        </a:prstGeom>
      </xdr:spPr>
    </xdr:pic>
    <xdr:clientData/>
  </xdr:twoCellAnchor>
  <xdr:twoCellAnchor>
    <xdr:from>
      <xdr:col>8</xdr:col>
      <xdr:colOff>733425</xdr:colOff>
      <xdr:row>65</xdr:row>
      <xdr:rowOff>0</xdr:rowOff>
    </xdr:from>
    <xdr:to>
      <xdr:col>8</xdr:col>
      <xdr:colOff>1019175</xdr:colOff>
      <xdr:row>66</xdr:row>
      <xdr:rowOff>66675</xdr:rowOff>
    </xdr:to>
    <xdr:sp macro="" textlink="">
      <xdr:nvSpPr>
        <xdr:cNvPr id="5" name="五角星 4">
          <a:extLst>
            <a:ext uri="{FF2B5EF4-FFF2-40B4-BE49-F238E27FC236}">
              <a16:creationId xmlns:a16="http://schemas.microsoft.com/office/drawing/2014/main" xmlns="" id="{00000000-0008-0000-2F00-000005000000}"/>
            </a:ext>
          </a:extLst>
        </xdr:cNvPr>
        <xdr:cNvSpPr/>
      </xdr:nvSpPr>
      <xdr:spPr>
        <a:xfrm>
          <a:off x="7248525" y="11144250"/>
          <a:ext cx="285750" cy="238125"/>
        </a:xfrm>
        <a:prstGeom prst="star5">
          <a:avLst>
            <a:gd name="adj" fmla="val 28944"/>
            <a:gd name="hf" fmla="val 105146"/>
            <a:gd name="vf" fmla="val 11055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428625</xdr:colOff>
      <xdr:row>60</xdr:row>
      <xdr:rowOff>66675</xdr:rowOff>
    </xdr:from>
    <xdr:to>
      <xdr:col>8</xdr:col>
      <xdr:colOff>933450</xdr:colOff>
      <xdr:row>63</xdr:row>
      <xdr:rowOff>66675</xdr:rowOff>
    </xdr:to>
    <xdr:sp macro="" textlink="">
      <xdr:nvSpPr>
        <xdr:cNvPr id="6" name="线形标注 1 5">
          <a:extLst>
            <a:ext uri="{FF2B5EF4-FFF2-40B4-BE49-F238E27FC236}">
              <a16:creationId xmlns:a16="http://schemas.microsoft.com/office/drawing/2014/main" xmlns="" id="{00000000-0008-0000-2F00-000006000000}"/>
            </a:ext>
          </a:extLst>
        </xdr:cNvPr>
        <xdr:cNvSpPr/>
      </xdr:nvSpPr>
      <xdr:spPr>
        <a:xfrm>
          <a:off x="6257925" y="10353675"/>
          <a:ext cx="1190625" cy="514350"/>
        </a:xfrm>
        <a:prstGeom prst="borderCallout1">
          <a:avLst>
            <a:gd name="adj1" fmla="val 49845"/>
            <a:gd name="adj2" fmla="val 98959"/>
            <a:gd name="adj3" fmla="val 117685"/>
            <a:gd name="adj4" fmla="val 1255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月成交</a:t>
          </a:r>
          <a:r>
            <a:rPr lang="en-US" altLang="zh-CN" sz="1100"/>
            <a:t>1210</a:t>
          </a:r>
          <a:r>
            <a:rPr lang="zh-CN" altLang="en-US" sz="1100"/>
            <a:t>元，</a:t>
          </a:r>
          <a:r>
            <a:rPr lang="en-US" altLang="zh-CN" sz="1100"/>
            <a:t>R1.8</a:t>
          </a:r>
          <a:endParaRPr lang="zh-CN" altLang="en-US" sz="1100"/>
        </a:p>
      </xdr:txBody>
    </xdr:sp>
    <xdr:clientData/>
  </xdr:twoCellAnchor>
  <xdr:twoCellAnchor>
    <xdr:from>
      <xdr:col>8</xdr:col>
      <xdr:colOff>714375</xdr:colOff>
      <xdr:row>56</xdr:row>
      <xdr:rowOff>152400</xdr:rowOff>
    </xdr:from>
    <xdr:to>
      <xdr:col>9</xdr:col>
      <xdr:colOff>285750</xdr:colOff>
      <xdr:row>59</xdr:row>
      <xdr:rowOff>152400</xdr:rowOff>
    </xdr:to>
    <xdr:sp macro="" textlink="">
      <xdr:nvSpPr>
        <xdr:cNvPr id="7" name="线形标注 1 6">
          <a:extLst>
            <a:ext uri="{FF2B5EF4-FFF2-40B4-BE49-F238E27FC236}">
              <a16:creationId xmlns:a16="http://schemas.microsoft.com/office/drawing/2014/main" xmlns="" id="{00000000-0008-0000-2F00-000007000000}"/>
            </a:ext>
          </a:extLst>
        </xdr:cNvPr>
        <xdr:cNvSpPr/>
      </xdr:nvSpPr>
      <xdr:spPr>
        <a:xfrm>
          <a:off x="7229475" y="9753600"/>
          <a:ext cx="1190625" cy="514350"/>
        </a:xfrm>
        <a:prstGeom prst="borderCallout1">
          <a:avLst>
            <a:gd name="adj1" fmla="val 49845"/>
            <a:gd name="adj2" fmla="val 98959"/>
            <a:gd name="adj3" fmla="val 117685"/>
            <a:gd name="adj4" fmla="val 1255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19.11</a:t>
          </a:r>
          <a:r>
            <a:rPr lang="zh-CN" altLang="en-US" sz="1100"/>
            <a:t>月成交</a:t>
          </a:r>
          <a:r>
            <a:rPr lang="en-US" altLang="zh-CN" sz="1100"/>
            <a:t>2188</a:t>
          </a:r>
          <a:r>
            <a:rPr lang="zh-CN" altLang="en-US" sz="1100"/>
            <a:t>元，</a:t>
          </a:r>
          <a:r>
            <a:rPr lang="en-US" altLang="zh-CN" sz="1100"/>
            <a:t>R0.86</a:t>
          </a:r>
          <a:endParaRPr lang="zh-CN" altLang="en-US" sz="1100"/>
        </a:p>
      </xdr:txBody>
    </xdr:sp>
    <xdr:clientData/>
  </xdr:twoCellAnchor>
  <xdr:twoCellAnchor>
    <xdr:from>
      <xdr:col>10</xdr:col>
      <xdr:colOff>590550</xdr:colOff>
      <xdr:row>61</xdr:row>
      <xdr:rowOff>47625</xdr:rowOff>
    </xdr:from>
    <xdr:to>
      <xdr:col>12</xdr:col>
      <xdr:colOff>409575</xdr:colOff>
      <xdr:row>64</xdr:row>
      <xdr:rowOff>47625</xdr:rowOff>
    </xdr:to>
    <xdr:sp macro="" textlink="">
      <xdr:nvSpPr>
        <xdr:cNvPr id="8" name="线形标注 1 7">
          <a:extLst>
            <a:ext uri="{FF2B5EF4-FFF2-40B4-BE49-F238E27FC236}">
              <a16:creationId xmlns:a16="http://schemas.microsoft.com/office/drawing/2014/main" xmlns="" id="{00000000-0008-0000-2F00-000008000000}"/>
            </a:ext>
          </a:extLst>
        </xdr:cNvPr>
        <xdr:cNvSpPr/>
      </xdr:nvSpPr>
      <xdr:spPr>
        <a:xfrm>
          <a:off x="9410700" y="10506075"/>
          <a:ext cx="1190625" cy="514350"/>
        </a:xfrm>
        <a:prstGeom prst="borderCallout1">
          <a:avLst>
            <a:gd name="adj1" fmla="val 55401"/>
            <a:gd name="adj2" fmla="val -241"/>
            <a:gd name="adj3" fmla="val 110278"/>
            <a:gd name="adj4" fmla="val -400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月成交</a:t>
          </a:r>
          <a:r>
            <a:rPr lang="en-US" altLang="zh-CN" sz="1100"/>
            <a:t>1585</a:t>
          </a:r>
          <a:r>
            <a:rPr lang="zh-CN" altLang="en-US" sz="1100"/>
            <a:t>元，</a:t>
          </a:r>
          <a:r>
            <a:rPr lang="en-US" altLang="zh-CN" sz="1100"/>
            <a:t>R1.4</a:t>
          </a:r>
          <a:endParaRPr lang="zh-CN" altLang="en-US" sz="1100"/>
        </a:p>
      </xdr:txBody>
    </xdr:sp>
    <xdr:clientData/>
  </xdr:twoCellAnchor>
  <xdr:twoCellAnchor>
    <xdr:from>
      <xdr:col>8</xdr:col>
      <xdr:colOff>523875</xdr:colOff>
      <xdr:row>69</xdr:row>
      <xdr:rowOff>38099</xdr:rowOff>
    </xdr:from>
    <xdr:to>
      <xdr:col>9</xdr:col>
      <xdr:colOff>95250</xdr:colOff>
      <xdr:row>73</xdr:row>
      <xdr:rowOff>57150</xdr:rowOff>
    </xdr:to>
    <xdr:sp macro="" textlink="">
      <xdr:nvSpPr>
        <xdr:cNvPr id="9" name="线形标注 1 8">
          <a:extLst>
            <a:ext uri="{FF2B5EF4-FFF2-40B4-BE49-F238E27FC236}">
              <a16:creationId xmlns:a16="http://schemas.microsoft.com/office/drawing/2014/main" xmlns="" id="{00000000-0008-0000-2F00-000009000000}"/>
            </a:ext>
          </a:extLst>
        </xdr:cNvPr>
        <xdr:cNvSpPr/>
      </xdr:nvSpPr>
      <xdr:spPr>
        <a:xfrm>
          <a:off x="7038975" y="11868149"/>
          <a:ext cx="1190625" cy="704851"/>
        </a:xfrm>
        <a:prstGeom prst="borderCallout1">
          <a:avLst>
            <a:gd name="adj1" fmla="val 3549"/>
            <a:gd name="adj2" fmla="val 32559"/>
            <a:gd name="adj3" fmla="val -36018"/>
            <a:gd name="adj4" fmla="val 96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19.6</a:t>
          </a:r>
          <a:r>
            <a:rPr lang="zh-CN" altLang="en-US" sz="1100"/>
            <a:t>月成交</a:t>
          </a:r>
          <a:r>
            <a:rPr lang="en-US" altLang="zh-CN" sz="1100"/>
            <a:t>13068</a:t>
          </a:r>
          <a:r>
            <a:rPr lang="zh-CN" altLang="en-US" sz="1100"/>
            <a:t>元，</a:t>
          </a:r>
          <a:r>
            <a:rPr lang="en-US" altLang="zh-CN" sz="1100"/>
            <a:t>R0.3</a:t>
          </a:r>
          <a:r>
            <a:rPr lang="en-US" altLang="zh-CN" sz="1100" baseline="0"/>
            <a:t> </a:t>
          </a:r>
          <a:r>
            <a:rPr lang="zh-CN" altLang="en-US" sz="1100" baseline="0"/>
            <a:t>加油站</a:t>
          </a:r>
          <a:endParaRPr lang="zh-CN" altLang="en-US" sz="1100"/>
        </a:p>
      </xdr:txBody>
    </xdr:sp>
    <xdr:clientData/>
  </xdr:twoCellAnchor>
  <xdr:twoCellAnchor>
    <xdr:from>
      <xdr:col>7</xdr:col>
      <xdr:colOff>85726</xdr:colOff>
      <xdr:row>54</xdr:row>
      <xdr:rowOff>142875</xdr:rowOff>
    </xdr:from>
    <xdr:to>
      <xdr:col>8</xdr:col>
      <xdr:colOff>419100</xdr:colOff>
      <xdr:row>56</xdr:row>
      <xdr:rowOff>28575</xdr:rowOff>
    </xdr:to>
    <xdr:sp macro="" textlink="">
      <xdr:nvSpPr>
        <xdr:cNvPr id="10" name="线形标注 1 9">
          <a:extLst>
            <a:ext uri="{FF2B5EF4-FFF2-40B4-BE49-F238E27FC236}">
              <a16:creationId xmlns:a16="http://schemas.microsoft.com/office/drawing/2014/main" xmlns="" id="{00000000-0008-0000-2F00-00000A000000}"/>
            </a:ext>
          </a:extLst>
        </xdr:cNvPr>
        <xdr:cNvSpPr/>
      </xdr:nvSpPr>
      <xdr:spPr>
        <a:xfrm>
          <a:off x="5915026" y="9401175"/>
          <a:ext cx="1019174" cy="228600"/>
        </a:xfrm>
        <a:prstGeom prst="borderCallout1">
          <a:avLst>
            <a:gd name="adj1" fmla="val 55401"/>
            <a:gd name="adj2" fmla="val -241"/>
            <a:gd name="adj3" fmla="val 110278"/>
            <a:gd name="adj4" fmla="val -400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加油站</a:t>
          </a:r>
          <a:r>
            <a:rPr lang="en-US" altLang="zh-CN" sz="1100"/>
            <a:t>1.4</a:t>
          </a:r>
          <a:r>
            <a:rPr lang="zh-CN" altLang="en-US" sz="1100"/>
            <a:t>万</a:t>
          </a:r>
        </a:p>
      </xdr:txBody>
    </xdr:sp>
    <xdr:clientData/>
  </xdr:twoCellAnchor>
  <xdr:twoCellAnchor>
    <xdr:from>
      <xdr:col>9</xdr:col>
      <xdr:colOff>504825</xdr:colOff>
      <xdr:row>71</xdr:row>
      <xdr:rowOff>66676</xdr:rowOff>
    </xdr:from>
    <xdr:to>
      <xdr:col>11</xdr:col>
      <xdr:colOff>323850</xdr:colOff>
      <xdr:row>74</xdr:row>
      <xdr:rowOff>28576</xdr:rowOff>
    </xdr:to>
    <xdr:sp macro="" textlink="">
      <xdr:nvSpPr>
        <xdr:cNvPr id="11" name="线形标注 1 10">
          <a:extLst>
            <a:ext uri="{FF2B5EF4-FFF2-40B4-BE49-F238E27FC236}">
              <a16:creationId xmlns:a16="http://schemas.microsoft.com/office/drawing/2014/main" xmlns="" id="{00000000-0008-0000-2F00-00000B000000}"/>
            </a:ext>
          </a:extLst>
        </xdr:cNvPr>
        <xdr:cNvSpPr/>
      </xdr:nvSpPr>
      <xdr:spPr>
        <a:xfrm>
          <a:off x="8639175" y="12239626"/>
          <a:ext cx="1190625" cy="476250"/>
        </a:xfrm>
        <a:prstGeom prst="borderCallout1">
          <a:avLst>
            <a:gd name="adj1" fmla="val 3549"/>
            <a:gd name="adj2" fmla="val 32559"/>
            <a:gd name="adj3" fmla="val -36018"/>
            <a:gd name="adj4" fmla="val 96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21.10</a:t>
          </a:r>
          <a:r>
            <a:rPr lang="zh-CN" altLang="en-US" sz="1100"/>
            <a:t>月成交</a:t>
          </a:r>
          <a:r>
            <a:rPr lang="en-US" altLang="zh-CN" sz="1100"/>
            <a:t>1113</a:t>
          </a:r>
          <a:r>
            <a:rPr lang="zh-CN" altLang="en-US" sz="1100"/>
            <a:t>元，</a:t>
          </a:r>
          <a:r>
            <a:rPr lang="en-US" altLang="zh-CN" sz="1100"/>
            <a:t>R1.2</a:t>
          </a:r>
          <a:endParaRPr lang="zh-CN" altLang="en-US" sz="1100"/>
        </a:p>
      </xdr:txBody>
    </xdr:sp>
    <xdr:clientData/>
  </xdr:twoCellAnchor>
  <xdr:twoCellAnchor>
    <xdr:from>
      <xdr:col>2</xdr:col>
      <xdr:colOff>581025</xdr:colOff>
      <xdr:row>67</xdr:row>
      <xdr:rowOff>66675</xdr:rowOff>
    </xdr:from>
    <xdr:to>
      <xdr:col>4</xdr:col>
      <xdr:colOff>400050</xdr:colOff>
      <xdr:row>70</xdr:row>
      <xdr:rowOff>38100</xdr:rowOff>
    </xdr:to>
    <xdr:sp macro="" textlink="">
      <xdr:nvSpPr>
        <xdr:cNvPr id="12" name="线形标注 1 11">
          <a:extLst>
            <a:ext uri="{FF2B5EF4-FFF2-40B4-BE49-F238E27FC236}">
              <a16:creationId xmlns:a16="http://schemas.microsoft.com/office/drawing/2014/main" xmlns="" id="{00000000-0008-0000-2F00-00000C000000}"/>
            </a:ext>
          </a:extLst>
        </xdr:cNvPr>
        <xdr:cNvSpPr/>
      </xdr:nvSpPr>
      <xdr:spPr>
        <a:xfrm>
          <a:off x="2981325" y="11553825"/>
          <a:ext cx="1190625" cy="485775"/>
        </a:xfrm>
        <a:prstGeom prst="borderCallout1">
          <a:avLst>
            <a:gd name="adj1" fmla="val 3549"/>
            <a:gd name="adj2" fmla="val 32559"/>
            <a:gd name="adj3" fmla="val -36018"/>
            <a:gd name="adj4" fmla="val 9671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800</a:t>
          </a:r>
          <a:r>
            <a:rPr lang="zh-CN" altLang="en-US" sz="1100"/>
            <a:t>元，</a:t>
          </a:r>
          <a:r>
            <a:rPr lang="en-US" altLang="zh-CN" sz="1100"/>
            <a:t>R2</a:t>
          </a:r>
          <a:endParaRPr lang="zh-CN" altLang="en-US" sz="1100"/>
        </a:p>
      </xdr:txBody>
    </xdr:sp>
    <xdr:clientData/>
  </xdr:twoCellAnchor>
  <xdr:twoCellAnchor>
    <xdr:from>
      <xdr:col>5</xdr:col>
      <xdr:colOff>600075</xdr:colOff>
      <xdr:row>59</xdr:row>
      <xdr:rowOff>76199</xdr:rowOff>
    </xdr:from>
    <xdr:to>
      <xdr:col>7</xdr:col>
      <xdr:colOff>247649</xdr:colOff>
      <xdr:row>62</xdr:row>
      <xdr:rowOff>47624</xdr:rowOff>
    </xdr:to>
    <xdr:sp macro="" textlink="">
      <xdr:nvSpPr>
        <xdr:cNvPr id="14" name="线形标注 1 13">
          <a:extLst>
            <a:ext uri="{FF2B5EF4-FFF2-40B4-BE49-F238E27FC236}">
              <a16:creationId xmlns:a16="http://schemas.microsoft.com/office/drawing/2014/main" xmlns="" id="{00000000-0008-0000-2F00-00000E000000}"/>
            </a:ext>
          </a:extLst>
        </xdr:cNvPr>
        <xdr:cNvSpPr/>
      </xdr:nvSpPr>
      <xdr:spPr>
        <a:xfrm>
          <a:off x="5057775" y="10191749"/>
          <a:ext cx="1019174" cy="485775"/>
        </a:xfrm>
        <a:prstGeom prst="borderCallout1">
          <a:avLst>
            <a:gd name="adj1" fmla="val 55401"/>
            <a:gd name="adj2" fmla="val -241"/>
            <a:gd name="adj3" fmla="val 130354"/>
            <a:gd name="adj4" fmla="val -326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21.11</a:t>
          </a:r>
          <a:r>
            <a:rPr lang="zh-CN" altLang="en-US" sz="1100"/>
            <a:t>月成交</a:t>
          </a:r>
          <a:r>
            <a:rPr lang="en-US" altLang="zh-CN" sz="1100"/>
            <a:t>800</a:t>
          </a:r>
          <a:r>
            <a:rPr lang="zh-CN" altLang="en-US" sz="1100"/>
            <a:t>元，</a:t>
          </a:r>
          <a:r>
            <a:rPr lang="en-US" altLang="zh-CN" sz="1100"/>
            <a:t>R1.5</a:t>
          </a:r>
          <a:endParaRPr lang="zh-CN" altLang="en-US" sz="1100"/>
        </a:p>
      </xdr:txBody>
    </xdr:sp>
    <xdr:clientData/>
  </xdr:twoCellAnchor>
  <xdr:twoCellAnchor>
    <xdr:from>
      <xdr:col>2</xdr:col>
      <xdr:colOff>390525</xdr:colOff>
      <xdr:row>61</xdr:row>
      <xdr:rowOff>9525</xdr:rowOff>
    </xdr:from>
    <xdr:to>
      <xdr:col>4</xdr:col>
      <xdr:colOff>209550</xdr:colOff>
      <xdr:row>63</xdr:row>
      <xdr:rowOff>152400</xdr:rowOff>
    </xdr:to>
    <xdr:sp macro="" textlink="">
      <xdr:nvSpPr>
        <xdr:cNvPr id="15" name="线形标注 1 14">
          <a:extLst>
            <a:ext uri="{FF2B5EF4-FFF2-40B4-BE49-F238E27FC236}">
              <a16:creationId xmlns:a16="http://schemas.microsoft.com/office/drawing/2014/main" xmlns="" id="{00000000-0008-0000-2F00-00000F000000}"/>
            </a:ext>
          </a:extLst>
        </xdr:cNvPr>
        <xdr:cNvSpPr/>
      </xdr:nvSpPr>
      <xdr:spPr>
        <a:xfrm>
          <a:off x="2790825" y="10467975"/>
          <a:ext cx="1190625" cy="485775"/>
        </a:xfrm>
        <a:prstGeom prst="borderCallout1">
          <a:avLst>
            <a:gd name="adj1" fmla="val 3549"/>
            <a:gd name="adj2" fmla="val 32559"/>
            <a:gd name="adj3" fmla="val -83077"/>
            <a:gd name="adj4" fmla="val -9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20.12</a:t>
          </a:r>
          <a:r>
            <a:rPr lang="zh-CN" altLang="en-US" sz="1100"/>
            <a:t>月成交</a:t>
          </a:r>
          <a:r>
            <a:rPr lang="en-US" altLang="zh-CN" sz="1100"/>
            <a:t>2300</a:t>
          </a:r>
          <a:r>
            <a:rPr lang="zh-CN" altLang="en-US" sz="1100"/>
            <a:t>元，</a:t>
          </a:r>
          <a:r>
            <a:rPr lang="en-US" altLang="zh-CN" sz="1100"/>
            <a:t>R2</a:t>
          </a:r>
          <a:endParaRPr lang="zh-CN" altLang="en-US" sz="1100"/>
        </a:p>
      </xdr:txBody>
    </xdr:sp>
    <xdr:clientData/>
  </xdr:twoCellAnchor>
  <xdr:twoCellAnchor>
    <xdr:from>
      <xdr:col>4</xdr:col>
      <xdr:colOff>323850</xdr:colOff>
      <xdr:row>51</xdr:row>
      <xdr:rowOff>47625</xdr:rowOff>
    </xdr:from>
    <xdr:to>
      <xdr:col>5</xdr:col>
      <xdr:colOff>657224</xdr:colOff>
      <xdr:row>54</xdr:row>
      <xdr:rowOff>19050</xdr:rowOff>
    </xdr:to>
    <xdr:sp macro="" textlink="">
      <xdr:nvSpPr>
        <xdr:cNvPr id="16" name="线形标注 1 15">
          <a:extLst>
            <a:ext uri="{FF2B5EF4-FFF2-40B4-BE49-F238E27FC236}">
              <a16:creationId xmlns:a16="http://schemas.microsoft.com/office/drawing/2014/main" xmlns="" id="{00000000-0008-0000-2F00-000010000000}"/>
            </a:ext>
          </a:extLst>
        </xdr:cNvPr>
        <xdr:cNvSpPr/>
      </xdr:nvSpPr>
      <xdr:spPr>
        <a:xfrm>
          <a:off x="4095750" y="8791575"/>
          <a:ext cx="1019174" cy="485775"/>
        </a:xfrm>
        <a:prstGeom prst="borderCallout1">
          <a:avLst>
            <a:gd name="adj1" fmla="val 55401"/>
            <a:gd name="adj2" fmla="val -241"/>
            <a:gd name="adj3" fmla="val 130354"/>
            <a:gd name="adj4" fmla="val -326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901</a:t>
          </a:r>
          <a:r>
            <a:rPr lang="zh-CN" altLang="en-US" sz="1100"/>
            <a:t>元，</a:t>
          </a:r>
          <a:r>
            <a:rPr lang="en-US" altLang="zh-CN" sz="1100"/>
            <a:t>R5.14</a:t>
          </a:r>
          <a:endParaRPr lang="zh-CN" altLang="en-US" sz="1100"/>
        </a:p>
      </xdr:txBody>
    </xdr:sp>
    <xdr:clientData/>
  </xdr:twoCellAnchor>
  <xdr:twoCellAnchor>
    <xdr:from>
      <xdr:col>1</xdr:col>
      <xdr:colOff>95250</xdr:colOff>
      <xdr:row>51</xdr:row>
      <xdr:rowOff>76200</xdr:rowOff>
    </xdr:from>
    <xdr:to>
      <xdr:col>2</xdr:col>
      <xdr:colOff>495299</xdr:colOff>
      <xdr:row>54</xdr:row>
      <xdr:rowOff>47625</xdr:rowOff>
    </xdr:to>
    <xdr:sp macro="" textlink="">
      <xdr:nvSpPr>
        <xdr:cNvPr id="17" name="线形标注 1 16">
          <a:extLst>
            <a:ext uri="{FF2B5EF4-FFF2-40B4-BE49-F238E27FC236}">
              <a16:creationId xmlns:a16="http://schemas.microsoft.com/office/drawing/2014/main" xmlns="" id="{00000000-0008-0000-2F00-000011000000}"/>
            </a:ext>
          </a:extLst>
        </xdr:cNvPr>
        <xdr:cNvSpPr/>
      </xdr:nvSpPr>
      <xdr:spPr>
        <a:xfrm>
          <a:off x="1809750" y="8820150"/>
          <a:ext cx="1085849" cy="485775"/>
        </a:xfrm>
        <a:prstGeom prst="borderCallout1">
          <a:avLst>
            <a:gd name="adj1" fmla="val 55401"/>
            <a:gd name="adj2" fmla="val 97890"/>
            <a:gd name="adj3" fmla="val 146040"/>
            <a:gd name="adj4" fmla="val 1206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19.7</a:t>
          </a:r>
          <a:r>
            <a:rPr lang="zh-CN" altLang="en-US" sz="1100"/>
            <a:t>月成交</a:t>
          </a:r>
          <a:r>
            <a:rPr lang="en-US" altLang="zh-CN" sz="1100"/>
            <a:t>901</a:t>
          </a:r>
          <a:r>
            <a:rPr lang="zh-CN" altLang="en-US" sz="1100"/>
            <a:t>元，</a:t>
          </a:r>
          <a:r>
            <a:rPr lang="en-US" altLang="zh-CN" sz="1100"/>
            <a:t>R12.55</a:t>
          </a:r>
          <a:endParaRPr lang="zh-CN" altLang="en-US" sz="1100"/>
        </a:p>
      </xdr:txBody>
    </xdr:sp>
    <xdr:clientData/>
  </xdr:twoCellAnchor>
  <xdr:twoCellAnchor>
    <xdr:from>
      <xdr:col>2</xdr:col>
      <xdr:colOff>276225</xdr:colOff>
      <xdr:row>47</xdr:row>
      <xdr:rowOff>28575</xdr:rowOff>
    </xdr:from>
    <xdr:to>
      <xdr:col>3</xdr:col>
      <xdr:colOff>676274</xdr:colOff>
      <xdr:row>50</xdr:row>
      <xdr:rowOff>0</xdr:rowOff>
    </xdr:to>
    <xdr:sp macro="" textlink="">
      <xdr:nvSpPr>
        <xdr:cNvPr id="19" name="线形标注 1 18">
          <a:extLst>
            <a:ext uri="{FF2B5EF4-FFF2-40B4-BE49-F238E27FC236}">
              <a16:creationId xmlns:a16="http://schemas.microsoft.com/office/drawing/2014/main" xmlns="" id="{00000000-0008-0000-2F00-000013000000}"/>
            </a:ext>
          </a:extLst>
        </xdr:cNvPr>
        <xdr:cNvSpPr/>
      </xdr:nvSpPr>
      <xdr:spPr>
        <a:xfrm>
          <a:off x="2676525" y="8086725"/>
          <a:ext cx="1085849" cy="485775"/>
        </a:xfrm>
        <a:prstGeom prst="borderCallout1">
          <a:avLst>
            <a:gd name="adj1" fmla="val 102460"/>
            <a:gd name="adj2" fmla="val 55785"/>
            <a:gd name="adj3" fmla="val 224471"/>
            <a:gd name="adj4" fmla="val 6101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19.9</a:t>
          </a:r>
          <a:r>
            <a:rPr lang="zh-CN" altLang="en-US" sz="1100"/>
            <a:t>月成交</a:t>
          </a:r>
          <a:r>
            <a:rPr lang="en-US" altLang="zh-CN" sz="1100"/>
            <a:t>850</a:t>
          </a:r>
          <a:r>
            <a:rPr lang="zh-CN" altLang="en-US" sz="1100"/>
            <a:t>元，</a:t>
          </a:r>
          <a:r>
            <a:rPr lang="en-US" altLang="zh-CN" sz="1100"/>
            <a:t>R1.75</a:t>
          </a:r>
          <a:endParaRPr lang="zh-CN" altLang="en-US" sz="1100"/>
        </a:p>
      </xdr:txBody>
    </xdr:sp>
    <xdr:clientData/>
  </xdr:twoCellAnchor>
  <xdr:twoCellAnchor editAs="oneCell">
    <xdr:from>
      <xdr:col>15</xdr:col>
      <xdr:colOff>180975</xdr:colOff>
      <xdr:row>53</xdr:row>
      <xdr:rowOff>19050</xdr:rowOff>
    </xdr:from>
    <xdr:to>
      <xdr:col>24</xdr:col>
      <xdr:colOff>218299</xdr:colOff>
      <xdr:row>76</xdr:row>
      <xdr:rowOff>123319</xdr:rowOff>
    </xdr:to>
    <xdr:pic>
      <xdr:nvPicPr>
        <xdr:cNvPr id="20" name="图片 19">
          <a:extLst>
            <a:ext uri="{FF2B5EF4-FFF2-40B4-BE49-F238E27FC236}">
              <a16:creationId xmlns:a16="http://schemas.microsoft.com/office/drawing/2014/main" xmlns="" id="{00000000-0008-0000-2F00-000014000000}"/>
            </a:ext>
          </a:extLst>
        </xdr:cNvPr>
        <xdr:cNvPicPr>
          <a:picLocks noChangeAspect="1"/>
        </xdr:cNvPicPr>
      </xdr:nvPicPr>
      <xdr:blipFill>
        <a:blip xmlns:r="http://schemas.openxmlformats.org/officeDocument/2006/relationships" r:embed="rId3"/>
        <a:stretch>
          <a:fillRect/>
        </a:stretch>
      </xdr:blipFill>
      <xdr:spPr>
        <a:xfrm>
          <a:off x="12430125" y="9105900"/>
          <a:ext cx="6209524" cy="4047619"/>
        </a:xfrm>
        <a:prstGeom prst="rect">
          <a:avLst/>
        </a:prstGeom>
      </xdr:spPr>
    </xdr:pic>
    <xdr:clientData/>
  </xdr:twoCellAnchor>
  <xdr:twoCellAnchor editAs="oneCell">
    <xdr:from>
      <xdr:col>15</xdr:col>
      <xdr:colOff>19050</xdr:colOff>
      <xdr:row>66</xdr:row>
      <xdr:rowOff>133350</xdr:rowOff>
    </xdr:from>
    <xdr:to>
      <xdr:col>21</xdr:col>
      <xdr:colOff>275679</xdr:colOff>
      <xdr:row>76</xdr:row>
      <xdr:rowOff>152183</xdr:rowOff>
    </xdr:to>
    <xdr:pic>
      <xdr:nvPicPr>
        <xdr:cNvPr id="21" name="图片 20">
          <a:extLst>
            <a:ext uri="{FF2B5EF4-FFF2-40B4-BE49-F238E27FC236}">
              <a16:creationId xmlns:a16="http://schemas.microsoft.com/office/drawing/2014/main" xmlns="" id="{00000000-0008-0000-2F00-000015000000}"/>
            </a:ext>
          </a:extLst>
        </xdr:cNvPr>
        <xdr:cNvPicPr>
          <a:picLocks noChangeAspect="1"/>
        </xdr:cNvPicPr>
      </xdr:nvPicPr>
      <xdr:blipFill>
        <a:blip xmlns:r="http://schemas.openxmlformats.org/officeDocument/2006/relationships" r:embed="rId4"/>
        <a:stretch>
          <a:fillRect/>
        </a:stretch>
      </xdr:blipFill>
      <xdr:spPr>
        <a:xfrm>
          <a:off x="12268200" y="11449050"/>
          <a:ext cx="4371429" cy="1733333"/>
        </a:xfrm>
        <a:prstGeom prst="rect">
          <a:avLst/>
        </a:prstGeom>
      </xdr:spPr>
    </xdr:pic>
    <xdr:clientData/>
  </xdr:twoCellAnchor>
  <xdr:twoCellAnchor editAs="oneCell">
    <xdr:from>
      <xdr:col>18</xdr:col>
      <xdr:colOff>0</xdr:colOff>
      <xdr:row>26</xdr:row>
      <xdr:rowOff>0</xdr:rowOff>
    </xdr:from>
    <xdr:to>
      <xdr:col>30</xdr:col>
      <xdr:colOff>551353</xdr:colOff>
      <xdr:row>49</xdr:row>
      <xdr:rowOff>85222</xdr:rowOff>
    </xdr:to>
    <xdr:pic>
      <xdr:nvPicPr>
        <xdr:cNvPr id="22" name="图片 21">
          <a:extLst>
            <a:ext uri="{FF2B5EF4-FFF2-40B4-BE49-F238E27FC236}">
              <a16:creationId xmlns:a16="http://schemas.microsoft.com/office/drawing/2014/main" xmlns="" id="{00000000-0008-0000-2F00-000016000000}"/>
            </a:ext>
          </a:extLst>
        </xdr:cNvPr>
        <xdr:cNvPicPr>
          <a:picLocks noChangeAspect="1"/>
        </xdr:cNvPicPr>
      </xdr:nvPicPr>
      <xdr:blipFill>
        <a:blip xmlns:r="http://schemas.openxmlformats.org/officeDocument/2006/relationships" r:embed="rId5"/>
        <a:stretch>
          <a:fillRect/>
        </a:stretch>
      </xdr:blipFill>
      <xdr:spPr>
        <a:xfrm>
          <a:off x="14306550" y="4457700"/>
          <a:ext cx="8780953" cy="4028572"/>
        </a:xfrm>
        <a:prstGeom prst="rect">
          <a:avLst/>
        </a:prstGeom>
      </xdr:spPr>
    </xdr:pic>
    <xdr:clientData/>
  </xdr:twoCellAnchor>
  <xdr:twoCellAnchor editAs="oneCell">
    <xdr:from>
      <xdr:col>31</xdr:col>
      <xdr:colOff>0</xdr:colOff>
      <xdr:row>26</xdr:row>
      <xdr:rowOff>0</xdr:rowOff>
    </xdr:from>
    <xdr:to>
      <xdr:col>43</xdr:col>
      <xdr:colOff>446591</xdr:colOff>
      <xdr:row>50</xdr:row>
      <xdr:rowOff>132819</xdr:rowOff>
    </xdr:to>
    <xdr:pic>
      <xdr:nvPicPr>
        <xdr:cNvPr id="23" name="图片 22">
          <a:extLst>
            <a:ext uri="{FF2B5EF4-FFF2-40B4-BE49-F238E27FC236}">
              <a16:creationId xmlns:a16="http://schemas.microsoft.com/office/drawing/2014/main" xmlns="" id="{00000000-0008-0000-2F00-000017000000}"/>
            </a:ext>
          </a:extLst>
        </xdr:cNvPr>
        <xdr:cNvPicPr>
          <a:picLocks noChangeAspect="1"/>
        </xdr:cNvPicPr>
      </xdr:nvPicPr>
      <xdr:blipFill>
        <a:blip xmlns:r="http://schemas.openxmlformats.org/officeDocument/2006/relationships" r:embed="rId6"/>
        <a:stretch>
          <a:fillRect/>
        </a:stretch>
      </xdr:blipFill>
      <xdr:spPr>
        <a:xfrm>
          <a:off x="23221950" y="4457700"/>
          <a:ext cx="8676191" cy="4247619"/>
        </a:xfrm>
        <a:prstGeom prst="rect">
          <a:avLst/>
        </a:prstGeom>
      </xdr:spPr>
    </xdr:pic>
    <xdr:clientData/>
  </xdr:twoCellAnchor>
  <xdr:twoCellAnchor editAs="oneCell">
    <xdr:from>
      <xdr:col>0</xdr:col>
      <xdr:colOff>0</xdr:colOff>
      <xdr:row>87</xdr:row>
      <xdr:rowOff>0</xdr:rowOff>
    </xdr:from>
    <xdr:to>
      <xdr:col>10</xdr:col>
      <xdr:colOff>408422</xdr:colOff>
      <xdr:row>95</xdr:row>
      <xdr:rowOff>171257</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9945350"/>
          <a:ext cx="9228572" cy="1542857"/>
        </a:xfrm>
        <a:prstGeom prst="rect">
          <a:avLst/>
        </a:prstGeom>
      </xdr:spPr>
    </xdr:pic>
    <xdr:clientData/>
  </xdr:twoCellAnchor>
  <xdr:twoCellAnchor editAs="oneCell">
    <xdr:from>
      <xdr:col>0</xdr:col>
      <xdr:colOff>0</xdr:colOff>
      <xdr:row>97</xdr:row>
      <xdr:rowOff>0</xdr:rowOff>
    </xdr:from>
    <xdr:to>
      <xdr:col>10</xdr:col>
      <xdr:colOff>579851</xdr:colOff>
      <xdr:row>106</xdr:row>
      <xdr:rowOff>18855</xdr:rowOff>
    </xdr:to>
    <xdr:pic>
      <xdr:nvPicPr>
        <xdr:cNvPr id="18" name="图片 17"/>
        <xdr:cNvPicPr>
          <a:picLocks noChangeAspect="1"/>
        </xdr:cNvPicPr>
      </xdr:nvPicPr>
      <xdr:blipFill>
        <a:blip xmlns:r="http://schemas.openxmlformats.org/officeDocument/2006/relationships" r:embed="rId8"/>
        <a:stretch>
          <a:fillRect/>
        </a:stretch>
      </xdr:blipFill>
      <xdr:spPr>
        <a:xfrm>
          <a:off x="0" y="21659850"/>
          <a:ext cx="9400001" cy="1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303990</xdr:colOff>
      <xdr:row>30</xdr:row>
      <xdr:rowOff>28165</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1905000"/>
          <a:ext cx="6485715" cy="3285715"/>
        </a:xfrm>
        <a:prstGeom prst="rect">
          <a:avLst/>
        </a:prstGeom>
      </xdr:spPr>
    </xdr:pic>
    <xdr:clientData/>
  </xdr:twoCellAnchor>
  <xdr:twoCellAnchor>
    <xdr:from>
      <xdr:col>5</xdr:col>
      <xdr:colOff>247650</xdr:colOff>
      <xdr:row>14</xdr:row>
      <xdr:rowOff>19051</xdr:rowOff>
    </xdr:from>
    <xdr:to>
      <xdr:col>6</xdr:col>
      <xdr:colOff>495300</xdr:colOff>
      <xdr:row>15</xdr:row>
      <xdr:rowOff>133351</xdr:rowOff>
    </xdr:to>
    <xdr:sp macro="" textlink="">
      <xdr:nvSpPr>
        <xdr:cNvPr id="3" name="线形标注 1 2">
          <a:extLst>
            <a:ext uri="{FF2B5EF4-FFF2-40B4-BE49-F238E27FC236}">
              <a16:creationId xmlns:a16="http://schemas.microsoft.com/office/drawing/2014/main" xmlns="" id="{00000000-0008-0000-3000-000003000000}"/>
            </a:ext>
          </a:extLst>
        </xdr:cNvPr>
        <xdr:cNvSpPr/>
      </xdr:nvSpPr>
      <xdr:spPr>
        <a:xfrm>
          <a:off x="5057775" y="2438401"/>
          <a:ext cx="933450" cy="285750"/>
        </a:xfrm>
        <a:prstGeom prst="borderCallout1">
          <a:avLst>
            <a:gd name="adj1" fmla="val 55401"/>
            <a:gd name="adj2" fmla="val -241"/>
            <a:gd name="adj3" fmla="val 130354"/>
            <a:gd name="adj4" fmla="val -326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住宅</a:t>
          </a:r>
          <a:r>
            <a:rPr lang="en-US" altLang="zh-CN" sz="1100"/>
            <a:t>7000</a:t>
          </a:r>
          <a:r>
            <a:rPr lang="zh-CN" altLang="en-US" sz="1100"/>
            <a:t>元</a:t>
          </a:r>
        </a:p>
      </xdr:txBody>
    </xdr:sp>
    <xdr:clientData/>
  </xdr:twoCellAnchor>
  <xdr:twoCellAnchor>
    <xdr:from>
      <xdr:col>2</xdr:col>
      <xdr:colOff>361951</xdr:colOff>
      <xdr:row>17</xdr:row>
      <xdr:rowOff>133350</xdr:rowOff>
    </xdr:from>
    <xdr:to>
      <xdr:col>3</xdr:col>
      <xdr:colOff>495301</xdr:colOff>
      <xdr:row>19</xdr:row>
      <xdr:rowOff>76200</xdr:rowOff>
    </xdr:to>
    <xdr:sp macro="" textlink="">
      <xdr:nvSpPr>
        <xdr:cNvPr id="4" name="线形标注 1 3">
          <a:extLst>
            <a:ext uri="{FF2B5EF4-FFF2-40B4-BE49-F238E27FC236}">
              <a16:creationId xmlns:a16="http://schemas.microsoft.com/office/drawing/2014/main" xmlns="" id="{00000000-0008-0000-3000-000004000000}"/>
            </a:ext>
          </a:extLst>
        </xdr:cNvPr>
        <xdr:cNvSpPr/>
      </xdr:nvSpPr>
      <xdr:spPr>
        <a:xfrm>
          <a:off x="2676526" y="3067050"/>
          <a:ext cx="933450" cy="285750"/>
        </a:xfrm>
        <a:prstGeom prst="borderCallout1">
          <a:avLst>
            <a:gd name="adj1" fmla="val 178734"/>
            <a:gd name="adj2" fmla="val 84374"/>
            <a:gd name="adj3" fmla="val 100354"/>
            <a:gd name="adj4" fmla="val 455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商铺</a:t>
          </a:r>
          <a:r>
            <a:rPr lang="en-US" altLang="zh-CN" sz="1100"/>
            <a:t>25000</a:t>
          </a:r>
          <a:endParaRPr lang="zh-CN" altLang="en-US" sz="1100"/>
        </a:p>
      </xdr:txBody>
    </xdr:sp>
    <xdr:clientData/>
  </xdr:twoCellAnchor>
  <xdr:twoCellAnchor editAs="oneCell">
    <xdr:from>
      <xdr:col>0</xdr:col>
      <xdr:colOff>0</xdr:colOff>
      <xdr:row>33</xdr:row>
      <xdr:rowOff>0</xdr:rowOff>
    </xdr:from>
    <xdr:to>
      <xdr:col>13</xdr:col>
      <xdr:colOff>189190</xdr:colOff>
      <xdr:row>57</xdr:row>
      <xdr:rowOff>28057</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2"/>
        <a:stretch>
          <a:fillRect/>
        </a:stretch>
      </xdr:blipFill>
      <xdr:spPr>
        <a:xfrm>
          <a:off x="0" y="5676900"/>
          <a:ext cx="10485715" cy="4142857"/>
        </a:xfrm>
        <a:prstGeom prst="rect">
          <a:avLst/>
        </a:prstGeom>
      </xdr:spPr>
    </xdr:pic>
    <xdr:clientData/>
  </xdr:twoCellAnchor>
  <xdr:twoCellAnchor editAs="oneCell">
    <xdr:from>
      <xdr:col>0</xdr:col>
      <xdr:colOff>57150</xdr:colOff>
      <xdr:row>48</xdr:row>
      <xdr:rowOff>47625</xdr:rowOff>
    </xdr:from>
    <xdr:to>
      <xdr:col>11</xdr:col>
      <xdr:colOff>341749</xdr:colOff>
      <xdr:row>55</xdr:row>
      <xdr:rowOff>85570</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3"/>
        <a:stretch>
          <a:fillRect/>
        </a:stretch>
      </xdr:blipFill>
      <xdr:spPr>
        <a:xfrm>
          <a:off x="57150" y="8296275"/>
          <a:ext cx="9209524" cy="1238095"/>
        </a:xfrm>
        <a:prstGeom prst="rect">
          <a:avLst/>
        </a:prstGeom>
      </xdr:spPr>
    </xdr:pic>
    <xdr:clientData/>
  </xdr:twoCellAnchor>
  <xdr:twoCellAnchor editAs="oneCell">
    <xdr:from>
      <xdr:col>0</xdr:col>
      <xdr:colOff>0</xdr:colOff>
      <xdr:row>59</xdr:row>
      <xdr:rowOff>0</xdr:rowOff>
    </xdr:from>
    <xdr:to>
      <xdr:col>9</xdr:col>
      <xdr:colOff>494295</xdr:colOff>
      <xdr:row>75</xdr:row>
      <xdr:rowOff>18705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134600"/>
          <a:ext cx="8047620" cy="2761905"/>
        </a:xfrm>
        <a:prstGeom prst="rect">
          <a:avLst/>
        </a:prstGeom>
      </xdr:spPr>
    </xdr:pic>
    <xdr:clientData/>
  </xdr:twoCellAnchor>
  <xdr:twoCellAnchor editAs="oneCell">
    <xdr:from>
      <xdr:col>0</xdr:col>
      <xdr:colOff>0</xdr:colOff>
      <xdr:row>76</xdr:row>
      <xdr:rowOff>0</xdr:rowOff>
    </xdr:from>
    <xdr:to>
      <xdr:col>10</xdr:col>
      <xdr:colOff>170399</xdr:colOff>
      <xdr:row>91</xdr:row>
      <xdr:rowOff>152060</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3049250"/>
          <a:ext cx="8409524" cy="2723810"/>
        </a:xfrm>
        <a:prstGeom prst="rect">
          <a:avLst/>
        </a:prstGeom>
      </xdr:spPr>
    </xdr:pic>
    <xdr:clientData/>
  </xdr:twoCellAnchor>
  <xdr:twoCellAnchor editAs="oneCell">
    <xdr:from>
      <xdr:col>0</xdr:col>
      <xdr:colOff>0</xdr:colOff>
      <xdr:row>93</xdr:row>
      <xdr:rowOff>0</xdr:rowOff>
    </xdr:from>
    <xdr:to>
      <xdr:col>10</xdr:col>
      <xdr:colOff>560876</xdr:colOff>
      <xdr:row>114</xdr:row>
      <xdr:rowOff>94788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5963900"/>
          <a:ext cx="8800001" cy="3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收益法-经营</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ohu.com/a/141791090_729553" TargetMode="External"/><Relationship Id="rId1" Type="http://schemas.openxmlformats.org/officeDocument/2006/relationships/hyperlink" Target="https://cq.house.qq.com/a/20171223/010083.htm"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估价对象为房地产，为所有。根据《国有土地使用证》[]，估价对象（分摊）出让国有建设用地使用权面积为34634.38平方米，建筑面积为80197.85平方米。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估价对象为房地产,属开发建设的综合项目（商业、办公），该项目尚在开发建设中。根据《国有土地使用证》[]，估价对象（分摊）出让国有建设用地使用权面积为34634.38平方米，规划建筑面积为80197.85平方米。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2021年12月18日（评估专业人员实地查勘之日）</v>
      </c>
    </row>
    <row r="13" spans="1:2" s="1365" customFormat="1">
      <c r="A13" s="1363" t="s">
        <v>1194</v>
      </c>
      <c r="B13" s="1364" t="str">
        <f>'预评函-1'!A18</f>
        <v>本次估价的“房地产价值”是指在正常市场情况下，在价值时点2021年12月18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48501</v>
      </c>
    </row>
    <row r="21" spans="1:2" s="1365" customFormat="1">
      <c r="A21" s="1363" t="s">
        <v>1202</v>
      </c>
      <c r="B21" s="1364">
        <f ca="1">'预评函-2'!D7</f>
        <v>6048</v>
      </c>
    </row>
    <row r="22" spans="1:2" s="1365" customFormat="1">
      <c r="A22" s="1363" t="s">
        <v>1203</v>
      </c>
      <c r="B22" s="1364" t="str">
        <f ca="1">'预评函-2'!D6</f>
        <v>肆亿捌仟伍佰零壹万元整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48501</v>
      </c>
    </row>
    <row r="31" spans="1:2" s="1365" customFormat="1">
      <c r="A31" s="1363" t="s">
        <v>1241</v>
      </c>
      <c r="B31" s="1364">
        <f ca="1">'预评函-2'!D15</f>
        <v>6048</v>
      </c>
    </row>
    <row r="32" spans="1:2" s="1365" customFormat="1">
      <c r="A32" s="1363" t="s">
        <v>1208</v>
      </c>
      <c r="B32" s="1364" t="str">
        <f ca="1">'预评函-2'!D14</f>
        <v>肆亿捌仟伍佰零壹万元整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80197.850000000006</v>
      </c>
    </row>
    <row r="44" spans="1:2" s="1365" customFormat="1">
      <c r="A44" s="1363" t="s">
        <v>1240</v>
      </c>
      <c r="B44" s="1364" t="str">
        <f>'预评函-3'!C2</f>
        <v>(分摊)土地面积</v>
      </c>
    </row>
    <row r="45" spans="1:2" s="1365" customFormat="1">
      <c r="A45" s="1363" t="s">
        <v>1212</v>
      </c>
      <c r="B45" s="1364">
        <f>'预评函-3'!C4</f>
        <v>34634.379999999997</v>
      </c>
    </row>
    <row r="46" spans="1:2" s="1365" customFormat="1">
      <c r="A46" s="1363" t="s">
        <v>1238</v>
      </c>
      <c r="B46" s="1364" t="str">
        <f>'预评函-3'!D2</f>
        <v>出让国有建设用地使用权价值</v>
      </c>
    </row>
    <row r="47" spans="1:2" s="1365" customFormat="1">
      <c r="A47" s="1363" t="s">
        <v>1213</v>
      </c>
      <c r="B47" s="1364">
        <f ca="1">'预评函-3'!D4</f>
        <v>8827</v>
      </c>
    </row>
    <row r="48" spans="1:2" s="1365" customFormat="1">
      <c r="A48" s="1363" t="s">
        <v>1214</v>
      </c>
      <c r="B48" s="1364">
        <f ca="1">'预评函-3'!E4</f>
        <v>1101</v>
      </c>
    </row>
    <row r="49" spans="1:2" s="1365" customFormat="1">
      <c r="A49" s="1363" t="s">
        <v>1215</v>
      </c>
      <c r="B49" s="1364" t="str">
        <f ca="1">'预评函-3'!D5</f>
        <v>捌仟捌佰贰拾柒万元整</v>
      </c>
    </row>
    <row r="50" spans="1:2" s="1365" customFormat="1">
      <c r="A50" s="1363" t="s">
        <v>1239</v>
      </c>
      <c r="B50" s="1364" t="str">
        <f>'预评函-3'!F2</f>
        <v>在建建筑物价值</v>
      </c>
    </row>
    <row r="51" spans="1:2" s="1365" customFormat="1">
      <c r="A51" s="1363" t="s">
        <v>1216</v>
      </c>
      <c r="B51" s="1364">
        <f ca="1">'预评函-3'!F4</f>
        <v>39674</v>
      </c>
    </row>
    <row r="52" spans="1:2" s="1365" customFormat="1">
      <c r="A52" s="1363" t="s">
        <v>1217</v>
      </c>
      <c r="B52" s="1364">
        <f ca="1">'预评函-3'!G4</f>
        <v>4947</v>
      </c>
    </row>
    <row r="53" spans="1:2" s="1365" customFormat="1">
      <c r="A53" s="1363" t="s">
        <v>1245</v>
      </c>
      <c r="B53" s="1364" t="str">
        <f ca="1">'预评函-3'!F5</f>
        <v>叁亿玖仟陆佰柒拾肆万元整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4225</v>
      </c>
      <c r="C18" s="1732"/>
    </row>
    <row r="19" spans="1:3">
      <c r="A19" s="1731" t="s">
        <v>1733</v>
      </c>
      <c r="B19" s="1731" t="s">
        <v>4226</v>
      </c>
      <c r="C19" s="1732"/>
    </row>
    <row r="20" spans="1:3">
      <c r="A20" s="1731" t="s">
        <v>1734</v>
      </c>
      <c r="B20" s="1731" t="s">
        <v>4227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3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1739" t="s">
        <v>832</v>
      </c>
      <c r="C54" s="1736" t="s">
        <v>1248</v>
      </c>
    </row>
    <row r="55" spans="1:4">
      <c r="A55" s="3324"/>
      <c r="B55" s="1739" t="s">
        <v>833</v>
      </c>
      <c r="C55" s="1736" t="s">
        <v>1249</v>
      </c>
    </row>
    <row r="56" spans="1:4">
      <c r="A56" s="3324"/>
      <c r="B56" s="1739" t="s">
        <v>834</v>
      </c>
      <c r="C56" s="1736" t="s">
        <v>1253</v>
      </c>
    </row>
    <row r="57" spans="1:4">
      <c r="A57" s="33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5" sqref="E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33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44548</v>
      </c>
      <c r="C3" s="2598" t="s">
        <v>2918</v>
      </c>
      <c r="D3" s="2597">
        <v>44548</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3927</v>
      </c>
      <c r="C8" s="2614"/>
      <c r="D8" s="3336" t="s">
        <v>2924</v>
      </c>
      <c r="E8" s="2615" t="s">
        <v>3928</v>
      </c>
      <c r="F8" s="2616"/>
      <c r="G8" s="2890"/>
      <c r="H8" s="2890"/>
      <c r="I8" s="2890"/>
      <c r="J8" s="2665"/>
      <c r="K8" s="2840"/>
      <c r="L8" s="2839"/>
      <c r="M8" s="2839"/>
      <c r="N8" s="2665"/>
      <c r="O8" s="2676"/>
      <c r="P8" s="2665"/>
      <c r="Q8" s="2665"/>
      <c r="R8" s="2665"/>
    </row>
    <row r="9" spans="1:28" ht="13.5" thickBot="1">
      <c r="A9" s="2617" t="s">
        <v>2925</v>
      </c>
      <c r="B9" s="2618" t="s">
        <v>3928</v>
      </c>
      <c r="C9" s="2619"/>
      <c r="D9" s="3337"/>
      <c r="E9" s="2618"/>
      <c r="F9" s="2620"/>
      <c r="G9" s="2892"/>
      <c r="H9" s="2892"/>
      <c r="I9" s="2892"/>
      <c r="J9" s="2665"/>
      <c r="K9" s="2842"/>
      <c r="L9" s="2839"/>
      <c r="M9" s="2839"/>
      <c r="N9" s="2665"/>
      <c r="O9" s="2676"/>
      <c r="P9" s="2665"/>
      <c r="Q9" s="2665"/>
      <c r="R9" s="2665"/>
    </row>
    <row r="10" spans="1:28" ht="13.5" thickTop="1">
      <c r="A10" s="2621" t="s">
        <v>2926</v>
      </c>
      <c r="B10" s="2622" t="s">
        <v>3929</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3930</v>
      </c>
      <c r="C11" s="2627"/>
      <c r="D11" s="2628"/>
      <c r="E11" s="2594"/>
      <c r="F11" s="2594"/>
      <c r="G11" s="2594"/>
      <c r="H11" s="2594"/>
      <c r="I11" s="2594"/>
      <c r="J11" s="2665"/>
      <c r="K11" s="2842"/>
      <c r="L11" s="2839"/>
      <c r="M11" s="2839"/>
      <c r="N11" s="2665"/>
      <c r="O11" s="2676"/>
      <c r="P11" s="2665"/>
      <c r="Q11" s="2665"/>
      <c r="R11" s="2665"/>
    </row>
    <row r="12" spans="1:28">
      <c r="A12" s="2629" t="s">
        <v>2929</v>
      </c>
      <c r="B12" s="2626" t="s">
        <v>3931</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56640</v>
      </c>
      <c r="F13" s="965"/>
      <c r="G13" s="965">
        <f>E13</f>
        <v>56640</v>
      </c>
      <c r="H13" s="965"/>
      <c r="I13" s="965"/>
      <c r="J13" s="2665"/>
      <c r="K13" s="2842"/>
      <c r="L13" s="2839"/>
      <c r="M13" s="2839"/>
      <c r="N13" s="2665"/>
      <c r="O13" s="2676"/>
      <c r="P13" s="2665"/>
      <c r="Q13" s="2665"/>
      <c r="R13" s="2665"/>
    </row>
    <row r="14" spans="1:28">
      <c r="A14" s="1241"/>
      <c r="B14" s="2631"/>
      <c r="C14" s="2632" t="s">
        <v>2938</v>
      </c>
      <c r="D14" s="2633"/>
      <c r="E14" s="2633">
        <v>40</v>
      </c>
      <c r="F14" s="2633"/>
      <c r="G14" s="2633">
        <v>40</v>
      </c>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33.119999999999997</v>
      </c>
      <c r="F15" s="2636" t="str">
        <f>IF(B12="出让",IF(F13="","",ROUNDDOWN(MIN((F13-$D$3)/365,F14),2)),F14)</f>
        <v/>
      </c>
      <c r="G15" s="2636">
        <f>IF(B12="出让",IF(G13="","",ROUNDDOWN(MIN((G13-$D$3)/365,G14),2)),G14)</f>
        <v>33.119999999999997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343"/>
      <c r="C16" s="3344"/>
      <c r="D16" s="3345"/>
      <c r="E16" s="2639" t="s">
        <v>2941</v>
      </c>
      <c r="F16" s="3346"/>
      <c r="G16" s="3347"/>
      <c r="H16" s="3347"/>
      <c r="I16" s="3348"/>
      <c r="J16" s="2665"/>
      <c r="K16" s="2844"/>
      <c r="L16" s="2677"/>
      <c r="M16" s="2677"/>
      <c r="N16" s="2735"/>
      <c r="O16" s="2677"/>
      <c r="P16" s="2735"/>
      <c r="Q16" s="2665"/>
      <c r="R16" s="2665"/>
    </row>
    <row r="17" spans="1:28">
      <c r="A17" s="319" t="s">
        <v>2942</v>
      </c>
      <c r="B17" s="308" t="s">
        <v>2943</v>
      </c>
      <c r="C17" s="11">
        <f>'数据-汇总表'!E3</f>
        <v>80197.850000000006</v>
      </c>
      <c r="D17" s="2545" t="s">
        <v>2944</v>
      </c>
      <c r="E17" s="3349" t="s">
        <v>2945</v>
      </c>
      <c r="F17" s="3350"/>
      <c r="G17" s="3350"/>
      <c r="H17" s="3350"/>
      <c r="I17" s="3351"/>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34634.379999999997</v>
      </c>
      <c r="D18" s="1252" t="s">
        <v>2948</v>
      </c>
      <c r="E18" s="3352" t="s">
        <v>2949</v>
      </c>
      <c r="F18" s="3353"/>
      <c r="G18" s="3353"/>
      <c r="H18" s="3353"/>
      <c r="I18" s="3354"/>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339" t="s">
        <v>2953</v>
      </c>
      <c r="C20" s="3340"/>
      <c r="D20" s="3341" t="s">
        <v>2954</v>
      </c>
      <c r="E20" s="3342"/>
      <c r="F20" s="2874" t="s">
        <v>1742</v>
      </c>
      <c r="G20" s="2891"/>
      <c r="H20" s="2891"/>
      <c r="I20" s="2891"/>
      <c r="J20" s="2665"/>
      <c r="K20" s="3338"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3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3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326" t="s">
        <v>2961</v>
      </c>
      <c r="B27" s="326" t="s">
        <v>2962</v>
      </c>
      <c r="C27" s="2642" t="s">
        <v>3932</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326"/>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326"/>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327"/>
      <c r="B30" s="308" t="s">
        <v>2965</v>
      </c>
      <c r="C30" s="3328"/>
      <c r="D30" s="3329"/>
      <c r="E30" s="2891"/>
      <c r="F30" s="2891"/>
      <c r="G30" s="2891"/>
      <c r="H30" s="2891"/>
      <c r="I30" s="2891"/>
      <c r="J30" s="2665"/>
      <c r="K30" s="2842"/>
      <c r="L30" s="2839"/>
      <c r="M30" s="2839"/>
      <c r="N30" s="2665"/>
      <c r="O30" s="2676"/>
      <c r="P30" s="2665"/>
      <c r="Q30" s="2665"/>
      <c r="R30" s="2665"/>
      <c r="S30" s="2665"/>
      <c r="T30" s="2665"/>
      <c r="U30" s="2665"/>
      <c r="V30" s="2665"/>
    </row>
    <row r="31" spans="1:28">
      <c r="A31" s="3330" t="s">
        <v>2966</v>
      </c>
      <c r="B31" s="2648" t="s">
        <v>3933</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33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33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325" t="s">
        <v>2975</v>
      </c>
      <c r="T34" s="2654" t="str">
        <f>NUMBERSTRING(7-K34,1)&amp;"通"</f>
        <v>七通</v>
      </c>
      <c r="U34" s="2665"/>
      <c r="V34" s="2665"/>
    </row>
    <row r="35" spans="1:30">
      <c r="A35" s="2655"/>
      <c r="B35" s="3332" t="s">
        <v>2976</v>
      </c>
      <c r="C35" s="3332"/>
      <c r="D35" s="3332"/>
      <c r="E35" s="333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5"/>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1"/>
  <sheetViews>
    <sheetView topLeftCell="A829" workbookViewId="0">
      <selection activeCell="B834" sqref="B834"/>
    </sheetView>
  </sheetViews>
  <sheetFormatPr defaultRowHeight="13.5"/>
  <cols>
    <col min="1" max="1" width="9" style="3064"/>
    <col min="2" max="2" width="46.75" style="3064" customWidth="1"/>
    <col min="3" max="3" width="14.125" style="3064" customWidth="1"/>
    <col min="4" max="4" width="17.625" style="3064" customWidth="1"/>
    <col min="5" max="5" width="16.75" style="3278" customWidth="1"/>
    <col min="6" max="7" width="9" style="3064"/>
    <col min="8" max="8" width="12.75" style="3064" bestFit="1" customWidth="1"/>
    <col min="9" max="11" width="9" style="3064"/>
    <col min="12" max="12" width="18.375" style="3064" bestFit="1" customWidth="1"/>
    <col min="13" max="16384" width="9" style="3064"/>
  </cols>
  <sheetData>
    <row r="1" spans="1:12">
      <c r="G1" s="3064" t="s">
        <v>3940</v>
      </c>
      <c r="H1" s="3064" t="s">
        <v>3941</v>
      </c>
      <c r="I1" s="3064" t="s">
        <v>3942</v>
      </c>
      <c r="J1" s="3064" t="s">
        <v>4223</v>
      </c>
      <c r="K1" s="3064" t="s">
        <v>4222</v>
      </c>
    </row>
    <row r="2" spans="1:12" ht="14.25">
      <c r="A2" s="3062" t="s">
        <v>3066</v>
      </c>
      <c r="B2" s="3063" t="s">
        <v>3067</v>
      </c>
      <c r="C2" s="3063" t="s">
        <v>3068</v>
      </c>
      <c r="D2" s="3063" t="s">
        <v>3069</v>
      </c>
      <c r="E2" s="3279" t="s">
        <v>3070</v>
      </c>
      <c r="G2" s="3064" t="s">
        <v>3939</v>
      </c>
      <c r="H2" s="3068">
        <f>SUM(E3:E72)</f>
        <v>11469.139999999998</v>
      </c>
      <c r="I2" s="3064" t="s">
        <v>3947</v>
      </c>
      <c r="J2" s="3064">
        <v>1</v>
      </c>
      <c r="K2" s="3064">
        <v>18000</v>
      </c>
      <c r="L2" s="3069">
        <f>K2*H2</f>
        <v>206444519.99999997</v>
      </c>
    </row>
    <row r="3" spans="1:12">
      <c r="A3" s="3063">
        <v>1</v>
      </c>
      <c r="B3" s="3063" t="s">
        <v>3071</v>
      </c>
      <c r="C3" s="3063" t="s">
        <v>3072</v>
      </c>
      <c r="D3" s="3063" t="s">
        <v>3073</v>
      </c>
      <c r="E3" s="3279">
        <v>189.86</v>
      </c>
      <c r="G3" s="3064" t="s">
        <v>3943</v>
      </c>
      <c r="H3" s="3068">
        <f>SUM(E73:E142)</f>
        <v>11439.470000000003</v>
      </c>
      <c r="I3" s="3064" t="s">
        <v>3947</v>
      </c>
      <c r="J3" s="3064">
        <v>0.7</v>
      </c>
      <c r="K3" s="3064">
        <f>ROUND(K2*J3,0)</f>
        <v>12600</v>
      </c>
      <c r="L3" s="3069">
        <f t="shared" ref="L3:L6" si="0">K3*H3</f>
        <v>144137322.00000003</v>
      </c>
    </row>
    <row r="4" spans="1:12">
      <c r="A4" s="3063">
        <v>2</v>
      </c>
      <c r="B4" s="3063" t="s">
        <v>3074</v>
      </c>
      <c r="C4" s="3063" t="s">
        <v>3072</v>
      </c>
      <c r="D4" s="3063" t="s">
        <v>3073</v>
      </c>
      <c r="E4" s="3279">
        <v>235.14</v>
      </c>
      <c r="G4" s="3064" t="s">
        <v>3944</v>
      </c>
      <c r="H4" s="3068">
        <f>SUM(E143:E210)</f>
        <v>10476.689999999995</v>
      </c>
      <c r="I4" s="3064" t="s">
        <v>3947</v>
      </c>
      <c r="J4" s="3064">
        <v>0.6</v>
      </c>
      <c r="K4" s="3064">
        <f>ROUND(K2*J4,0)</f>
        <v>10800</v>
      </c>
      <c r="L4" s="3069">
        <f t="shared" si="0"/>
        <v>113148251.99999994</v>
      </c>
    </row>
    <row r="5" spans="1:12">
      <c r="A5" s="3063">
        <v>3</v>
      </c>
      <c r="B5" s="3063" t="s">
        <v>3075</v>
      </c>
      <c r="C5" s="3063" t="s">
        <v>3072</v>
      </c>
      <c r="D5" s="3063" t="s">
        <v>3073</v>
      </c>
      <c r="E5" s="3279">
        <v>146.56</v>
      </c>
      <c r="G5" s="3064" t="s">
        <v>3945</v>
      </c>
      <c r="H5" s="3068">
        <f>SUM(E211:E244)</f>
        <v>10195.090000000002</v>
      </c>
      <c r="I5" s="3064" t="s">
        <v>3947</v>
      </c>
      <c r="J5" s="3064">
        <v>0.5</v>
      </c>
      <c r="K5" s="3064">
        <f>ROUND(K2*J5,0)</f>
        <v>9000</v>
      </c>
      <c r="L5" s="3069">
        <f t="shared" si="0"/>
        <v>91755810.000000015</v>
      </c>
    </row>
    <row r="6" spans="1:12">
      <c r="A6" s="3063">
        <v>4</v>
      </c>
      <c r="B6" s="3063" t="s">
        <v>3076</v>
      </c>
      <c r="C6" s="3063" t="s">
        <v>3072</v>
      </c>
      <c r="D6" s="3063" t="s">
        <v>3073</v>
      </c>
      <c r="E6" s="3279">
        <v>139.43</v>
      </c>
      <c r="G6" s="3064" t="s">
        <v>3946</v>
      </c>
      <c r="H6" s="3068">
        <f>SUM(E245:E304)</f>
        <v>14637.050000000001</v>
      </c>
      <c r="I6" s="3064" t="s">
        <v>3947</v>
      </c>
      <c r="J6" s="3270">
        <v>0.6</v>
      </c>
      <c r="K6" s="3064">
        <f>ROUND(K2*J6,0)</f>
        <v>10800</v>
      </c>
      <c r="L6" s="3069">
        <f t="shared" si="0"/>
        <v>158080140</v>
      </c>
    </row>
    <row r="7" spans="1:12">
      <c r="A7" s="3063">
        <v>5</v>
      </c>
      <c r="B7" s="3063" t="s">
        <v>3077</v>
      </c>
      <c r="C7" s="3063" t="s">
        <v>3072</v>
      </c>
      <c r="D7" s="3063" t="s">
        <v>3073</v>
      </c>
      <c r="E7" s="3279">
        <v>75.989999999999995</v>
      </c>
      <c r="G7" s="3064" t="s">
        <v>3951</v>
      </c>
      <c r="H7" s="3068">
        <f>SUM(H2:H6)</f>
        <v>58217.440000000002</v>
      </c>
      <c r="L7" s="3069"/>
    </row>
    <row r="8" spans="1:12">
      <c r="A8" s="3063">
        <v>6</v>
      </c>
      <c r="B8" s="3063" t="s">
        <v>3078</v>
      </c>
      <c r="C8" s="3063" t="s">
        <v>3072</v>
      </c>
      <c r="D8" s="3063" t="s">
        <v>3073</v>
      </c>
      <c r="E8" s="3279">
        <v>142.81</v>
      </c>
      <c r="G8" s="3064" t="s">
        <v>3950</v>
      </c>
      <c r="H8" s="3068">
        <f>E850</f>
        <v>21980.41</v>
      </c>
      <c r="I8" s="3064" t="s">
        <v>3949</v>
      </c>
      <c r="J8" s="3064">
        <v>0.2</v>
      </c>
      <c r="K8" s="3064">
        <f>ROUND(K2*J8,0)</f>
        <v>3600</v>
      </c>
      <c r="L8" s="3069">
        <f>K8*H8</f>
        <v>79129476</v>
      </c>
    </row>
    <row r="9" spans="1:12">
      <c r="A9" s="3063">
        <v>7</v>
      </c>
      <c r="B9" s="3063" t="s">
        <v>3079</v>
      </c>
      <c r="C9" s="3063" t="s">
        <v>3072</v>
      </c>
      <c r="D9" s="3063" t="s">
        <v>3073</v>
      </c>
      <c r="E9" s="3279">
        <v>122.08</v>
      </c>
      <c r="G9" s="3064" t="s">
        <v>3948</v>
      </c>
      <c r="H9" s="3069">
        <f>H8+H7</f>
        <v>80197.850000000006</v>
      </c>
      <c r="K9" s="3064">
        <f>ROUND(L9/H9,0)</f>
        <v>9884</v>
      </c>
      <c r="L9" s="3069">
        <f>SUM(L2:L8)</f>
        <v>792695520</v>
      </c>
    </row>
    <row r="10" spans="1:12">
      <c r="A10" s="3063">
        <v>8</v>
      </c>
      <c r="B10" s="3063" t="s">
        <v>3080</v>
      </c>
      <c r="C10" s="3063" t="s">
        <v>3072</v>
      </c>
      <c r="D10" s="3063" t="s">
        <v>3073</v>
      </c>
      <c r="E10" s="3279">
        <v>122.08</v>
      </c>
    </row>
    <row r="11" spans="1:12">
      <c r="A11" s="3063">
        <v>9</v>
      </c>
      <c r="B11" s="3063" t="s">
        <v>3081</v>
      </c>
      <c r="C11" s="3063" t="s">
        <v>3072</v>
      </c>
      <c r="D11" s="3063" t="s">
        <v>3073</v>
      </c>
      <c r="E11" s="3279">
        <v>125.02</v>
      </c>
    </row>
    <row r="12" spans="1:12">
      <c r="A12" s="3063">
        <v>10</v>
      </c>
      <c r="B12" s="3063" t="s">
        <v>3082</v>
      </c>
      <c r="C12" s="3063" t="s">
        <v>3072</v>
      </c>
      <c r="D12" s="3063" t="s">
        <v>3073</v>
      </c>
      <c r="E12" s="3279">
        <v>122.08</v>
      </c>
    </row>
    <row r="13" spans="1:12">
      <c r="A13" s="3063">
        <v>11</v>
      </c>
      <c r="B13" s="3063" t="s">
        <v>3083</v>
      </c>
      <c r="C13" s="3063" t="s">
        <v>3072</v>
      </c>
      <c r="D13" s="3063" t="s">
        <v>3073</v>
      </c>
      <c r="E13" s="3279">
        <v>74.3</v>
      </c>
    </row>
    <row r="14" spans="1:12">
      <c r="A14" s="3063">
        <v>12</v>
      </c>
      <c r="B14" s="3063" t="s">
        <v>3084</v>
      </c>
      <c r="C14" s="3063" t="s">
        <v>3072</v>
      </c>
      <c r="D14" s="3063" t="s">
        <v>3073</v>
      </c>
      <c r="E14" s="3279">
        <v>83.18</v>
      </c>
    </row>
    <row r="15" spans="1:12">
      <c r="A15" s="3063">
        <v>13</v>
      </c>
      <c r="B15" s="3063" t="s">
        <v>3085</v>
      </c>
      <c r="C15" s="3063" t="s">
        <v>3072</v>
      </c>
      <c r="D15" s="3063" t="s">
        <v>3073</v>
      </c>
      <c r="E15" s="3279">
        <v>83.18</v>
      </c>
    </row>
    <row r="16" spans="1:12">
      <c r="A16" s="3063">
        <v>14</v>
      </c>
      <c r="B16" s="3063" t="s">
        <v>3086</v>
      </c>
      <c r="C16" s="3063" t="s">
        <v>3072</v>
      </c>
      <c r="D16" s="3063" t="s">
        <v>3073</v>
      </c>
      <c r="E16" s="3279">
        <v>122.08</v>
      </c>
    </row>
    <row r="17" spans="1:5">
      <c r="A17" s="3063">
        <v>15</v>
      </c>
      <c r="B17" s="3063" t="s">
        <v>3087</v>
      </c>
      <c r="C17" s="3063" t="s">
        <v>3072</v>
      </c>
      <c r="D17" s="3063" t="s">
        <v>3073</v>
      </c>
      <c r="E17" s="3279">
        <v>125.02</v>
      </c>
    </row>
    <row r="18" spans="1:5">
      <c r="A18" s="3063">
        <v>16</v>
      </c>
      <c r="B18" s="3063" t="s">
        <v>3088</v>
      </c>
      <c r="C18" s="3063" t="s">
        <v>3072</v>
      </c>
      <c r="D18" s="3063" t="s">
        <v>3073</v>
      </c>
      <c r="E18" s="3279">
        <v>122.08</v>
      </c>
    </row>
    <row r="19" spans="1:5">
      <c r="A19" s="3063">
        <v>17</v>
      </c>
      <c r="B19" s="3063" t="s">
        <v>3089</v>
      </c>
      <c r="C19" s="3063" t="s">
        <v>3072</v>
      </c>
      <c r="D19" s="3063" t="s">
        <v>3073</v>
      </c>
      <c r="E19" s="3279">
        <v>125.02</v>
      </c>
    </row>
    <row r="20" spans="1:5">
      <c r="A20" s="3063">
        <v>18</v>
      </c>
      <c r="B20" s="3063" t="s">
        <v>3090</v>
      </c>
      <c r="C20" s="3063" t="s">
        <v>3072</v>
      </c>
      <c r="D20" s="3063" t="s">
        <v>3073</v>
      </c>
      <c r="E20" s="3279">
        <v>122.08</v>
      </c>
    </row>
    <row r="21" spans="1:5">
      <c r="A21" s="3063">
        <v>19</v>
      </c>
      <c r="B21" s="3063" t="s">
        <v>3091</v>
      </c>
      <c r="C21" s="3063" t="s">
        <v>3072</v>
      </c>
      <c r="D21" s="3063" t="s">
        <v>3073</v>
      </c>
      <c r="E21" s="3279">
        <v>125.02</v>
      </c>
    </row>
    <row r="22" spans="1:5">
      <c r="A22" s="3063">
        <v>20</v>
      </c>
      <c r="B22" s="3063" t="s">
        <v>3092</v>
      </c>
      <c r="C22" s="3063" t="s">
        <v>3072</v>
      </c>
      <c r="D22" s="3063" t="s">
        <v>3073</v>
      </c>
      <c r="E22" s="3279">
        <v>122.08</v>
      </c>
    </row>
    <row r="23" spans="1:5">
      <c r="A23" s="3063">
        <v>21</v>
      </c>
      <c r="B23" s="3063" t="s">
        <v>3093</v>
      </c>
      <c r="C23" s="3063" t="s">
        <v>3072</v>
      </c>
      <c r="D23" s="3063" t="s">
        <v>3073</v>
      </c>
      <c r="E23" s="3279">
        <v>125.02</v>
      </c>
    </row>
    <row r="24" spans="1:5">
      <c r="A24" s="3063">
        <v>22</v>
      </c>
      <c r="B24" s="3063" t="s">
        <v>3094</v>
      </c>
      <c r="C24" s="3063" t="s">
        <v>3072</v>
      </c>
      <c r="D24" s="3063" t="s">
        <v>3073</v>
      </c>
      <c r="E24" s="3279">
        <v>125.02</v>
      </c>
    </row>
    <row r="25" spans="1:5">
      <c r="A25" s="3063">
        <v>23</v>
      </c>
      <c r="B25" s="3063" t="s">
        <v>3095</v>
      </c>
      <c r="C25" s="3063" t="s">
        <v>3072</v>
      </c>
      <c r="D25" s="3063" t="s">
        <v>3073</v>
      </c>
      <c r="E25" s="3279">
        <v>122.08</v>
      </c>
    </row>
    <row r="26" spans="1:5">
      <c r="A26" s="3063">
        <v>24</v>
      </c>
      <c r="B26" s="3063" t="s">
        <v>3096</v>
      </c>
      <c r="C26" s="3063" t="s">
        <v>3072</v>
      </c>
      <c r="D26" s="3063" t="s">
        <v>3073</v>
      </c>
      <c r="E26" s="3279">
        <v>122.08</v>
      </c>
    </row>
    <row r="27" spans="1:5">
      <c r="A27" s="3063">
        <v>25</v>
      </c>
      <c r="B27" s="3063" t="s">
        <v>3097</v>
      </c>
      <c r="C27" s="3063" t="s">
        <v>3072</v>
      </c>
      <c r="D27" s="3063" t="s">
        <v>3073</v>
      </c>
      <c r="E27" s="3279">
        <v>125.02</v>
      </c>
    </row>
    <row r="28" spans="1:5">
      <c r="A28" s="3063">
        <v>26</v>
      </c>
      <c r="B28" s="3063" t="s">
        <v>3098</v>
      </c>
      <c r="C28" s="3063" t="s">
        <v>3072</v>
      </c>
      <c r="D28" s="3063" t="s">
        <v>3073</v>
      </c>
      <c r="E28" s="3279">
        <v>122.08</v>
      </c>
    </row>
    <row r="29" spans="1:5">
      <c r="A29" s="3063">
        <v>27</v>
      </c>
      <c r="B29" s="3063" t="s">
        <v>3099</v>
      </c>
      <c r="C29" s="3063" t="s">
        <v>3072</v>
      </c>
      <c r="D29" s="3063" t="s">
        <v>3073</v>
      </c>
      <c r="E29" s="3279">
        <v>134.75</v>
      </c>
    </row>
    <row r="30" spans="1:5">
      <c r="A30" s="3063">
        <v>28</v>
      </c>
      <c r="B30" s="3063" t="s">
        <v>3100</v>
      </c>
      <c r="C30" s="3063" t="s">
        <v>3072</v>
      </c>
      <c r="D30" s="3063" t="s">
        <v>3073</v>
      </c>
      <c r="E30" s="3279">
        <v>87.68</v>
      </c>
    </row>
    <row r="31" spans="1:5">
      <c r="A31" s="3063">
        <v>29</v>
      </c>
      <c r="B31" s="3063" t="s">
        <v>3101</v>
      </c>
      <c r="C31" s="3063" t="s">
        <v>3072</v>
      </c>
      <c r="D31" s="3063" t="s">
        <v>3073</v>
      </c>
      <c r="E31" s="3279">
        <v>87.68</v>
      </c>
    </row>
    <row r="32" spans="1:5">
      <c r="A32" s="3063">
        <v>30</v>
      </c>
      <c r="B32" s="3063" t="s">
        <v>3102</v>
      </c>
      <c r="C32" s="3063" t="s">
        <v>3072</v>
      </c>
      <c r="D32" s="3063" t="s">
        <v>3073</v>
      </c>
      <c r="E32" s="3279">
        <v>87.68</v>
      </c>
    </row>
    <row r="33" spans="1:5">
      <c r="A33" s="3063">
        <v>31</v>
      </c>
      <c r="B33" s="3063" t="s">
        <v>3103</v>
      </c>
      <c r="C33" s="3063" t="s">
        <v>3072</v>
      </c>
      <c r="D33" s="3063" t="s">
        <v>3073</v>
      </c>
      <c r="E33" s="3279">
        <v>87.68</v>
      </c>
    </row>
    <row r="34" spans="1:5">
      <c r="A34" s="3063">
        <v>32</v>
      </c>
      <c r="B34" s="3063" t="s">
        <v>3104</v>
      </c>
      <c r="C34" s="3063" t="s">
        <v>3072</v>
      </c>
      <c r="D34" s="3063" t="s">
        <v>3073</v>
      </c>
      <c r="E34" s="3279">
        <v>87.68</v>
      </c>
    </row>
    <row r="35" spans="1:5">
      <c r="A35" s="3063">
        <v>33</v>
      </c>
      <c r="B35" s="3063" t="s">
        <v>3105</v>
      </c>
      <c r="C35" s="3063" t="s">
        <v>3072</v>
      </c>
      <c r="D35" s="3063" t="s">
        <v>3073</v>
      </c>
      <c r="E35" s="3279">
        <v>307.69</v>
      </c>
    </row>
    <row r="36" spans="1:5">
      <c r="A36" s="3063">
        <v>34</v>
      </c>
      <c r="B36" s="3063" t="s">
        <v>3106</v>
      </c>
      <c r="C36" s="3063" t="s">
        <v>3072</v>
      </c>
      <c r="D36" s="3063" t="s">
        <v>3073</v>
      </c>
      <c r="E36" s="3279">
        <v>133.04</v>
      </c>
    </row>
    <row r="37" spans="1:5">
      <c r="A37" s="3063">
        <v>35</v>
      </c>
      <c r="B37" s="3063" t="s">
        <v>3107</v>
      </c>
      <c r="C37" s="3063" t="s">
        <v>3072</v>
      </c>
      <c r="D37" s="3063" t="s">
        <v>3073</v>
      </c>
      <c r="E37" s="3279">
        <v>124.05</v>
      </c>
    </row>
    <row r="38" spans="1:5">
      <c r="A38" s="3063">
        <v>36</v>
      </c>
      <c r="B38" s="3063" t="s">
        <v>3108</v>
      </c>
      <c r="C38" s="3063" t="s">
        <v>3072</v>
      </c>
      <c r="D38" s="3063" t="s">
        <v>3073</v>
      </c>
      <c r="E38" s="3279">
        <v>124.05</v>
      </c>
    </row>
    <row r="39" spans="1:5">
      <c r="A39" s="3063">
        <v>37</v>
      </c>
      <c r="B39" s="3063" t="s">
        <v>3109</v>
      </c>
      <c r="C39" s="3063" t="s">
        <v>3072</v>
      </c>
      <c r="D39" s="3063" t="s">
        <v>3073</v>
      </c>
      <c r="E39" s="3279">
        <v>127.04</v>
      </c>
    </row>
    <row r="40" spans="1:5">
      <c r="A40" s="3063">
        <v>38</v>
      </c>
      <c r="B40" s="3063" t="s">
        <v>3110</v>
      </c>
      <c r="C40" s="3063" t="s">
        <v>3072</v>
      </c>
      <c r="D40" s="3063" t="s">
        <v>3073</v>
      </c>
      <c r="E40" s="3279">
        <v>122.98</v>
      </c>
    </row>
    <row r="41" spans="1:5">
      <c r="A41" s="3063">
        <v>39</v>
      </c>
      <c r="B41" s="3063" t="s">
        <v>3111</v>
      </c>
      <c r="C41" s="3063" t="s">
        <v>3072</v>
      </c>
      <c r="D41" s="3063" t="s">
        <v>3073</v>
      </c>
      <c r="E41" s="3279">
        <v>87.44</v>
      </c>
    </row>
    <row r="42" spans="1:5">
      <c r="A42" s="3063">
        <v>40</v>
      </c>
      <c r="B42" s="3063" t="s">
        <v>3112</v>
      </c>
      <c r="C42" s="3063" t="s">
        <v>3072</v>
      </c>
      <c r="D42" s="3063" t="s">
        <v>3073</v>
      </c>
      <c r="E42" s="3279">
        <v>362.7</v>
      </c>
    </row>
    <row r="43" spans="1:5">
      <c r="A43" s="3063">
        <v>41</v>
      </c>
      <c r="B43" s="3063" t="s">
        <v>3113</v>
      </c>
      <c r="C43" s="3063" t="s">
        <v>3072</v>
      </c>
      <c r="D43" s="3063" t="s">
        <v>3073</v>
      </c>
      <c r="E43" s="3279">
        <v>192.59</v>
      </c>
    </row>
    <row r="44" spans="1:5">
      <c r="A44" s="3063">
        <v>42</v>
      </c>
      <c r="B44" s="3063" t="s">
        <v>3114</v>
      </c>
      <c r="C44" s="3063" t="s">
        <v>3072</v>
      </c>
      <c r="D44" s="3063" t="s">
        <v>3073</v>
      </c>
      <c r="E44" s="3279">
        <v>193.3</v>
      </c>
    </row>
    <row r="45" spans="1:5">
      <c r="A45" s="3063">
        <v>43</v>
      </c>
      <c r="B45" s="3063" t="s">
        <v>3115</v>
      </c>
      <c r="C45" s="3063" t="s">
        <v>3072</v>
      </c>
      <c r="D45" s="3063" t="s">
        <v>3073</v>
      </c>
      <c r="E45" s="3279">
        <v>352.62</v>
      </c>
    </row>
    <row r="46" spans="1:5">
      <c r="A46" s="3063">
        <v>44</v>
      </c>
      <c r="B46" s="3063" t="s">
        <v>3116</v>
      </c>
      <c r="C46" s="3063" t="s">
        <v>3072</v>
      </c>
      <c r="D46" s="3063" t="s">
        <v>3073</v>
      </c>
      <c r="E46" s="3279">
        <v>34.64</v>
      </c>
    </row>
    <row r="47" spans="1:5">
      <c r="A47" s="3063">
        <v>45</v>
      </c>
      <c r="B47" s="3063" t="s">
        <v>3117</v>
      </c>
      <c r="C47" s="3063" t="s">
        <v>3072</v>
      </c>
      <c r="D47" s="3063" t="s">
        <v>3073</v>
      </c>
      <c r="E47" s="3279">
        <v>32.35</v>
      </c>
    </row>
    <row r="48" spans="1:5">
      <c r="A48" s="3063">
        <v>46</v>
      </c>
      <c r="B48" s="3063" t="s">
        <v>3118</v>
      </c>
      <c r="C48" s="3063" t="s">
        <v>3072</v>
      </c>
      <c r="D48" s="3063" t="s">
        <v>3073</v>
      </c>
      <c r="E48" s="3279">
        <v>147.88999999999999</v>
      </c>
    </row>
    <row r="49" spans="1:5">
      <c r="A49" s="3063">
        <v>47</v>
      </c>
      <c r="B49" s="3063" t="s">
        <v>3119</v>
      </c>
      <c r="C49" s="3063" t="s">
        <v>3072</v>
      </c>
      <c r="D49" s="3063" t="s">
        <v>3073</v>
      </c>
      <c r="E49" s="3279">
        <v>171.38</v>
      </c>
    </row>
    <row r="50" spans="1:5">
      <c r="A50" s="3063">
        <v>48</v>
      </c>
      <c r="B50" s="3063" t="s">
        <v>3120</v>
      </c>
      <c r="C50" s="3063" t="s">
        <v>3072</v>
      </c>
      <c r="D50" s="3063" t="s">
        <v>3073</v>
      </c>
      <c r="E50" s="3279">
        <v>156.94999999999999</v>
      </c>
    </row>
    <row r="51" spans="1:5">
      <c r="A51" s="3063">
        <v>49</v>
      </c>
      <c r="B51" s="3063" t="s">
        <v>3121</v>
      </c>
      <c r="C51" s="3063" t="s">
        <v>3072</v>
      </c>
      <c r="D51" s="3063" t="s">
        <v>3073</v>
      </c>
      <c r="E51" s="3279">
        <v>165.4</v>
      </c>
    </row>
    <row r="52" spans="1:5">
      <c r="A52" s="3063">
        <v>50</v>
      </c>
      <c r="B52" s="3063" t="s">
        <v>3122</v>
      </c>
      <c r="C52" s="3063" t="s">
        <v>3072</v>
      </c>
      <c r="D52" s="3063" t="s">
        <v>3073</v>
      </c>
      <c r="E52" s="3279">
        <v>165.4</v>
      </c>
    </row>
    <row r="53" spans="1:5">
      <c r="A53" s="3063">
        <v>51</v>
      </c>
      <c r="B53" s="3063" t="s">
        <v>3123</v>
      </c>
      <c r="C53" s="3063" t="s">
        <v>3072</v>
      </c>
      <c r="D53" s="3063" t="s">
        <v>3073</v>
      </c>
      <c r="E53" s="3279">
        <v>153.19999999999999</v>
      </c>
    </row>
    <row r="54" spans="1:5">
      <c r="A54" s="3063">
        <v>52</v>
      </c>
      <c r="B54" s="3063" t="s">
        <v>3124</v>
      </c>
      <c r="C54" s="3063" t="s">
        <v>3072</v>
      </c>
      <c r="D54" s="3063" t="s">
        <v>3073</v>
      </c>
      <c r="E54" s="3279">
        <v>91.67</v>
      </c>
    </row>
    <row r="55" spans="1:5">
      <c r="A55" s="3063">
        <v>53</v>
      </c>
      <c r="B55" s="3063" t="s">
        <v>3125</v>
      </c>
      <c r="C55" s="3063" t="s">
        <v>3072</v>
      </c>
      <c r="D55" s="3063" t="s">
        <v>3073</v>
      </c>
      <c r="E55" s="3279">
        <v>31.62</v>
      </c>
    </row>
    <row r="56" spans="1:5">
      <c r="A56" s="3063">
        <v>54</v>
      </c>
      <c r="B56" s="3063" t="s">
        <v>3126</v>
      </c>
      <c r="C56" s="3063" t="s">
        <v>3072</v>
      </c>
      <c r="D56" s="3063" t="s">
        <v>3073</v>
      </c>
      <c r="E56" s="3279">
        <v>51.57</v>
      </c>
    </row>
    <row r="57" spans="1:5">
      <c r="A57" s="3063">
        <v>55</v>
      </c>
      <c r="B57" s="3063" t="s">
        <v>3127</v>
      </c>
      <c r="C57" s="3063" t="s">
        <v>3072</v>
      </c>
      <c r="D57" s="3063" t="s">
        <v>3073</v>
      </c>
      <c r="E57" s="3279">
        <v>49.96</v>
      </c>
    </row>
    <row r="58" spans="1:5">
      <c r="A58" s="3063">
        <v>56</v>
      </c>
      <c r="B58" s="3063" t="s">
        <v>3128</v>
      </c>
      <c r="C58" s="3063" t="s">
        <v>3072</v>
      </c>
      <c r="D58" s="3063" t="s">
        <v>3073</v>
      </c>
      <c r="E58" s="3279">
        <v>46.12</v>
      </c>
    </row>
    <row r="59" spans="1:5">
      <c r="A59" s="3063">
        <v>57</v>
      </c>
      <c r="B59" s="3063" t="s">
        <v>3129</v>
      </c>
      <c r="C59" s="3063" t="s">
        <v>3072</v>
      </c>
      <c r="D59" s="3063" t="s">
        <v>3073</v>
      </c>
      <c r="E59" s="3279">
        <v>41.32</v>
      </c>
    </row>
    <row r="60" spans="1:5">
      <c r="A60" s="3063">
        <v>58</v>
      </c>
      <c r="B60" s="3063" t="s">
        <v>3130</v>
      </c>
      <c r="C60" s="3063" t="s">
        <v>3072</v>
      </c>
      <c r="D60" s="3063" t="s">
        <v>3073</v>
      </c>
      <c r="E60" s="3279">
        <v>86.35</v>
      </c>
    </row>
    <row r="61" spans="1:5">
      <c r="A61" s="3063">
        <v>59</v>
      </c>
      <c r="B61" s="3063" t="s">
        <v>3131</v>
      </c>
      <c r="C61" s="3063" t="s">
        <v>3072</v>
      </c>
      <c r="D61" s="3063" t="s">
        <v>3073</v>
      </c>
      <c r="E61" s="3279">
        <v>86.54</v>
      </c>
    </row>
    <row r="62" spans="1:5">
      <c r="A62" s="3063">
        <v>60</v>
      </c>
      <c r="B62" s="3063" t="s">
        <v>3132</v>
      </c>
      <c r="C62" s="3063" t="s">
        <v>3072</v>
      </c>
      <c r="D62" s="3063" t="s">
        <v>3073</v>
      </c>
      <c r="E62" s="3279">
        <v>143.07</v>
      </c>
    </row>
    <row r="63" spans="1:5">
      <c r="A63" s="3063">
        <v>61</v>
      </c>
      <c r="B63" s="3063" t="s">
        <v>3133</v>
      </c>
      <c r="C63" s="3063" t="s">
        <v>3072</v>
      </c>
      <c r="D63" s="3063" t="s">
        <v>3073</v>
      </c>
      <c r="E63" s="3279">
        <v>83.44</v>
      </c>
    </row>
    <row r="64" spans="1:5">
      <c r="A64" s="3063">
        <v>62</v>
      </c>
      <c r="B64" s="3063" t="s">
        <v>3134</v>
      </c>
      <c r="C64" s="3063" t="s">
        <v>3072</v>
      </c>
      <c r="D64" s="3063" t="s">
        <v>3073</v>
      </c>
      <c r="E64" s="3279">
        <v>86.09</v>
      </c>
    </row>
    <row r="65" spans="1:5">
      <c r="A65" s="3063">
        <v>63</v>
      </c>
      <c r="B65" s="3063" t="s">
        <v>3135</v>
      </c>
      <c r="C65" s="3063" t="s">
        <v>3072</v>
      </c>
      <c r="D65" s="3063" t="s">
        <v>3073</v>
      </c>
      <c r="E65" s="3279">
        <v>82.51</v>
      </c>
    </row>
    <row r="66" spans="1:5">
      <c r="A66" s="3063">
        <v>64</v>
      </c>
      <c r="B66" s="3063" t="s">
        <v>3136</v>
      </c>
      <c r="C66" s="3063" t="s">
        <v>3072</v>
      </c>
      <c r="D66" s="3063" t="s">
        <v>3073</v>
      </c>
      <c r="E66" s="3279">
        <v>86.35</v>
      </c>
    </row>
    <row r="67" spans="1:5">
      <c r="A67" s="3063">
        <v>65</v>
      </c>
      <c r="B67" s="3063" t="s">
        <v>3137</v>
      </c>
      <c r="C67" s="3063" t="s">
        <v>3072</v>
      </c>
      <c r="D67" s="3063" t="s">
        <v>3073</v>
      </c>
      <c r="E67" s="3279">
        <v>86.35</v>
      </c>
    </row>
    <row r="68" spans="1:5">
      <c r="A68" s="3063">
        <v>66</v>
      </c>
      <c r="B68" s="3063" t="s">
        <v>3138</v>
      </c>
      <c r="C68" s="3063" t="s">
        <v>3072</v>
      </c>
      <c r="D68" s="3063" t="s">
        <v>3073</v>
      </c>
      <c r="E68" s="3279">
        <v>83.57</v>
      </c>
    </row>
    <row r="69" spans="1:5">
      <c r="A69" s="3063">
        <v>67</v>
      </c>
      <c r="B69" s="3063" t="s">
        <v>3139</v>
      </c>
      <c r="C69" s="3063" t="s">
        <v>3072</v>
      </c>
      <c r="D69" s="3063" t="s">
        <v>3073</v>
      </c>
      <c r="E69" s="3279">
        <v>83.56</v>
      </c>
    </row>
    <row r="70" spans="1:5">
      <c r="A70" s="3063">
        <v>68</v>
      </c>
      <c r="B70" s="3063" t="s">
        <v>3140</v>
      </c>
      <c r="C70" s="3063" t="s">
        <v>3072</v>
      </c>
      <c r="D70" s="3063" t="s">
        <v>3073</v>
      </c>
      <c r="E70" s="3279">
        <v>86.71</v>
      </c>
    </row>
    <row r="71" spans="1:5">
      <c r="A71" s="3063">
        <v>69</v>
      </c>
      <c r="B71" s="3063" t="s">
        <v>3141</v>
      </c>
      <c r="C71" s="3063" t="s">
        <v>3072</v>
      </c>
      <c r="D71" s="3063" t="s">
        <v>3073</v>
      </c>
      <c r="E71" s="3279">
        <v>3117.35</v>
      </c>
    </row>
    <row r="72" spans="1:5">
      <c r="A72" s="3063">
        <v>70</v>
      </c>
      <c r="B72" s="3063" t="s">
        <v>3142</v>
      </c>
      <c r="C72" s="3063" t="s">
        <v>3072</v>
      </c>
      <c r="D72" s="3063" t="s">
        <v>3073</v>
      </c>
      <c r="E72" s="3279">
        <v>50.74</v>
      </c>
    </row>
    <row r="73" spans="1:5">
      <c r="A73" s="3063">
        <v>71</v>
      </c>
      <c r="B73" s="3063" t="s">
        <v>3143</v>
      </c>
      <c r="C73" s="3063" t="s">
        <v>3144</v>
      </c>
      <c r="D73" s="3063" t="s">
        <v>3073</v>
      </c>
      <c r="E73" s="3279">
        <v>841.1</v>
      </c>
    </row>
    <row r="74" spans="1:5">
      <c r="A74" s="3063">
        <v>72</v>
      </c>
      <c r="B74" s="3063" t="s">
        <v>3145</v>
      </c>
      <c r="C74" s="3063" t="s">
        <v>3144</v>
      </c>
      <c r="D74" s="3063" t="s">
        <v>3073</v>
      </c>
      <c r="E74" s="3279">
        <v>2741.93</v>
      </c>
    </row>
    <row r="75" spans="1:5">
      <c r="A75" s="3063">
        <v>73</v>
      </c>
      <c r="B75" s="3063" t="s">
        <v>3146</v>
      </c>
      <c r="C75" s="3063" t="s">
        <v>3144</v>
      </c>
      <c r="D75" s="3063" t="s">
        <v>3073</v>
      </c>
      <c r="E75" s="3279">
        <v>117.13</v>
      </c>
    </row>
    <row r="76" spans="1:5">
      <c r="A76" s="3063">
        <v>74</v>
      </c>
      <c r="B76" s="3063" t="s">
        <v>3147</v>
      </c>
      <c r="C76" s="3063" t="s">
        <v>3144</v>
      </c>
      <c r="D76" s="3063" t="s">
        <v>3073</v>
      </c>
      <c r="E76" s="3279">
        <v>100.13</v>
      </c>
    </row>
    <row r="77" spans="1:5">
      <c r="A77" s="3063">
        <v>75</v>
      </c>
      <c r="B77" s="3063" t="s">
        <v>3148</v>
      </c>
      <c r="C77" s="3063" t="s">
        <v>3144</v>
      </c>
      <c r="D77" s="3063" t="s">
        <v>3073</v>
      </c>
      <c r="E77" s="3279">
        <v>100.13</v>
      </c>
    </row>
    <row r="78" spans="1:5">
      <c r="A78" s="3063">
        <v>76</v>
      </c>
      <c r="B78" s="3063" t="s">
        <v>3149</v>
      </c>
      <c r="C78" s="3063" t="s">
        <v>3144</v>
      </c>
      <c r="D78" s="3063" t="s">
        <v>3073</v>
      </c>
      <c r="E78" s="3279">
        <v>117.89</v>
      </c>
    </row>
    <row r="79" spans="1:5">
      <c r="A79" s="3063">
        <v>77</v>
      </c>
      <c r="B79" s="3063" t="s">
        <v>3150</v>
      </c>
      <c r="C79" s="3063" t="s">
        <v>3144</v>
      </c>
      <c r="D79" s="3063" t="s">
        <v>3073</v>
      </c>
      <c r="E79" s="3279">
        <v>120.73</v>
      </c>
    </row>
    <row r="80" spans="1:5">
      <c r="A80" s="3063">
        <v>78</v>
      </c>
      <c r="B80" s="3063" t="s">
        <v>3151</v>
      </c>
      <c r="C80" s="3063" t="s">
        <v>3144</v>
      </c>
      <c r="D80" s="3063" t="s">
        <v>3073</v>
      </c>
      <c r="E80" s="3279">
        <v>117.89</v>
      </c>
    </row>
    <row r="81" spans="1:5">
      <c r="A81" s="3063">
        <v>79</v>
      </c>
      <c r="B81" s="3063" t="s">
        <v>3152</v>
      </c>
      <c r="C81" s="3063" t="s">
        <v>3144</v>
      </c>
      <c r="D81" s="3063" t="s">
        <v>3073</v>
      </c>
      <c r="E81" s="3279">
        <v>120.73</v>
      </c>
    </row>
    <row r="82" spans="1:5">
      <c r="A82" s="3063">
        <v>80</v>
      </c>
      <c r="B82" s="3063" t="s">
        <v>3153</v>
      </c>
      <c r="C82" s="3063" t="s">
        <v>3144</v>
      </c>
      <c r="D82" s="3063" t="s">
        <v>3073</v>
      </c>
      <c r="E82" s="3279">
        <v>117.89</v>
      </c>
    </row>
    <row r="83" spans="1:5">
      <c r="A83" s="3063">
        <v>81</v>
      </c>
      <c r="B83" s="3063" t="s">
        <v>3154</v>
      </c>
      <c r="C83" s="3063" t="s">
        <v>3144</v>
      </c>
      <c r="D83" s="3063" t="s">
        <v>3073</v>
      </c>
      <c r="E83" s="3279">
        <v>120.73</v>
      </c>
    </row>
    <row r="84" spans="1:5">
      <c r="A84" s="3063">
        <v>82</v>
      </c>
      <c r="B84" s="3063" t="s">
        <v>3155</v>
      </c>
      <c r="C84" s="3063" t="s">
        <v>3144</v>
      </c>
      <c r="D84" s="3063" t="s">
        <v>3073</v>
      </c>
      <c r="E84" s="3279">
        <v>117.89</v>
      </c>
    </row>
    <row r="85" spans="1:5">
      <c r="A85" s="3063">
        <v>83</v>
      </c>
      <c r="B85" s="3063" t="s">
        <v>3156</v>
      </c>
      <c r="C85" s="3063" t="s">
        <v>3144</v>
      </c>
      <c r="D85" s="3063" t="s">
        <v>3073</v>
      </c>
      <c r="E85" s="3279">
        <v>120.73</v>
      </c>
    </row>
    <row r="86" spans="1:5">
      <c r="A86" s="3063">
        <v>84</v>
      </c>
      <c r="B86" s="3063" t="s">
        <v>3157</v>
      </c>
      <c r="C86" s="3063" t="s">
        <v>3144</v>
      </c>
      <c r="D86" s="3063" t="s">
        <v>3073</v>
      </c>
      <c r="E86" s="3279">
        <v>120.73</v>
      </c>
    </row>
    <row r="87" spans="1:5">
      <c r="A87" s="3063">
        <v>85</v>
      </c>
      <c r="B87" s="3063" t="s">
        <v>3158</v>
      </c>
      <c r="C87" s="3063" t="s">
        <v>3144</v>
      </c>
      <c r="D87" s="3063" t="s">
        <v>3073</v>
      </c>
      <c r="E87" s="3279">
        <v>117.89</v>
      </c>
    </row>
    <row r="88" spans="1:5">
      <c r="A88" s="3063">
        <v>86</v>
      </c>
      <c r="B88" s="3063" t="s">
        <v>3159</v>
      </c>
      <c r="C88" s="3063" t="s">
        <v>3144</v>
      </c>
      <c r="D88" s="3063" t="s">
        <v>3073</v>
      </c>
      <c r="E88" s="3279">
        <v>117.89</v>
      </c>
    </row>
    <row r="89" spans="1:5">
      <c r="A89" s="3063">
        <v>87</v>
      </c>
      <c r="B89" s="3063" t="s">
        <v>3160</v>
      </c>
      <c r="C89" s="3063" t="s">
        <v>3144</v>
      </c>
      <c r="D89" s="3063" t="s">
        <v>3073</v>
      </c>
      <c r="E89" s="3279">
        <v>120.73</v>
      </c>
    </row>
    <row r="90" spans="1:5">
      <c r="A90" s="3063">
        <v>88</v>
      </c>
      <c r="B90" s="3063" t="s">
        <v>3161</v>
      </c>
      <c r="C90" s="3063" t="s">
        <v>3144</v>
      </c>
      <c r="D90" s="3063" t="s">
        <v>3073</v>
      </c>
      <c r="E90" s="3279">
        <v>107.79</v>
      </c>
    </row>
    <row r="91" spans="1:5">
      <c r="A91" s="3063">
        <v>89</v>
      </c>
      <c r="B91" s="3063" t="s">
        <v>3162</v>
      </c>
      <c r="C91" s="3063" t="s">
        <v>3144</v>
      </c>
      <c r="D91" s="3063" t="s">
        <v>3073</v>
      </c>
      <c r="E91" s="3279">
        <v>120.79</v>
      </c>
    </row>
    <row r="92" spans="1:5">
      <c r="A92" s="3063">
        <v>90</v>
      </c>
      <c r="B92" s="3063" t="s">
        <v>3163</v>
      </c>
      <c r="C92" s="3063" t="s">
        <v>3144</v>
      </c>
      <c r="D92" s="3063" t="s">
        <v>3073</v>
      </c>
      <c r="E92" s="3279">
        <v>102.54</v>
      </c>
    </row>
    <row r="93" spans="1:5">
      <c r="A93" s="3063">
        <v>91</v>
      </c>
      <c r="B93" s="3063" t="s">
        <v>3164</v>
      </c>
      <c r="C93" s="3063" t="s">
        <v>3144</v>
      </c>
      <c r="D93" s="3063" t="s">
        <v>3073</v>
      </c>
      <c r="E93" s="3279">
        <v>100.13</v>
      </c>
    </row>
    <row r="94" spans="1:5">
      <c r="A94" s="3063">
        <v>92</v>
      </c>
      <c r="B94" s="3063" t="s">
        <v>3165</v>
      </c>
      <c r="C94" s="3063" t="s">
        <v>3144</v>
      </c>
      <c r="D94" s="3063" t="s">
        <v>3073</v>
      </c>
      <c r="E94" s="3279">
        <v>60.94</v>
      </c>
    </row>
    <row r="95" spans="1:5">
      <c r="A95" s="3063">
        <v>93</v>
      </c>
      <c r="B95" s="3063" t="s">
        <v>3166</v>
      </c>
      <c r="C95" s="3063" t="s">
        <v>3144</v>
      </c>
      <c r="D95" s="3063" t="s">
        <v>3073</v>
      </c>
      <c r="E95" s="3279">
        <v>68.22</v>
      </c>
    </row>
    <row r="96" spans="1:5">
      <c r="A96" s="3063">
        <v>94</v>
      </c>
      <c r="B96" s="3063" t="s">
        <v>3167</v>
      </c>
      <c r="C96" s="3063" t="s">
        <v>3144</v>
      </c>
      <c r="D96" s="3063" t="s">
        <v>3073</v>
      </c>
      <c r="E96" s="3279">
        <v>68.22</v>
      </c>
    </row>
    <row r="97" spans="1:5">
      <c r="A97" s="3063">
        <v>95</v>
      </c>
      <c r="B97" s="3063" t="s">
        <v>3168</v>
      </c>
      <c r="C97" s="3063" t="s">
        <v>3144</v>
      </c>
      <c r="D97" s="3063" t="s">
        <v>3073</v>
      </c>
      <c r="E97" s="3279">
        <v>124.35</v>
      </c>
    </row>
    <row r="98" spans="1:5">
      <c r="A98" s="3063">
        <v>96</v>
      </c>
      <c r="B98" s="3063" t="s">
        <v>3169</v>
      </c>
      <c r="C98" s="3063" t="s">
        <v>3144</v>
      </c>
      <c r="D98" s="3063" t="s">
        <v>3073</v>
      </c>
      <c r="E98" s="3279">
        <v>127.35</v>
      </c>
    </row>
    <row r="99" spans="1:5">
      <c r="A99" s="3063">
        <v>97</v>
      </c>
      <c r="B99" s="3063" t="s">
        <v>3170</v>
      </c>
      <c r="C99" s="3063" t="s">
        <v>3144</v>
      </c>
      <c r="D99" s="3063" t="s">
        <v>3073</v>
      </c>
      <c r="E99" s="3279">
        <v>124.35</v>
      </c>
    </row>
    <row r="100" spans="1:5">
      <c r="A100" s="3063">
        <v>98</v>
      </c>
      <c r="B100" s="3063" t="s">
        <v>3171</v>
      </c>
      <c r="C100" s="3063" t="s">
        <v>3144</v>
      </c>
      <c r="D100" s="3063" t="s">
        <v>3073</v>
      </c>
      <c r="E100" s="3279">
        <v>127.35</v>
      </c>
    </row>
    <row r="101" spans="1:5">
      <c r="A101" s="3063">
        <v>99</v>
      </c>
      <c r="B101" s="3063" t="s">
        <v>3172</v>
      </c>
      <c r="C101" s="3063" t="s">
        <v>3144</v>
      </c>
      <c r="D101" s="3063" t="s">
        <v>3073</v>
      </c>
      <c r="E101" s="3279">
        <v>124.35</v>
      </c>
    </row>
    <row r="102" spans="1:5">
      <c r="A102" s="3063">
        <v>100</v>
      </c>
      <c r="B102" s="3063" t="s">
        <v>3173</v>
      </c>
      <c r="C102" s="3063" t="s">
        <v>3144</v>
      </c>
      <c r="D102" s="3063" t="s">
        <v>3073</v>
      </c>
      <c r="E102" s="3279">
        <v>127.35</v>
      </c>
    </row>
    <row r="103" spans="1:5">
      <c r="A103" s="3063">
        <v>101</v>
      </c>
      <c r="B103" s="3063" t="s">
        <v>3174</v>
      </c>
      <c r="C103" s="3063" t="s">
        <v>3144</v>
      </c>
      <c r="D103" s="3063" t="s">
        <v>3073</v>
      </c>
      <c r="E103" s="3279">
        <v>124.35</v>
      </c>
    </row>
    <row r="104" spans="1:5">
      <c r="A104" s="3063">
        <v>102</v>
      </c>
      <c r="B104" s="3063" t="s">
        <v>3175</v>
      </c>
      <c r="C104" s="3063" t="s">
        <v>3144</v>
      </c>
      <c r="D104" s="3063" t="s">
        <v>3073</v>
      </c>
      <c r="E104" s="3279">
        <v>127.35</v>
      </c>
    </row>
    <row r="105" spans="1:5">
      <c r="A105" s="3063">
        <v>103</v>
      </c>
      <c r="B105" s="3063" t="s">
        <v>3176</v>
      </c>
      <c r="C105" s="3063" t="s">
        <v>3144</v>
      </c>
      <c r="D105" s="3063" t="s">
        <v>3073</v>
      </c>
      <c r="E105" s="3279">
        <v>127.35</v>
      </c>
    </row>
    <row r="106" spans="1:5">
      <c r="A106" s="3063">
        <v>104</v>
      </c>
      <c r="B106" s="3063" t="s">
        <v>3177</v>
      </c>
      <c r="C106" s="3063" t="s">
        <v>3144</v>
      </c>
      <c r="D106" s="3063" t="s">
        <v>3073</v>
      </c>
      <c r="E106" s="3279">
        <v>124.35</v>
      </c>
    </row>
    <row r="107" spans="1:5">
      <c r="A107" s="3063">
        <v>105</v>
      </c>
      <c r="B107" s="3063" t="s">
        <v>3178</v>
      </c>
      <c r="C107" s="3063" t="s">
        <v>3144</v>
      </c>
      <c r="D107" s="3063" t="s">
        <v>3073</v>
      </c>
      <c r="E107" s="3279">
        <v>124.35</v>
      </c>
    </row>
    <row r="108" spans="1:5">
      <c r="A108" s="3063">
        <v>106</v>
      </c>
      <c r="B108" s="3063" t="s">
        <v>3179</v>
      </c>
      <c r="C108" s="3063" t="s">
        <v>3144</v>
      </c>
      <c r="D108" s="3063" t="s">
        <v>3073</v>
      </c>
      <c r="E108" s="3279">
        <v>127.35</v>
      </c>
    </row>
    <row r="109" spans="1:5">
      <c r="A109" s="3063">
        <v>107</v>
      </c>
      <c r="B109" s="3063" t="s">
        <v>3180</v>
      </c>
      <c r="C109" s="3063" t="s">
        <v>3144</v>
      </c>
      <c r="D109" s="3063" t="s">
        <v>3073</v>
      </c>
      <c r="E109" s="3279">
        <v>134.44</v>
      </c>
    </row>
    <row r="110" spans="1:5">
      <c r="A110" s="3063">
        <v>108</v>
      </c>
      <c r="B110" s="3063" t="s">
        <v>3181</v>
      </c>
      <c r="C110" s="3063" t="s">
        <v>3144</v>
      </c>
      <c r="D110" s="3063" t="s">
        <v>3073</v>
      </c>
      <c r="E110" s="3279">
        <v>148.97</v>
      </c>
    </row>
    <row r="111" spans="1:5">
      <c r="A111" s="3063">
        <v>109</v>
      </c>
      <c r="B111" s="3063" t="s">
        <v>3182</v>
      </c>
      <c r="C111" s="3063" t="s">
        <v>3144</v>
      </c>
      <c r="D111" s="3063" t="s">
        <v>3073</v>
      </c>
      <c r="E111" s="3279">
        <v>109.11</v>
      </c>
    </row>
    <row r="112" spans="1:5">
      <c r="A112" s="3063">
        <v>110</v>
      </c>
      <c r="B112" s="3063" t="s">
        <v>3183</v>
      </c>
      <c r="C112" s="3063" t="s">
        <v>3144</v>
      </c>
      <c r="D112" s="3063" t="s">
        <v>3073</v>
      </c>
      <c r="E112" s="3279">
        <v>101.74</v>
      </c>
    </row>
    <row r="113" spans="1:5">
      <c r="A113" s="3063">
        <v>111</v>
      </c>
      <c r="B113" s="3063" t="s">
        <v>3184</v>
      </c>
      <c r="C113" s="3063" t="s">
        <v>3144</v>
      </c>
      <c r="D113" s="3063" t="s">
        <v>3073</v>
      </c>
      <c r="E113" s="3279">
        <v>101.74</v>
      </c>
    </row>
    <row r="114" spans="1:5">
      <c r="A114" s="3063">
        <v>112</v>
      </c>
      <c r="B114" s="3063" t="s">
        <v>3185</v>
      </c>
      <c r="C114" s="3063" t="s">
        <v>3144</v>
      </c>
      <c r="D114" s="3063" t="s">
        <v>3073</v>
      </c>
      <c r="E114" s="3279">
        <v>104.19</v>
      </c>
    </row>
    <row r="115" spans="1:5">
      <c r="A115" s="3063">
        <v>113</v>
      </c>
      <c r="B115" s="3063" t="s">
        <v>3186</v>
      </c>
      <c r="C115" s="3063" t="s">
        <v>3144</v>
      </c>
      <c r="D115" s="3063" t="s">
        <v>3073</v>
      </c>
      <c r="E115" s="3279">
        <v>100.87</v>
      </c>
    </row>
    <row r="116" spans="1:5">
      <c r="A116" s="3063">
        <v>114</v>
      </c>
      <c r="B116" s="3063" t="s">
        <v>3187</v>
      </c>
      <c r="C116" s="3063" t="s">
        <v>3144</v>
      </c>
      <c r="D116" s="3063" t="s">
        <v>3073</v>
      </c>
      <c r="E116" s="3279">
        <v>71.709999999999994</v>
      </c>
    </row>
    <row r="117" spans="1:5">
      <c r="A117" s="3063">
        <v>115</v>
      </c>
      <c r="B117" s="3063" t="s">
        <v>3188</v>
      </c>
      <c r="C117" s="3063" t="s">
        <v>3144</v>
      </c>
      <c r="D117" s="3063" t="s">
        <v>3073</v>
      </c>
      <c r="E117" s="3279">
        <v>311.49</v>
      </c>
    </row>
    <row r="118" spans="1:5">
      <c r="A118" s="3063">
        <v>116</v>
      </c>
      <c r="B118" s="3063" t="s">
        <v>3189</v>
      </c>
      <c r="C118" s="3063" t="s">
        <v>3144</v>
      </c>
      <c r="D118" s="3063" t="s">
        <v>3073</v>
      </c>
      <c r="E118" s="3279">
        <v>157.94999999999999</v>
      </c>
    </row>
    <row r="119" spans="1:5">
      <c r="A119" s="3063">
        <v>117</v>
      </c>
      <c r="B119" s="3063" t="s">
        <v>3190</v>
      </c>
      <c r="C119" s="3063" t="s">
        <v>3144</v>
      </c>
      <c r="D119" s="3063" t="s">
        <v>3073</v>
      </c>
      <c r="E119" s="3279">
        <v>158.54</v>
      </c>
    </row>
    <row r="120" spans="1:5">
      <c r="A120" s="3063">
        <v>118</v>
      </c>
      <c r="B120" s="3063" t="s">
        <v>3191</v>
      </c>
      <c r="C120" s="3063" t="s">
        <v>3144</v>
      </c>
      <c r="D120" s="3063" t="s">
        <v>3073</v>
      </c>
      <c r="E120" s="3279">
        <v>289.2</v>
      </c>
    </row>
    <row r="121" spans="1:5">
      <c r="A121" s="3063">
        <v>119</v>
      </c>
      <c r="B121" s="3063" t="s">
        <v>3192</v>
      </c>
      <c r="C121" s="3063" t="s">
        <v>3144</v>
      </c>
      <c r="D121" s="3063" t="s">
        <v>3073</v>
      </c>
      <c r="E121" s="3279">
        <v>25.9</v>
      </c>
    </row>
    <row r="122" spans="1:5">
      <c r="A122" s="3063">
        <v>120</v>
      </c>
      <c r="B122" s="3063" t="s">
        <v>3193</v>
      </c>
      <c r="C122" s="3063" t="s">
        <v>3144</v>
      </c>
      <c r="D122" s="3063" t="s">
        <v>3073</v>
      </c>
      <c r="E122" s="3279">
        <v>26.53</v>
      </c>
    </row>
    <row r="123" spans="1:5">
      <c r="A123" s="3063">
        <v>121</v>
      </c>
      <c r="B123" s="3063" t="s">
        <v>3194</v>
      </c>
      <c r="C123" s="3063" t="s">
        <v>3144</v>
      </c>
      <c r="D123" s="3063" t="s">
        <v>3073</v>
      </c>
      <c r="E123" s="3279">
        <v>121.29</v>
      </c>
    </row>
    <row r="124" spans="1:5">
      <c r="A124" s="3063">
        <v>122</v>
      </c>
      <c r="B124" s="3063" t="s">
        <v>3195</v>
      </c>
      <c r="C124" s="3063" t="s">
        <v>3144</v>
      </c>
      <c r="D124" s="3063" t="s">
        <v>3073</v>
      </c>
      <c r="E124" s="3279">
        <v>140.56</v>
      </c>
    </row>
    <row r="125" spans="1:5">
      <c r="A125" s="3063">
        <v>123</v>
      </c>
      <c r="B125" s="3063" t="s">
        <v>3196</v>
      </c>
      <c r="C125" s="3063" t="s">
        <v>3144</v>
      </c>
      <c r="D125" s="3063" t="s">
        <v>3073</v>
      </c>
      <c r="E125" s="3279">
        <v>128.72</v>
      </c>
    </row>
    <row r="126" spans="1:5">
      <c r="A126" s="3063">
        <v>124</v>
      </c>
      <c r="B126" s="3063" t="s">
        <v>3197</v>
      </c>
      <c r="C126" s="3063" t="s">
        <v>3144</v>
      </c>
      <c r="D126" s="3063" t="s">
        <v>3073</v>
      </c>
      <c r="E126" s="3279">
        <v>135.65</v>
      </c>
    </row>
    <row r="127" spans="1:5">
      <c r="A127" s="3063">
        <v>125</v>
      </c>
      <c r="B127" s="3063" t="s">
        <v>3198</v>
      </c>
      <c r="C127" s="3063" t="s">
        <v>3144</v>
      </c>
      <c r="D127" s="3063" t="s">
        <v>3073</v>
      </c>
      <c r="E127" s="3279">
        <v>135.65</v>
      </c>
    </row>
    <row r="128" spans="1:5">
      <c r="A128" s="3063">
        <v>126</v>
      </c>
      <c r="B128" s="3063" t="s">
        <v>3199</v>
      </c>
      <c r="C128" s="3063" t="s">
        <v>3144</v>
      </c>
      <c r="D128" s="3063" t="s">
        <v>3073</v>
      </c>
      <c r="E128" s="3279">
        <v>125.65</v>
      </c>
    </row>
    <row r="129" spans="1:5">
      <c r="A129" s="3063">
        <v>127</v>
      </c>
      <c r="B129" s="3063" t="s">
        <v>3200</v>
      </c>
      <c r="C129" s="3063" t="s">
        <v>3144</v>
      </c>
      <c r="D129" s="3063" t="s">
        <v>3073</v>
      </c>
      <c r="E129" s="3279">
        <v>82.34</v>
      </c>
    </row>
    <row r="130" spans="1:5">
      <c r="A130" s="3063">
        <v>128</v>
      </c>
      <c r="B130" s="3063" t="s">
        <v>3201</v>
      </c>
      <c r="C130" s="3063" t="s">
        <v>3144</v>
      </c>
      <c r="D130" s="3063" t="s">
        <v>3073</v>
      </c>
      <c r="E130" s="3279">
        <v>37.44</v>
      </c>
    </row>
    <row r="131" spans="1:5">
      <c r="A131" s="3063">
        <v>129</v>
      </c>
      <c r="B131" s="3063" t="s">
        <v>3202</v>
      </c>
      <c r="C131" s="3063" t="s">
        <v>3144</v>
      </c>
      <c r="D131" s="3063" t="s">
        <v>3073</v>
      </c>
      <c r="E131" s="3279">
        <v>42.29</v>
      </c>
    </row>
    <row r="132" spans="1:5">
      <c r="A132" s="3063">
        <v>130</v>
      </c>
      <c r="B132" s="3063" t="s">
        <v>3203</v>
      </c>
      <c r="C132" s="3063" t="s">
        <v>3144</v>
      </c>
      <c r="D132" s="3063" t="s">
        <v>3073</v>
      </c>
      <c r="E132" s="3279">
        <v>40.98</v>
      </c>
    </row>
    <row r="133" spans="1:5">
      <c r="A133" s="3063">
        <v>131</v>
      </c>
      <c r="B133" s="3063" t="s">
        <v>3204</v>
      </c>
      <c r="C133" s="3063" t="s">
        <v>3144</v>
      </c>
      <c r="D133" s="3063" t="s">
        <v>3073</v>
      </c>
      <c r="E133" s="3279">
        <v>35.86</v>
      </c>
    </row>
    <row r="134" spans="1:5">
      <c r="A134" s="3063">
        <v>132</v>
      </c>
      <c r="B134" s="3063" t="s">
        <v>3205</v>
      </c>
      <c r="C134" s="3063" t="s">
        <v>3144</v>
      </c>
      <c r="D134" s="3063" t="s">
        <v>3073</v>
      </c>
      <c r="E134" s="3279">
        <v>35.86</v>
      </c>
    </row>
    <row r="135" spans="1:5">
      <c r="A135" s="3063">
        <v>133</v>
      </c>
      <c r="B135" s="3063" t="s">
        <v>3206</v>
      </c>
      <c r="C135" s="3063" t="s">
        <v>3144</v>
      </c>
      <c r="D135" s="3063" t="s">
        <v>3073</v>
      </c>
      <c r="E135" s="3279">
        <v>117.34</v>
      </c>
    </row>
    <row r="136" spans="1:5">
      <c r="A136" s="3063">
        <v>134</v>
      </c>
      <c r="B136" s="3063" t="s">
        <v>3207</v>
      </c>
      <c r="C136" s="3063" t="s">
        <v>3144</v>
      </c>
      <c r="D136" s="3063" t="s">
        <v>3073</v>
      </c>
      <c r="E136" s="3279">
        <v>148.71</v>
      </c>
    </row>
    <row r="137" spans="1:5">
      <c r="A137" s="3063">
        <v>135</v>
      </c>
      <c r="B137" s="3063" t="s">
        <v>3208</v>
      </c>
      <c r="C137" s="3063" t="s">
        <v>3144</v>
      </c>
      <c r="D137" s="3063" t="s">
        <v>3073</v>
      </c>
      <c r="E137" s="3279">
        <v>144.06</v>
      </c>
    </row>
    <row r="138" spans="1:5">
      <c r="A138" s="3063">
        <v>136</v>
      </c>
      <c r="B138" s="3063" t="s">
        <v>3209</v>
      </c>
      <c r="C138" s="3063" t="s">
        <v>3144</v>
      </c>
      <c r="D138" s="3063" t="s">
        <v>3073</v>
      </c>
      <c r="E138" s="3279">
        <v>219.83</v>
      </c>
    </row>
    <row r="139" spans="1:5">
      <c r="A139" s="3063">
        <v>137</v>
      </c>
      <c r="B139" s="3063" t="s">
        <v>3210</v>
      </c>
      <c r="C139" s="3063" t="s">
        <v>3144</v>
      </c>
      <c r="D139" s="3063" t="s">
        <v>3073</v>
      </c>
      <c r="E139" s="3279">
        <v>122.97</v>
      </c>
    </row>
    <row r="140" spans="1:5">
      <c r="A140" s="3063">
        <v>138</v>
      </c>
      <c r="B140" s="3063" t="s">
        <v>3211</v>
      </c>
      <c r="C140" s="3063" t="s">
        <v>3144</v>
      </c>
      <c r="D140" s="3063" t="s">
        <v>3073</v>
      </c>
      <c r="E140" s="3279">
        <v>144.91999999999999</v>
      </c>
    </row>
    <row r="141" spans="1:5">
      <c r="A141" s="3063">
        <v>139</v>
      </c>
      <c r="B141" s="3063" t="s">
        <v>3212</v>
      </c>
      <c r="C141" s="3063" t="s">
        <v>3144</v>
      </c>
      <c r="D141" s="3063" t="s">
        <v>3073</v>
      </c>
      <c r="E141" s="3279">
        <v>71.12</v>
      </c>
    </row>
    <row r="142" spans="1:5">
      <c r="A142" s="3063">
        <v>140</v>
      </c>
      <c r="B142" s="3063" t="s">
        <v>3213</v>
      </c>
      <c r="C142" s="3063" t="s">
        <v>3144</v>
      </c>
      <c r="D142" s="3063" t="s">
        <v>3073</v>
      </c>
      <c r="E142" s="3279">
        <v>94.88</v>
      </c>
    </row>
    <row r="143" spans="1:5">
      <c r="A143" s="3063">
        <v>141</v>
      </c>
      <c r="B143" s="3063" t="s">
        <v>3214</v>
      </c>
      <c r="C143" s="3063" t="s">
        <v>3215</v>
      </c>
      <c r="D143" s="3063" t="s">
        <v>3073</v>
      </c>
      <c r="E143" s="3279">
        <v>2810.63</v>
      </c>
    </row>
    <row r="144" spans="1:5">
      <c r="A144" s="3063">
        <v>142</v>
      </c>
      <c r="B144" s="3063" t="s">
        <v>3216</v>
      </c>
      <c r="C144" s="3063" t="s">
        <v>3215</v>
      </c>
      <c r="D144" s="3063" t="s">
        <v>3073</v>
      </c>
      <c r="E144" s="3279">
        <v>31.81</v>
      </c>
    </row>
    <row r="145" spans="1:5">
      <c r="A145" s="3063">
        <v>143</v>
      </c>
      <c r="B145" s="3063" t="s">
        <v>3217</v>
      </c>
      <c r="C145" s="3063" t="s">
        <v>3215</v>
      </c>
      <c r="D145" s="3063" t="s">
        <v>3073</v>
      </c>
      <c r="E145" s="3279">
        <v>36.630000000000003</v>
      </c>
    </row>
    <row r="146" spans="1:5">
      <c r="A146" s="3063">
        <v>144</v>
      </c>
      <c r="B146" s="3063" t="s">
        <v>3218</v>
      </c>
      <c r="C146" s="3063" t="s">
        <v>3215</v>
      </c>
      <c r="D146" s="3063" t="s">
        <v>3073</v>
      </c>
      <c r="E146" s="3279">
        <v>77.77</v>
      </c>
    </row>
    <row r="147" spans="1:5">
      <c r="A147" s="3063">
        <v>145</v>
      </c>
      <c r="B147" s="3063" t="s">
        <v>3219</v>
      </c>
      <c r="C147" s="3063" t="s">
        <v>3215</v>
      </c>
      <c r="D147" s="3063" t="s">
        <v>3073</v>
      </c>
      <c r="E147" s="3279">
        <v>76.05</v>
      </c>
    </row>
    <row r="148" spans="1:5">
      <c r="A148" s="3063">
        <v>146</v>
      </c>
      <c r="B148" s="3063" t="s">
        <v>3220</v>
      </c>
      <c r="C148" s="3063" t="s">
        <v>3215</v>
      </c>
      <c r="D148" s="3063" t="s">
        <v>3073</v>
      </c>
      <c r="E148" s="3279">
        <v>76</v>
      </c>
    </row>
    <row r="149" spans="1:5">
      <c r="A149" s="3063">
        <v>147</v>
      </c>
      <c r="B149" s="3063" t="s">
        <v>3221</v>
      </c>
      <c r="C149" s="3063" t="s">
        <v>3215</v>
      </c>
      <c r="D149" s="3063" t="s">
        <v>3073</v>
      </c>
      <c r="E149" s="3279">
        <v>77.83</v>
      </c>
    </row>
    <row r="150" spans="1:5">
      <c r="A150" s="3063">
        <v>148</v>
      </c>
      <c r="B150" s="3063" t="s">
        <v>3222</v>
      </c>
      <c r="C150" s="3063" t="s">
        <v>3215</v>
      </c>
      <c r="D150" s="3063" t="s">
        <v>3073</v>
      </c>
      <c r="E150" s="3279">
        <v>76</v>
      </c>
    </row>
    <row r="151" spans="1:5">
      <c r="A151" s="3063">
        <v>149</v>
      </c>
      <c r="B151" s="3063" t="s">
        <v>3223</v>
      </c>
      <c r="C151" s="3063" t="s">
        <v>3215</v>
      </c>
      <c r="D151" s="3063" t="s">
        <v>3073</v>
      </c>
      <c r="E151" s="3279">
        <v>77.83</v>
      </c>
    </row>
    <row r="152" spans="1:5">
      <c r="A152" s="3063">
        <v>150</v>
      </c>
      <c r="B152" s="3063" t="s">
        <v>3224</v>
      </c>
      <c r="C152" s="3063" t="s">
        <v>3215</v>
      </c>
      <c r="D152" s="3063" t="s">
        <v>3073</v>
      </c>
      <c r="E152" s="3279">
        <v>76</v>
      </c>
    </row>
    <row r="153" spans="1:5">
      <c r="A153" s="3063">
        <v>151</v>
      </c>
      <c r="B153" s="3063" t="s">
        <v>3225</v>
      </c>
      <c r="C153" s="3063" t="s">
        <v>3215</v>
      </c>
      <c r="D153" s="3063" t="s">
        <v>3073</v>
      </c>
      <c r="E153" s="3279">
        <v>77.83</v>
      </c>
    </row>
    <row r="154" spans="1:5">
      <c r="A154" s="3063">
        <v>152</v>
      </c>
      <c r="B154" s="3063" t="s">
        <v>3226</v>
      </c>
      <c r="C154" s="3063" t="s">
        <v>3215</v>
      </c>
      <c r="D154" s="3063" t="s">
        <v>3073</v>
      </c>
      <c r="E154" s="3279">
        <v>76</v>
      </c>
    </row>
    <row r="155" spans="1:5">
      <c r="A155" s="3063">
        <v>153</v>
      </c>
      <c r="B155" s="3063" t="s">
        <v>3227</v>
      </c>
      <c r="C155" s="3063" t="s">
        <v>3215</v>
      </c>
      <c r="D155" s="3063" t="s">
        <v>3073</v>
      </c>
      <c r="E155" s="3279">
        <v>77.83</v>
      </c>
    </row>
    <row r="156" spans="1:5">
      <c r="A156" s="3063">
        <v>154</v>
      </c>
      <c r="B156" s="3063" t="s">
        <v>3228</v>
      </c>
      <c r="C156" s="3063" t="s">
        <v>3215</v>
      </c>
      <c r="D156" s="3063" t="s">
        <v>3073</v>
      </c>
      <c r="E156" s="3279">
        <v>77.83</v>
      </c>
    </row>
    <row r="157" spans="1:5">
      <c r="A157" s="3063">
        <v>155</v>
      </c>
      <c r="B157" s="3063" t="s">
        <v>3229</v>
      </c>
      <c r="C157" s="3063" t="s">
        <v>3215</v>
      </c>
      <c r="D157" s="3063" t="s">
        <v>3073</v>
      </c>
      <c r="E157" s="3279">
        <v>76</v>
      </c>
    </row>
    <row r="158" spans="1:5">
      <c r="A158" s="3063">
        <v>156</v>
      </c>
      <c r="B158" s="3063" t="s">
        <v>3230</v>
      </c>
      <c r="C158" s="3063" t="s">
        <v>3215</v>
      </c>
      <c r="D158" s="3063" t="s">
        <v>3073</v>
      </c>
      <c r="E158" s="3279">
        <v>76</v>
      </c>
    </row>
    <row r="159" spans="1:5">
      <c r="A159" s="3063">
        <v>157</v>
      </c>
      <c r="B159" s="3063" t="s">
        <v>3231</v>
      </c>
      <c r="C159" s="3063" t="s">
        <v>3215</v>
      </c>
      <c r="D159" s="3063" t="s">
        <v>3073</v>
      </c>
      <c r="E159" s="3279">
        <v>77.83</v>
      </c>
    </row>
    <row r="160" spans="1:5">
      <c r="A160" s="3063">
        <v>158</v>
      </c>
      <c r="B160" s="3063" t="s">
        <v>3232</v>
      </c>
      <c r="C160" s="3063" t="s">
        <v>3215</v>
      </c>
      <c r="D160" s="3063" t="s">
        <v>3073</v>
      </c>
      <c r="E160" s="3279">
        <v>76</v>
      </c>
    </row>
    <row r="161" spans="1:5">
      <c r="A161" s="3063">
        <v>159</v>
      </c>
      <c r="B161" s="3063" t="s">
        <v>3233</v>
      </c>
      <c r="C161" s="3063" t="s">
        <v>3215</v>
      </c>
      <c r="D161" s="3063" t="s">
        <v>3073</v>
      </c>
      <c r="E161" s="3279">
        <v>85.15</v>
      </c>
    </row>
    <row r="162" spans="1:5">
      <c r="A162" s="3063">
        <v>160</v>
      </c>
      <c r="B162" s="3063" t="s">
        <v>3234</v>
      </c>
      <c r="C162" s="3063" t="s">
        <v>3215</v>
      </c>
      <c r="D162" s="3063" t="s">
        <v>3073</v>
      </c>
      <c r="E162" s="3279">
        <v>102.43</v>
      </c>
    </row>
    <row r="163" spans="1:5">
      <c r="A163" s="3063">
        <v>161</v>
      </c>
      <c r="B163" s="3063" t="s">
        <v>3235</v>
      </c>
      <c r="C163" s="3063" t="s">
        <v>3215</v>
      </c>
      <c r="D163" s="3063" t="s">
        <v>3073</v>
      </c>
      <c r="E163" s="3279">
        <v>104.9</v>
      </c>
    </row>
    <row r="164" spans="1:5">
      <c r="A164" s="3063">
        <v>162</v>
      </c>
      <c r="B164" s="3063" t="s">
        <v>3236</v>
      </c>
      <c r="C164" s="3063" t="s">
        <v>3215</v>
      </c>
      <c r="D164" s="3063" t="s">
        <v>3073</v>
      </c>
      <c r="E164" s="3279">
        <v>102.43</v>
      </c>
    </row>
    <row r="165" spans="1:5">
      <c r="A165" s="3063">
        <v>163</v>
      </c>
      <c r="B165" s="3063" t="s">
        <v>3237</v>
      </c>
      <c r="C165" s="3063" t="s">
        <v>3215</v>
      </c>
      <c r="D165" s="3063" t="s">
        <v>3073</v>
      </c>
      <c r="E165" s="3279">
        <v>62.34</v>
      </c>
    </row>
    <row r="166" spans="1:5">
      <c r="A166" s="3063">
        <v>164</v>
      </c>
      <c r="B166" s="3063" t="s">
        <v>3238</v>
      </c>
      <c r="C166" s="3063" t="s">
        <v>3215</v>
      </c>
      <c r="D166" s="3063" t="s">
        <v>3073</v>
      </c>
      <c r="E166" s="3279">
        <v>69.790000000000006</v>
      </c>
    </row>
    <row r="167" spans="1:5">
      <c r="A167" s="3063">
        <v>165</v>
      </c>
      <c r="B167" s="3063" t="s">
        <v>3239</v>
      </c>
      <c r="C167" s="3063" t="s">
        <v>3215</v>
      </c>
      <c r="D167" s="3063" t="s">
        <v>3073</v>
      </c>
      <c r="E167" s="3279">
        <v>69.790000000000006</v>
      </c>
    </row>
    <row r="168" spans="1:5">
      <c r="A168" s="3063">
        <v>166</v>
      </c>
      <c r="B168" s="3063" t="s">
        <v>3240</v>
      </c>
      <c r="C168" s="3063" t="s">
        <v>3215</v>
      </c>
      <c r="D168" s="3063" t="s">
        <v>3073</v>
      </c>
      <c r="E168" s="3279">
        <v>171.82</v>
      </c>
    </row>
    <row r="169" spans="1:5">
      <c r="A169" s="3063">
        <v>167</v>
      </c>
      <c r="B169" s="3063" t="s">
        <v>3241</v>
      </c>
      <c r="C169" s="3063" t="s">
        <v>3215</v>
      </c>
      <c r="D169" s="3063" t="s">
        <v>3073</v>
      </c>
      <c r="E169" s="3279">
        <v>175.96</v>
      </c>
    </row>
    <row r="170" spans="1:5">
      <c r="A170" s="3063">
        <v>168</v>
      </c>
      <c r="B170" s="3063" t="s">
        <v>3242</v>
      </c>
      <c r="C170" s="3063" t="s">
        <v>3215</v>
      </c>
      <c r="D170" s="3063" t="s">
        <v>3073</v>
      </c>
      <c r="E170" s="3279">
        <v>171.82</v>
      </c>
    </row>
    <row r="171" spans="1:5">
      <c r="A171" s="3063">
        <v>169</v>
      </c>
      <c r="B171" s="3063" t="s">
        <v>3243</v>
      </c>
      <c r="C171" s="3063" t="s">
        <v>3215</v>
      </c>
      <c r="D171" s="3063" t="s">
        <v>3073</v>
      </c>
      <c r="E171" s="3279">
        <v>175.96</v>
      </c>
    </row>
    <row r="172" spans="1:5">
      <c r="A172" s="3063">
        <v>170</v>
      </c>
      <c r="B172" s="3063" t="s">
        <v>3244</v>
      </c>
      <c r="C172" s="3063" t="s">
        <v>3215</v>
      </c>
      <c r="D172" s="3063" t="s">
        <v>3073</v>
      </c>
      <c r="E172" s="3279">
        <v>171.82</v>
      </c>
    </row>
    <row r="173" spans="1:5">
      <c r="A173" s="3063">
        <v>171</v>
      </c>
      <c r="B173" s="3063" t="s">
        <v>3245</v>
      </c>
      <c r="C173" s="3063" t="s">
        <v>3215</v>
      </c>
      <c r="D173" s="3063" t="s">
        <v>3073</v>
      </c>
      <c r="E173" s="3279">
        <v>175.96</v>
      </c>
    </row>
    <row r="174" spans="1:5">
      <c r="A174" s="3063">
        <v>172</v>
      </c>
      <c r="B174" s="3063" t="s">
        <v>3246</v>
      </c>
      <c r="C174" s="3063" t="s">
        <v>3215</v>
      </c>
      <c r="D174" s="3063" t="s">
        <v>3073</v>
      </c>
      <c r="E174" s="3279">
        <v>171.82</v>
      </c>
    </row>
    <row r="175" spans="1:5">
      <c r="A175" s="3063">
        <v>173</v>
      </c>
      <c r="B175" s="3063" t="s">
        <v>3247</v>
      </c>
      <c r="C175" s="3063" t="s">
        <v>3215</v>
      </c>
      <c r="D175" s="3063" t="s">
        <v>3073</v>
      </c>
      <c r="E175" s="3279">
        <v>175.96</v>
      </c>
    </row>
    <row r="176" spans="1:5">
      <c r="A176" s="3063">
        <v>174</v>
      </c>
      <c r="B176" s="3063" t="s">
        <v>3248</v>
      </c>
      <c r="C176" s="3063" t="s">
        <v>3215</v>
      </c>
      <c r="D176" s="3063" t="s">
        <v>3073</v>
      </c>
      <c r="E176" s="3279">
        <v>175.96</v>
      </c>
    </row>
    <row r="177" spans="1:5">
      <c r="A177" s="3063">
        <v>175</v>
      </c>
      <c r="B177" s="3063" t="s">
        <v>3249</v>
      </c>
      <c r="C177" s="3063" t="s">
        <v>3215</v>
      </c>
      <c r="D177" s="3063" t="s">
        <v>3073</v>
      </c>
      <c r="E177" s="3279">
        <v>171.82</v>
      </c>
    </row>
    <row r="178" spans="1:5">
      <c r="A178" s="3063">
        <v>176</v>
      </c>
      <c r="B178" s="3063" t="s">
        <v>3250</v>
      </c>
      <c r="C178" s="3063" t="s">
        <v>3215</v>
      </c>
      <c r="D178" s="3063" t="s">
        <v>3073</v>
      </c>
      <c r="E178" s="3279">
        <v>171.82</v>
      </c>
    </row>
    <row r="179" spans="1:5">
      <c r="A179" s="3063">
        <v>177</v>
      </c>
      <c r="B179" s="3063" t="s">
        <v>3251</v>
      </c>
      <c r="C179" s="3063" t="s">
        <v>3215</v>
      </c>
      <c r="D179" s="3063" t="s">
        <v>3073</v>
      </c>
      <c r="E179" s="3279">
        <v>175.96</v>
      </c>
    </row>
    <row r="180" spans="1:5">
      <c r="A180" s="3063">
        <v>178</v>
      </c>
      <c r="B180" s="3063" t="s">
        <v>3252</v>
      </c>
      <c r="C180" s="3063" t="s">
        <v>3215</v>
      </c>
      <c r="D180" s="3063" t="s">
        <v>3073</v>
      </c>
      <c r="E180" s="3279">
        <v>171.82</v>
      </c>
    </row>
    <row r="181" spans="1:5">
      <c r="A181" s="3063">
        <v>179</v>
      </c>
      <c r="B181" s="3063" t="s">
        <v>3253</v>
      </c>
      <c r="C181" s="3063" t="s">
        <v>3215</v>
      </c>
      <c r="D181" s="3063" t="s">
        <v>3073</v>
      </c>
      <c r="E181" s="3279">
        <v>190.81</v>
      </c>
    </row>
    <row r="182" spans="1:5">
      <c r="A182" s="3063">
        <v>180</v>
      </c>
      <c r="B182" s="3063" t="s">
        <v>3254</v>
      </c>
      <c r="C182" s="3063" t="s">
        <v>3215</v>
      </c>
      <c r="D182" s="3063" t="s">
        <v>3073</v>
      </c>
      <c r="E182" s="3279">
        <v>111.62</v>
      </c>
    </row>
    <row r="183" spans="1:5">
      <c r="A183" s="3063">
        <v>181</v>
      </c>
      <c r="B183" s="3063" t="s">
        <v>3255</v>
      </c>
      <c r="C183" s="3063" t="s">
        <v>3215</v>
      </c>
      <c r="D183" s="3063" t="s">
        <v>3073</v>
      </c>
      <c r="E183" s="3279">
        <v>104.08</v>
      </c>
    </row>
    <row r="184" spans="1:5">
      <c r="A184" s="3063">
        <v>182</v>
      </c>
      <c r="B184" s="3063" t="s">
        <v>3256</v>
      </c>
      <c r="C184" s="3063" t="s">
        <v>3215</v>
      </c>
      <c r="D184" s="3063" t="s">
        <v>3073</v>
      </c>
      <c r="E184" s="3279">
        <v>104.08</v>
      </c>
    </row>
    <row r="185" spans="1:5">
      <c r="A185" s="3063">
        <v>183</v>
      </c>
      <c r="B185" s="3063" t="s">
        <v>3257</v>
      </c>
      <c r="C185" s="3063" t="s">
        <v>3215</v>
      </c>
      <c r="D185" s="3063" t="s">
        <v>3073</v>
      </c>
      <c r="E185" s="3279">
        <v>106.59</v>
      </c>
    </row>
    <row r="186" spans="1:5">
      <c r="A186" s="3063">
        <v>184</v>
      </c>
      <c r="B186" s="3063" t="s">
        <v>3258</v>
      </c>
      <c r="C186" s="3063" t="s">
        <v>3215</v>
      </c>
      <c r="D186" s="3063" t="s">
        <v>3073</v>
      </c>
      <c r="E186" s="3279">
        <v>103.19</v>
      </c>
    </row>
    <row r="187" spans="1:5">
      <c r="A187" s="3063">
        <v>185</v>
      </c>
      <c r="B187" s="3063" t="s">
        <v>3259</v>
      </c>
      <c r="C187" s="3063" t="s">
        <v>3215</v>
      </c>
      <c r="D187" s="3063" t="s">
        <v>3073</v>
      </c>
      <c r="E187" s="3279">
        <v>73.37</v>
      </c>
    </row>
    <row r="188" spans="1:5">
      <c r="A188" s="3063">
        <v>186</v>
      </c>
      <c r="B188" s="3063" t="s">
        <v>3260</v>
      </c>
      <c r="C188" s="3063" t="s">
        <v>3215</v>
      </c>
      <c r="D188" s="3063" t="s">
        <v>3073</v>
      </c>
      <c r="E188" s="3279">
        <v>130.69999999999999</v>
      </c>
    </row>
    <row r="189" spans="1:5">
      <c r="A189" s="3063">
        <v>187</v>
      </c>
      <c r="B189" s="3063" t="s">
        <v>3261</v>
      </c>
      <c r="C189" s="3063" t="s">
        <v>3215</v>
      </c>
      <c r="D189" s="3063" t="s">
        <v>3073</v>
      </c>
      <c r="E189" s="3279">
        <v>161.59</v>
      </c>
    </row>
    <row r="190" spans="1:5">
      <c r="A190" s="3063">
        <v>188</v>
      </c>
      <c r="B190" s="3063" t="s">
        <v>3262</v>
      </c>
      <c r="C190" s="3063" t="s">
        <v>3215</v>
      </c>
      <c r="D190" s="3063" t="s">
        <v>3073</v>
      </c>
      <c r="E190" s="3279">
        <v>162.19</v>
      </c>
    </row>
    <row r="191" spans="1:5">
      <c r="A191" s="3063">
        <v>189</v>
      </c>
      <c r="B191" s="3063" t="s">
        <v>3263</v>
      </c>
      <c r="C191" s="3063" t="s">
        <v>3215</v>
      </c>
      <c r="D191" s="3063" t="s">
        <v>3073</v>
      </c>
      <c r="E191" s="3279">
        <v>295.86</v>
      </c>
    </row>
    <row r="192" spans="1:5">
      <c r="A192" s="3063">
        <v>190</v>
      </c>
      <c r="B192" s="3063" t="s">
        <v>3264</v>
      </c>
      <c r="C192" s="3063" t="s">
        <v>3215</v>
      </c>
      <c r="D192" s="3063" t="s">
        <v>3073</v>
      </c>
      <c r="E192" s="3279">
        <v>26.49</v>
      </c>
    </row>
    <row r="193" spans="1:5">
      <c r="A193" s="3063">
        <v>191</v>
      </c>
      <c r="B193" s="3063" t="s">
        <v>3265</v>
      </c>
      <c r="C193" s="3063" t="s">
        <v>3215</v>
      </c>
      <c r="D193" s="3063" t="s">
        <v>3073</v>
      </c>
      <c r="E193" s="3279">
        <v>27.15</v>
      </c>
    </row>
    <row r="194" spans="1:5">
      <c r="A194" s="3063">
        <v>192</v>
      </c>
      <c r="B194" s="3063" t="s">
        <v>3266</v>
      </c>
      <c r="C194" s="3063" t="s">
        <v>3215</v>
      </c>
      <c r="D194" s="3063" t="s">
        <v>3073</v>
      </c>
      <c r="E194" s="3279">
        <v>124.09</v>
      </c>
    </row>
    <row r="195" spans="1:5">
      <c r="A195" s="3063">
        <v>193</v>
      </c>
      <c r="B195" s="3063" t="s">
        <v>3267</v>
      </c>
      <c r="C195" s="3063" t="s">
        <v>3215</v>
      </c>
      <c r="D195" s="3063" t="s">
        <v>3073</v>
      </c>
      <c r="E195" s="3279">
        <v>143.80000000000001</v>
      </c>
    </row>
    <row r="196" spans="1:5">
      <c r="A196" s="3063">
        <v>194</v>
      </c>
      <c r="B196" s="3063" t="s">
        <v>3268</v>
      </c>
      <c r="C196" s="3063" t="s">
        <v>3215</v>
      </c>
      <c r="D196" s="3063" t="s">
        <v>3073</v>
      </c>
      <c r="E196" s="3279">
        <v>131.69</v>
      </c>
    </row>
    <row r="197" spans="1:5">
      <c r="A197" s="3063">
        <v>195</v>
      </c>
      <c r="B197" s="3063" t="s">
        <v>3269</v>
      </c>
      <c r="C197" s="3063" t="s">
        <v>3215</v>
      </c>
      <c r="D197" s="3063" t="s">
        <v>3073</v>
      </c>
      <c r="E197" s="3279">
        <v>138.78</v>
      </c>
    </row>
    <row r="198" spans="1:5">
      <c r="A198" s="3063">
        <v>196</v>
      </c>
      <c r="B198" s="3063" t="s">
        <v>3270</v>
      </c>
      <c r="C198" s="3063" t="s">
        <v>3215</v>
      </c>
      <c r="D198" s="3063" t="s">
        <v>3073</v>
      </c>
      <c r="E198" s="3279">
        <v>138.78</v>
      </c>
    </row>
    <row r="199" spans="1:5">
      <c r="A199" s="3063">
        <v>197</v>
      </c>
      <c r="B199" s="3063" t="s">
        <v>3271</v>
      </c>
      <c r="C199" s="3063" t="s">
        <v>3215</v>
      </c>
      <c r="D199" s="3063" t="s">
        <v>3073</v>
      </c>
      <c r="E199" s="3279">
        <v>128.54</v>
      </c>
    </row>
    <row r="200" spans="1:5">
      <c r="A200" s="3063">
        <v>198</v>
      </c>
      <c r="B200" s="3063" t="s">
        <v>3272</v>
      </c>
      <c r="C200" s="3063" t="s">
        <v>3215</v>
      </c>
      <c r="D200" s="3063" t="s">
        <v>3073</v>
      </c>
      <c r="E200" s="3279">
        <v>84.24</v>
      </c>
    </row>
    <row r="201" spans="1:5">
      <c r="A201" s="3063">
        <v>199</v>
      </c>
      <c r="B201" s="3063" t="s">
        <v>3273</v>
      </c>
      <c r="C201" s="3063" t="s">
        <v>3215</v>
      </c>
      <c r="D201" s="3063" t="s">
        <v>3073</v>
      </c>
      <c r="E201" s="3279">
        <v>38.299999999999997</v>
      </c>
    </row>
    <row r="202" spans="1:5">
      <c r="A202" s="3063">
        <v>200</v>
      </c>
      <c r="B202" s="3063" t="s">
        <v>3274</v>
      </c>
      <c r="C202" s="3063" t="s">
        <v>3215</v>
      </c>
      <c r="D202" s="3063" t="s">
        <v>3073</v>
      </c>
      <c r="E202" s="3279">
        <v>85.18</v>
      </c>
    </row>
    <row r="203" spans="1:5">
      <c r="A203" s="3063">
        <v>201</v>
      </c>
      <c r="B203" s="3063" t="s">
        <v>3275</v>
      </c>
      <c r="C203" s="3063" t="s">
        <v>3215</v>
      </c>
      <c r="D203" s="3063" t="s">
        <v>3073</v>
      </c>
      <c r="E203" s="3279">
        <v>62.5</v>
      </c>
    </row>
    <row r="204" spans="1:5">
      <c r="A204" s="3063">
        <v>202</v>
      </c>
      <c r="B204" s="3063" t="s">
        <v>3276</v>
      </c>
      <c r="C204" s="3063" t="s">
        <v>3215</v>
      </c>
      <c r="D204" s="3063" t="s">
        <v>3073</v>
      </c>
      <c r="E204" s="3279">
        <v>24.74</v>
      </c>
    </row>
    <row r="205" spans="1:5">
      <c r="A205" s="3063">
        <v>203</v>
      </c>
      <c r="B205" s="3063" t="s">
        <v>3277</v>
      </c>
      <c r="C205" s="3063" t="s">
        <v>3215</v>
      </c>
      <c r="D205" s="3063" t="s">
        <v>3073</v>
      </c>
      <c r="E205" s="3279">
        <v>152.13</v>
      </c>
    </row>
    <row r="206" spans="1:5">
      <c r="A206" s="3063">
        <v>204</v>
      </c>
      <c r="B206" s="3063" t="s">
        <v>3278</v>
      </c>
      <c r="C206" s="3063" t="s">
        <v>3215</v>
      </c>
      <c r="D206" s="3063" t="s">
        <v>3073</v>
      </c>
      <c r="E206" s="3279">
        <v>147.38</v>
      </c>
    </row>
    <row r="207" spans="1:5">
      <c r="A207" s="3063">
        <v>205</v>
      </c>
      <c r="B207" s="3063" t="s">
        <v>3279</v>
      </c>
      <c r="C207" s="3063" t="s">
        <v>3215</v>
      </c>
      <c r="D207" s="3063" t="s">
        <v>3073</v>
      </c>
      <c r="E207" s="3279">
        <v>224.89</v>
      </c>
    </row>
    <row r="208" spans="1:5">
      <c r="A208" s="3063">
        <v>206</v>
      </c>
      <c r="B208" s="3063" t="s">
        <v>3280</v>
      </c>
      <c r="C208" s="3063" t="s">
        <v>3215</v>
      </c>
      <c r="D208" s="3063" t="s">
        <v>3073</v>
      </c>
      <c r="E208" s="3279">
        <v>125.8</v>
      </c>
    </row>
    <row r="209" spans="1:5">
      <c r="A209" s="3063">
        <v>207</v>
      </c>
      <c r="B209" s="3063" t="s">
        <v>3281</v>
      </c>
      <c r="C209" s="3063" t="s">
        <v>3215</v>
      </c>
      <c r="D209" s="3063" t="s">
        <v>3073</v>
      </c>
      <c r="E209" s="3279">
        <v>143.87</v>
      </c>
    </row>
    <row r="210" spans="1:5">
      <c r="A210" s="3063">
        <v>208</v>
      </c>
      <c r="B210" s="3063" t="s">
        <v>3282</v>
      </c>
      <c r="C210" s="3063" t="s">
        <v>3215</v>
      </c>
      <c r="D210" s="3063" t="s">
        <v>3073</v>
      </c>
      <c r="E210" s="3279">
        <v>97.06</v>
      </c>
    </row>
    <row r="211" spans="1:5" ht="12.75" customHeight="1">
      <c r="A211" s="3063">
        <v>209</v>
      </c>
      <c r="B211" s="3063" t="s">
        <v>3283</v>
      </c>
      <c r="C211" s="3063" t="s">
        <v>3284</v>
      </c>
      <c r="D211" s="3063" t="s">
        <v>3073</v>
      </c>
      <c r="E211" s="3279">
        <v>42.57</v>
      </c>
    </row>
    <row r="212" spans="1:5">
      <c r="A212" s="3063">
        <v>210</v>
      </c>
      <c r="B212" s="3063" t="s">
        <v>3285</v>
      </c>
      <c r="C212" s="3063" t="s">
        <v>3284</v>
      </c>
      <c r="D212" s="3063" t="s">
        <v>3073</v>
      </c>
      <c r="E212" s="3279">
        <v>73.25</v>
      </c>
    </row>
    <row r="213" spans="1:5">
      <c r="A213" s="3063">
        <v>211</v>
      </c>
      <c r="B213" s="3063" t="s">
        <v>3286</v>
      </c>
      <c r="C213" s="3063" t="s">
        <v>3284</v>
      </c>
      <c r="D213" s="3063" t="s">
        <v>3073</v>
      </c>
      <c r="E213" s="3279">
        <v>25.99</v>
      </c>
    </row>
    <row r="214" spans="1:5">
      <c r="A214" s="3063">
        <v>212</v>
      </c>
      <c r="B214" s="3063" t="s">
        <v>3287</v>
      </c>
      <c r="C214" s="3063" t="s">
        <v>3284</v>
      </c>
      <c r="D214" s="3063" t="s">
        <v>3073</v>
      </c>
      <c r="E214" s="3279">
        <v>788.83</v>
      </c>
    </row>
    <row r="215" spans="1:5">
      <c r="A215" s="3063">
        <v>213</v>
      </c>
      <c r="B215" s="3063" t="s">
        <v>3288</v>
      </c>
      <c r="C215" s="3063" t="s">
        <v>3284</v>
      </c>
      <c r="D215" s="3063" t="s">
        <v>3073</v>
      </c>
      <c r="E215" s="3279">
        <v>846.81</v>
      </c>
    </row>
    <row r="216" spans="1:5">
      <c r="A216" s="3063">
        <v>214</v>
      </c>
      <c r="B216" s="3063" t="s">
        <v>3289</v>
      </c>
      <c r="C216" s="3063" t="s">
        <v>3284</v>
      </c>
      <c r="D216" s="3063" t="s">
        <v>3073</v>
      </c>
      <c r="E216" s="3279">
        <v>443.64</v>
      </c>
    </row>
    <row r="217" spans="1:5">
      <c r="A217" s="3063">
        <v>215</v>
      </c>
      <c r="B217" s="3063" t="s">
        <v>3290</v>
      </c>
      <c r="C217" s="3063" t="s">
        <v>3284</v>
      </c>
      <c r="D217" s="3063" t="s">
        <v>3073</v>
      </c>
      <c r="E217" s="3279">
        <v>443.55</v>
      </c>
    </row>
    <row r="218" spans="1:5">
      <c r="A218" s="3063">
        <v>216</v>
      </c>
      <c r="B218" s="3063" t="s">
        <v>3291</v>
      </c>
      <c r="C218" s="3063" t="s">
        <v>3284</v>
      </c>
      <c r="D218" s="3063" t="s">
        <v>3073</v>
      </c>
      <c r="E218" s="3279">
        <v>437.01</v>
      </c>
    </row>
    <row r="219" spans="1:5">
      <c r="A219" s="3063">
        <v>217</v>
      </c>
      <c r="B219" s="3063" t="s">
        <v>3292</v>
      </c>
      <c r="C219" s="3063" t="s">
        <v>3284</v>
      </c>
      <c r="D219" s="3063" t="s">
        <v>3073</v>
      </c>
      <c r="E219" s="3279">
        <v>450.69</v>
      </c>
    </row>
    <row r="220" spans="1:5">
      <c r="A220" s="3063">
        <v>218</v>
      </c>
      <c r="B220" s="3063" t="s">
        <v>3293</v>
      </c>
      <c r="C220" s="3063" t="s">
        <v>3284</v>
      </c>
      <c r="D220" s="3063" t="s">
        <v>3073</v>
      </c>
      <c r="E220" s="3279">
        <v>42.59</v>
      </c>
    </row>
    <row r="221" spans="1:5">
      <c r="A221" s="3063">
        <v>219</v>
      </c>
      <c r="B221" s="3063" t="s">
        <v>3294</v>
      </c>
      <c r="C221" s="3063" t="s">
        <v>3284</v>
      </c>
      <c r="D221" s="3063" t="s">
        <v>3073</v>
      </c>
      <c r="E221" s="3279">
        <v>80.2</v>
      </c>
    </row>
    <row r="222" spans="1:5">
      <c r="A222" s="3063">
        <v>220</v>
      </c>
      <c r="B222" s="3063" t="s">
        <v>3295</v>
      </c>
      <c r="C222" s="3063" t="s">
        <v>3284</v>
      </c>
      <c r="D222" s="3063" t="s">
        <v>3073</v>
      </c>
      <c r="E222" s="3279">
        <v>415.08</v>
      </c>
    </row>
    <row r="223" spans="1:5">
      <c r="A223" s="3063">
        <v>221</v>
      </c>
      <c r="B223" s="3063" t="s">
        <v>3296</v>
      </c>
      <c r="C223" s="3063" t="s">
        <v>3284</v>
      </c>
      <c r="D223" s="3063" t="s">
        <v>3073</v>
      </c>
      <c r="E223" s="3279">
        <v>105.01</v>
      </c>
    </row>
    <row r="224" spans="1:5">
      <c r="A224" s="3063">
        <v>222</v>
      </c>
      <c r="B224" s="3063" t="s">
        <v>3297</v>
      </c>
      <c r="C224" s="3063" t="s">
        <v>3284</v>
      </c>
      <c r="D224" s="3063" t="s">
        <v>3073</v>
      </c>
      <c r="E224" s="3279">
        <v>79.86</v>
      </c>
    </row>
    <row r="225" spans="1:5">
      <c r="A225" s="3063">
        <v>223</v>
      </c>
      <c r="B225" s="3063" t="s">
        <v>3298</v>
      </c>
      <c r="C225" s="3063" t="s">
        <v>3284</v>
      </c>
      <c r="D225" s="3063" t="s">
        <v>3073</v>
      </c>
      <c r="E225" s="3279">
        <v>80.31</v>
      </c>
    </row>
    <row r="226" spans="1:5">
      <c r="A226" s="3063">
        <v>224</v>
      </c>
      <c r="B226" s="3063" t="s">
        <v>3299</v>
      </c>
      <c r="C226" s="3063" t="s">
        <v>3284</v>
      </c>
      <c r="D226" s="3063" t="s">
        <v>3073</v>
      </c>
      <c r="E226" s="3279">
        <v>79.86</v>
      </c>
    </row>
    <row r="227" spans="1:5">
      <c r="A227" s="3063">
        <v>225</v>
      </c>
      <c r="B227" s="3063" t="s">
        <v>3300</v>
      </c>
      <c r="C227" s="3063" t="s">
        <v>3284</v>
      </c>
      <c r="D227" s="3063" t="s">
        <v>3073</v>
      </c>
      <c r="E227" s="3279">
        <v>76.290000000000006</v>
      </c>
    </row>
    <row r="228" spans="1:5">
      <c r="A228" s="3063">
        <v>226</v>
      </c>
      <c r="B228" s="3063" t="s">
        <v>3301</v>
      </c>
      <c r="C228" s="3063" t="s">
        <v>3284</v>
      </c>
      <c r="D228" s="3063" t="s">
        <v>3073</v>
      </c>
      <c r="E228" s="3279">
        <v>75.25</v>
      </c>
    </row>
    <row r="229" spans="1:5">
      <c r="A229" s="3063">
        <v>227</v>
      </c>
      <c r="B229" s="3063" t="s">
        <v>3302</v>
      </c>
      <c r="C229" s="3063" t="s">
        <v>3284</v>
      </c>
      <c r="D229" s="3063" t="s">
        <v>3073</v>
      </c>
      <c r="E229" s="3279">
        <v>77.11</v>
      </c>
    </row>
    <row r="230" spans="1:5">
      <c r="A230" s="3063">
        <v>228</v>
      </c>
      <c r="B230" s="3063" t="s">
        <v>3303</v>
      </c>
      <c r="C230" s="3063" t="s">
        <v>3284</v>
      </c>
      <c r="D230" s="3063" t="s">
        <v>3073</v>
      </c>
      <c r="E230" s="3279">
        <v>4237.2299999999996</v>
      </c>
    </row>
    <row r="231" spans="1:5">
      <c r="A231" s="3063">
        <v>229</v>
      </c>
      <c r="B231" s="3063" t="s">
        <v>3304</v>
      </c>
      <c r="C231" s="3063" t="s">
        <v>3284</v>
      </c>
      <c r="D231" s="3063" t="s">
        <v>3073</v>
      </c>
      <c r="E231" s="3279">
        <v>18.98</v>
      </c>
    </row>
    <row r="232" spans="1:5">
      <c r="A232" s="3063">
        <v>230</v>
      </c>
      <c r="B232" s="3063" t="s">
        <v>3305</v>
      </c>
      <c r="C232" s="3063" t="s">
        <v>3284</v>
      </c>
      <c r="D232" s="3063" t="s">
        <v>3073</v>
      </c>
      <c r="E232" s="3279">
        <v>64.09</v>
      </c>
    </row>
    <row r="233" spans="1:5">
      <c r="A233" s="3063">
        <v>231</v>
      </c>
      <c r="B233" s="3063" t="s">
        <v>3306</v>
      </c>
      <c r="C233" s="3063" t="s">
        <v>3284</v>
      </c>
      <c r="D233" s="3063" t="s">
        <v>3073</v>
      </c>
      <c r="E233" s="3279">
        <v>54.77</v>
      </c>
    </row>
    <row r="234" spans="1:5">
      <c r="A234" s="3063">
        <v>232</v>
      </c>
      <c r="B234" s="3063" t="s">
        <v>3307</v>
      </c>
      <c r="C234" s="3063" t="s">
        <v>3284</v>
      </c>
      <c r="D234" s="3063" t="s">
        <v>3073</v>
      </c>
      <c r="E234" s="3279">
        <v>52.3</v>
      </c>
    </row>
    <row r="235" spans="1:5">
      <c r="A235" s="3063">
        <v>233</v>
      </c>
      <c r="B235" s="3063" t="s">
        <v>3308</v>
      </c>
      <c r="C235" s="3063" t="s">
        <v>3284</v>
      </c>
      <c r="D235" s="3063" t="s">
        <v>3073</v>
      </c>
      <c r="E235" s="3279">
        <v>52.3</v>
      </c>
    </row>
    <row r="236" spans="1:5">
      <c r="A236" s="3063">
        <v>234</v>
      </c>
      <c r="B236" s="3063" t="s">
        <v>3309</v>
      </c>
      <c r="C236" s="3063" t="s">
        <v>3284</v>
      </c>
      <c r="D236" s="3063" t="s">
        <v>3073</v>
      </c>
      <c r="E236" s="3279">
        <v>52.29</v>
      </c>
    </row>
    <row r="237" spans="1:5">
      <c r="A237" s="3063">
        <v>235</v>
      </c>
      <c r="B237" s="3063" t="s">
        <v>3310</v>
      </c>
      <c r="C237" s="3063" t="s">
        <v>3284</v>
      </c>
      <c r="D237" s="3063" t="s">
        <v>3073</v>
      </c>
      <c r="E237" s="3279">
        <v>127.45</v>
      </c>
    </row>
    <row r="238" spans="1:5">
      <c r="A238" s="3063">
        <v>236</v>
      </c>
      <c r="B238" s="3063" t="s">
        <v>3311</v>
      </c>
      <c r="C238" s="3063" t="s">
        <v>3284</v>
      </c>
      <c r="D238" s="3063" t="s">
        <v>3073</v>
      </c>
      <c r="E238" s="3279">
        <v>132.43</v>
      </c>
    </row>
    <row r="239" spans="1:5">
      <c r="A239" s="3063">
        <v>237</v>
      </c>
      <c r="B239" s="3063" t="s">
        <v>3312</v>
      </c>
      <c r="C239" s="3063" t="s">
        <v>3284</v>
      </c>
      <c r="D239" s="3063" t="s">
        <v>3073</v>
      </c>
      <c r="E239" s="3279">
        <v>91.46</v>
      </c>
    </row>
    <row r="240" spans="1:5">
      <c r="A240" s="3063">
        <v>238</v>
      </c>
      <c r="B240" s="3063" t="s">
        <v>3313</v>
      </c>
      <c r="C240" s="3063" t="s">
        <v>3284</v>
      </c>
      <c r="D240" s="3063" t="s">
        <v>3073</v>
      </c>
      <c r="E240" s="3279">
        <v>87.29</v>
      </c>
    </row>
    <row r="241" spans="1:5">
      <c r="A241" s="3063">
        <v>239</v>
      </c>
      <c r="B241" s="3063" t="s">
        <v>3314</v>
      </c>
      <c r="C241" s="3063" t="s">
        <v>3284</v>
      </c>
      <c r="D241" s="3063" t="s">
        <v>3073</v>
      </c>
      <c r="E241" s="3279">
        <v>50.54</v>
      </c>
    </row>
    <row r="242" spans="1:5">
      <c r="A242" s="3063">
        <v>240</v>
      </c>
      <c r="B242" s="3063" t="s">
        <v>3315</v>
      </c>
      <c r="C242" s="3063" t="s">
        <v>3284</v>
      </c>
      <c r="D242" s="3063" t="s">
        <v>3073</v>
      </c>
      <c r="E242" s="3279">
        <v>50.52</v>
      </c>
    </row>
    <row r="243" spans="1:5">
      <c r="A243" s="3063">
        <v>241</v>
      </c>
      <c r="B243" s="3063" t="s">
        <v>3316</v>
      </c>
      <c r="C243" s="3063" t="s">
        <v>3284</v>
      </c>
      <c r="D243" s="3063" t="s">
        <v>3073</v>
      </c>
      <c r="E243" s="3279">
        <v>66.45</v>
      </c>
    </row>
    <row r="244" spans="1:5">
      <c r="A244" s="3063">
        <v>242</v>
      </c>
      <c r="B244" s="3063" t="s">
        <v>3317</v>
      </c>
      <c r="C244" s="3063" t="s">
        <v>3284</v>
      </c>
      <c r="D244" s="3063" t="s">
        <v>3073</v>
      </c>
      <c r="E244" s="3279">
        <v>393.09</v>
      </c>
    </row>
    <row r="245" spans="1:5">
      <c r="A245" s="3063">
        <v>243</v>
      </c>
      <c r="B245" s="3063" t="s">
        <v>3318</v>
      </c>
      <c r="C245" s="3063" t="s">
        <v>3319</v>
      </c>
      <c r="D245" s="3063" t="s">
        <v>3073</v>
      </c>
      <c r="E245" s="3279">
        <v>67.66</v>
      </c>
    </row>
    <row r="246" spans="1:5">
      <c r="A246" s="3063">
        <v>244</v>
      </c>
      <c r="B246" s="3063" t="s">
        <v>3320</v>
      </c>
      <c r="C246" s="3063" t="s">
        <v>3319</v>
      </c>
      <c r="D246" s="3063" t="s">
        <v>3073</v>
      </c>
      <c r="E246" s="3279">
        <v>85.79</v>
      </c>
    </row>
    <row r="247" spans="1:5">
      <c r="A247" s="3063">
        <v>245</v>
      </c>
      <c r="B247" s="3063" t="s">
        <v>3321</v>
      </c>
      <c r="C247" s="3063" t="s">
        <v>3319</v>
      </c>
      <c r="D247" s="3063" t="s">
        <v>3073</v>
      </c>
      <c r="E247" s="3279">
        <v>96.2</v>
      </c>
    </row>
    <row r="248" spans="1:5">
      <c r="A248" s="3063">
        <v>246</v>
      </c>
      <c r="B248" s="3063" t="s">
        <v>3322</v>
      </c>
      <c r="C248" s="3063" t="s">
        <v>3319</v>
      </c>
      <c r="D248" s="3063" t="s">
        <v>3073</v>
      </c>
      <c r="E248" s="3279">
        <v>52.07</v>
      </c>
    </row>
    <row r="249" spans="1:5">
      <c r="A249" s="3063">
        <v>247</v>
      </c>
      <c r="B249" s="3063" t="s">
        <v>3323</v>
      </c>
      <c r="C249" s="3063" t="s">
        <v>3319</v>
      </c>
      <c r="D249" s="3063" t="s">
        <v>3073</v>
      </c>
      <c r="E249" s="3279">
        <v>119.4</v>
      </c>
    </row>
    <row r="250" spans="1:5">
      <c r="A250" s="3063">
        <v>248</v>
      </c>
      <c r="B250" s="3063" t="s">
        <v>3324</v>
      </c>
      <c r="C250" s="3063" t="s">
        <v>3319</v>
      </c>
      <c r="D250" s="3063" t="s">
        <v>3073</v>
      </c>
      <c r="E250" s="3279">
        <v>109.95</v>
      </c>
    </row>
    <row r="251" spans="1:5">
      <c r="A251" s="3063">
        <v>249</v>
      </c>
      <c r="B251" s="3063" t="s">
        <v>3325</v>
      </c>
      <c r="C251" s="3063" t="s">
        <v>3319</v>
      </c>
      <c r="D251" s="3063" t="s">
        <v>3073</v>
      </c>
      <c r="E251" s="3279">
        <v>199.65</v>
      </c>
    </row>
    <row r="252" spans="1:5">
      <c r="A252" s="3063">
        <v>250</v>
      </c>
      <c r="B252" s="3063" t="s">
        <v>3326</v>
      </c>
      <c r="C252" s="3063" t="s">
        <v>3319</v>
      </c>
      <c r="D252" s="3063" t="s">
        <v>3073</v>
      </c>
      <c r="E252" s="3279">
        <v>132.15</v>
      </c>
    </row>
    <row r="253" spans="1:5">
      <c r="A253" s="3063">
        <v>251</v>
      </c>
      <c r="B253" s="3063" t="s">
        <v>3327</v>
      </c>
      <c r="C253" s="3063" t="s">
        <v>3319</v>
      </c>
      <c r="D253" s="3063" t="s">
        <v>3073</v>
      </c>
      <c r="E253" s="3279">
        <v>139.30000000000001</v>
      </c>
    </row>
    <row r="254" spans="1:5">
      <c r="A254" s="3063">
        <v>252</v>
      </c>
      <c r="B254" s="3063" t="s">
        <v>3328</v>
      </c>
      <c r="C254" s="3063" t="s">
        <v>3319</v>
      </c>
      <c r="D254" s="3063" t="s">
        <v>3073</v>
      </c>
      <c r="E254" s="3279">
        <v>60.6</v>
      </c>
    </row>
    <row r="255" spans="1:5">
      <c r="A255" s="3063">
        <v>253</v>
      </c>
      <c r="B255" s="3063" t="s">
        <v>3329</v>
      </c>
      <c r="C255" s="3063" t="s">
        <v>3319</v>
      </c>
      <c r="D255" s="3063" t="s">
        <v>3073</v>
      </c>
      <c r="E255" s="3279">
        <v>42.67</v>
      </c>
    </row>
    <row r="256" spans="1:5">
      <c r="A256" s="3063">
        <v>254</v>
      </c>
      <c r="B256" s="3063" t="s">
        <v>3330</v>
      </c>
      <c r="C256" s="3063" t="s">
        <v>3319</v>
      </c>
      <c r="D256" s="3063" t="s">
        <v>3073</v>
      </c>
      <c r="E256" s="3279">
        <v>39.89</v>
      </c>
    </row>
    <row r="257" spans="1:5">
      <c r="A257" s="3063">
        <v>255</v>
      </c>
      <c r="B257" s="3063" t="s">
        <v>3331</v>
      </c>
      <c r="C257" s="3063" t="s">
        <v>3319</v>
      </c>
      <c r="D257" s="3063" t="s">
        <v>3073</v>
      </c>
      <c r="E257" s="3279">
        <v>47.31</v>
      </c>
    </row>
    <row r="258" spans="1:5">
      <c r="A258" s="3063">
        <v>256</v>
      </c>
      <c r="B258" s="3063" t="s">
        <v>3332</v>
      </c>
      <c r="C258" s="3063" t="s">
        <v>3319</v>
      </c>
      <c r="D258" s="3063" t="s">
        <v>3073</v>
      </c>
      <c r="E258" s="3279">
        <v>47.31</v>
      </c>
    </row>
    <row r="259" spans="1:5">
      <c r="A259" s="3063">
        <v>257</v>
      </c>
      <c r="B259" s="3063" t="s">
        <v>3333</v>
      </c>
      <c r="C259" s="3063" t="s">
        <v>3319</v>
      </c>
      <c r="D259" s="3063" t="s">
        <v>3073</v>
      </c>
      <c r="E259" s="3279">
        <v>53.8</v>
      </c>
    </row>
    <row r="260" spans="1:5">
      <c r="A260" s="3063">
        <v>258</v>
      </c>
      <c r="B260" s="3063" t="s">
        <v>3334</v>
      </c>
      <c r="C260" s="3063" t="s">
        <v>3319</v>
      </c>
      <c r="D260" s="3063" t="s">
        <v>3073</v>
      </c>
      <c r="E260" s="3279">
        <v>52.05</v>
      </c>
    </row>
    <row r="261" spans="1:5">
      <c r="A261" s="3063">
        <v>259</v>
      </c>
      <c r="B261" s="3063" t="s">
        <v>3335</v>
      </c>
      <c r="C261" s="3063" t="s">
        <v>3319</v>
      </c>
      <c r="D261" s="3063" t="s">
        <v>3073</v>
      </c>
      <c r="E261" s="3279">
        <v>41.07</v>
      </c>
    </row>
    <row r="262" spans="1:5">
      <c r="A262" s="3063">
        <v>260</v>
      </c>
      <c r="B262" s="3063" t="s">
        <v>3336</v>
      </c>
      <c r="C262" s="3063" t="s">
        <v>3319</v>
      </c>
      <c r="D262" s="3063" t="s">
        <v>3073</v>
      </c>
      <c r="E262" s="3279">
        <v>75.66</v>
      </c>
    </row>
    <row r="263" spans="1:5">
      <c r="A263" s="3063">
        <v>261</v>
      </c>
      <c r="B263" s="3063" t="s">
        <v>3337</v>
      </c>
      <c r="C263" s="3063" t="s">
        <v>3319</v>
      </c>
      <c r="D263" s="3063" t="s">
        <v>3073</v>
      </c>
      <c r="E263" s="3279">
        <v>79.44</v>
      </c>
    </row>
    <row r="264" spans="1:5">
      <c r="A264" s="3063">
        <v>262</v>
      </c>
      <c r="B264" s="3063" t="s">
        <v>3338</v>
      </c>
      <c r="C264" s="3063" t="s">
        <v>3319</v>
      </c>
      <c r="D264" s="3063" t="s">
        <v>3073</v>
      </c>
      <c r="E264" s="3279">
        <v>79.44</v>
      </c>
    </row>
    <row r="265" spans="1:5">
      <c r="A265" s="3063">
        <v>263</v>
      </c>
      <c r="B265" s="3063" t="s">
        <v>3339</v>
      </c>
      <c r="C265" s="3063" t="s">
        <v>3319</v>
      </c>
      <c r="D265" s="3063" t="s">
        <v>3073</v>
      </c>
      <c r="E265" s="3279">
        <v>79.44</v>
      </c>
    </row>
    <row r="266" spans="1:5">
      <c r="A266" s="3063">
        <v>264</v>
      </c>
      <c r="B266" s="3063" t="s">
        <v>3340</v>
      </c>
      <c r="C266" s="3063" t="s">
        <v>3319</v>
      </c>
      <c r="D266" s="3063" t="s">
        <v>3073</v>
      </c>
      <c r="E266" s="3279">
        <v>79.44</v>
      </c>
    </row>
    <row r="267" spans="1:5">
      <c r="A267" s="3063">
        <v>265</v>
      </c>
      <c r="B267" s="3063" t="s">
        <v>3341</v>
      </c>
      <c r="C267" s="3063" t="s">
        <v>3319</v>
      </c>
      <c r="D267" s="3063" t="s">
        <v>3073</v>
      </c>
      <c r="E267" s="3279">
        <v>79.44</v>
      </c>
    </row>
    <row r="268" spans="1:5">
      <c r="A268" s="3063">
        <v>266</v>
      </c>
      <c r="B268" s="3063" t="s">
        <v>3342</v>
      </c>
      <c r="C268" s="3063" t="s">
        <v>3319</v>
      </c>
      <c r="D268" s="3063" t="s">
        <v>3073</v>
      </c>
      <c r="E268" s="3279">
        <v>98.36</v>
      </c>
    </row>
    <row r="269" spans="1:5">
      <c r="A269" s="3063">
        <v>267</v>
      </c>
      <c r="B269" s="3063" t="s">
        <v>3343</v>
      </c>
      <c r="C269" s="3063" t="s">
        <v>3319</v>
      </c>
      <c r="D269" s="3063" t="s">
        <v>3073</v>
      </c>
      <c r="E269" s="3279">
        <v>67.989999999999995</v>
      </c>
    </row>
    <row r="270" spans="1:5">
      <c r="A270" s="3063">
        <v>268</v>
      </c>
      <c r="B270" s="3063" t="s">
        <v>3344</v>
      </c>
      <c r="C270" s="3063" t="s">
        <v>3319</v>
      </c>
      <c r="D270" s="3063" t="s">
        <v>3073</v>
      </c>
      <c r="E270" s="3279">
        <v>79.44</v>
      </c>
    </row>
    <row r="271" spans="1:5">
      <c r="A271" s="3063">
        <v>269</v>
      </c>
      <c r="B271" s="3063" t="s">
        <v>3345</v>
      </c>
      <c r="C271" s="3063" t="s">
        <v>3319</v>
      </c>
      <c r="D271" s="3063" t="s">
        <v>3073</v>
      </c>
      <c r="E271" s="3279">
        <v>79.44</v>
      </c>
    </row>
    <row r="272" spans="1:5">
      <c r="A272" s="3063">
        <v>270</v>
      </c>
      <c r="B272" s="3063" t="s">
        <v>3346</v>
      </c>
      <c r="C272" s="3063" t="s">
        <v>3319</v>
      </c>
      <c r="D272" s="3063" t="s">
        <v>3073</v>
      </c>
      <c r="E272" s="3279">
        <v>79.44</v>
      </c>
    </row>
    <row r="273" spans="1:5">
      <c r="A273" s="3063">
        <v>271</v>
      </c>
      <c r="B273" s="3063" t="s">
        <v>3347</v>
      </c>
      <c r="C273" s="3063" t="s">
        <v>3319</v>
      </c>
      <c r="D273" s="3063" t="s">
        <v>3073</v>
      </c>
      <c r="E273" s="3279">
        <v>79.44</v>
      </c>
    </row>
    <row r="274" spans="1:5">
      <c r="A274" s="3063">
        <v>272</v>
      </c>
      <c r="B274" s="3063" t="s">
        <v>3348</v>
      </c>
      <c r="C274" s="3063" t="s">
        <v>3319</v>
      </c>
      <c r="D274" s="3063" t="s">
        <v>3073</v>
      </c>
      <c r="E274" s="3279">
        <v>79.44</v>
      </c>
    </row>
    <row r="275" spans="1:5">
      <c r="A275" s="3063">
        <v>273</v>
      </c>
      <c r="B275" s="3063" t="s">
        <v>3349</v>
      </c>
      <c r="C275" s="3063" t="s">
        <v>3319</v>
      </c>
      <c r="D275" s="3063" t="s">
        <v>3073</v>
      </c>
      <c r="E275" s="3279">
        <v>118.73</v>
      </c>
    </row>
    <row r="276" spans="1:5">
      <c r="A276" s="3063">
        <v>274</v>
      </c>
      <c r="B276" s="3063" t="s">
        <v>3350</v>
      </c>
      <c r="C276" s="3063" t="s">
        <v>3319</v>
      </c>
      <c r="D276" s="3063" t="s">
        <v>3073</v>
      </c>
      <c r="E276" s="3279">
        <v>26.08</v>
      </c>
    </row>
    <row r="277" spans="1:5">
      <c r="A277" s="3063">
        <v>275</v>
      </c>
      <c r="B277" s="3063" t="s">
        <v>3351</v>
      </c>
      <c r="C277" s="3063" t="s">
        <v>3319</v>
      </c>
      <c r="D277" s="3063" t="s">
        <v>3073</v>
      </c>
      <c r="E277" s="3279">
        <v>14.62</v>
      </c>
    </row>
    <row r="278" spans="1:5">
      <c r="A278" s="3063">
        <v>276</v>
      </c>
      <c r="B278" s="3063" t="s">
        <v>3352</v>
      </c>
      <c r="C278" s="3063" t="s">
        <v>3319</v>
      </c>
      <c r="D278" s="3063" t="s">
        <v>3073</v>
      </c>
      <c r="E278" s="3279">
        <v>28.94</v>
      </c>
    </row>
    <row r="279" spans="1:5">
      <c r="A279" s="3063">
        <v>277</v>
      </c>
      <c r="B279" s="3063" t="s">
        <v>3353</v>
      </c>
      <c r="C279" s="3063" t="s">
        <v>3319</v>
      </c>
      <c r="D279" s="3063" t="s">
        <v>3073</v>
      </c>
      <c r="E279" s="3279">
        <v>56.91</v>
      </c>
    </row>
    <row r="280" spans="1:5">
      <c r="A280" s="3063">
        <v>278</v>
      </c>
      <c r="B280" s="3063" t="s">
        <v>3354</v>
      </c>
      <c r="C280" s="3063" t="s">
        <v>3319</v>
      </c>
      <c r="D280" s="3063" t="s">
        <v>3073</v>
      </c>
      <c r="E280" s="3279">
        <v>59.01</v>
      </c>
    </row>
    <row r="281" spans="1:5">
      <c r="A281" s="3063">
        <v>279</v>
      </c>
      <c r="B281" s="3063" t="s">
        <v>3355</v>
      </c>
      <c r="C281" s="3063" t="s">
        <v>3319</v>
      </c>
      <c r="D281" s="3063" t="s">
        <v>3073</v>
      </c>
      <c r="E281" s="3279">
        <v>67.510000000000005</v>
      </c>
    </row>
    <row r="282" spans="1:5">
      <c r="A282" s="3063">
        <v>280</v>
      </c>
      <c r="B282" s="3063" t="s">
        <v>3356</v>
      </c>
      <c r="C282" s="3063" t="s">
        <v>3319</v>
      </c>
      <c r="D282" s="3063" t="s">
        <v>3073</v>
      </c>
      <c r="E282" s="3279">
        <v>79.209999999999994</v>
      </c>
    </row>
    <row r="283" spans="1:5">
      <c r="A283" s="3063">
        <v>281</v>
      </c>
      <c r="B283" s="3063" t="s">
        <v>3357</v>
      </c>
      <c r="C283" s="3063" t="s">
        <v>3319</v>
      </c>
      <c r="D283" s="3063" t="s">
        <v>3073</v>
      </c>
      <c r="E283" s="3279">
        <v>20.88</v>
      </c>
    </row>
    <row r="284" spans="1:5">
      <c r="A284" s="3063">
        <v>282</v>
      </c>
      <c r="B284" s="3063" t="s">
        <v>3358</v>
      </c>
      <c r="C284" s="3063" t="s">
        <v>3319</v>
      </c>
      <c r="D284" s="3063" t="s">
        <v>3073</v>
      </c>
      <c r="E284" s="3279">
        <v>40.700000000000003</v>
      </c>
    </row>
    <row r="285" spans="1:5">
      <c r="A285" s="3063">
        <v>283</v>
      </c>
      <c r="B285" s="3063" t="s">
        <v>3359</v>
      </c>
      <c r="C285" s="3063" t="s">
        <v>3319</v>
      </c>
      <c r="D285" s="3063" t="s">
        <v>3073</v>
      </c>
      <c r="E285" s="3279">
        <v>48.89</v>
      </c>
    </row>
    <row r="286" spans="1:5">
      <c r="A286" s="3063">
        <v>284</v>
      </c>
      <c r="B286" s="3063" t="s">
        <v>3360</v>
      </c>
      <c r="C286" s="3063" t="s">
        <v>3319</v>
      </c>
      <c r="D286" s="3063" t="s">
        <v>3073</v>
      </c>
      <c r="E286" s="3279">
        <v>48.89</v>
      </c>
    </row>
    <row r="287" spans="1:5">
      <c r="A287" s="3063">
        <v>285</v>
      </c>
      <c r="B287" s="3063" t="s">
        <v>3361</v>
      </c>
      <c r="C287" s="3063" t="s">
        <v>3319</v>
      </c>
      <c r="D287" s="3063" t="s">
        <v>3073</v>
      </c>
      <c r="E287" s="3279">
        <v>48.89</v>
      </c>
    </row>
    <row r="288" spans="1:5">
      <c r="A288" s="3063">
        <v>286</v>
      </c>
      <c r="B288" s="3063" t="s">
        <v>3362</v>
      </c>
      <c r="C288" s="3063" t="s">
        <v>3319</v>
      </c>
      <c r="D288" s="3063" t="s">
        <v>3073</v>
      </c>
      <c r="E288" s="3279">
        <v>48.89</v>
      </c>
    </row>
    <row r="289" spans="1:5">
      <c r="A289" s="3063">
        <v>287</v>
      </c>
      <c r="B289" s="3063" t="s">
        <v>3363</v>
      </c>
      <c r="C289" s="3063" t="s">
        <v>3319</v>
      </c>
      <c r="D289" s="3063" t="s">
        <v>3073</v>
      </c>
      <c r="E289" s="3279">
        <v>62.42</v>
      </c>
    </row>
    <row r="290" spans="1:5">
      <c r="A290" s="3063">
        <v>288</v>
      </c>
      <c r="B290" s="3063" t="s">
        <v>3364</v>
      </c>
      <c r="C290" s="3063" t="s">
        <v>3319</v>
      </c>
      <c r="D290" s="3063" t="s">
        <v>3073</v>
      </c>
      <c r="E290" s="3279">
        <v>49.22</v>
      </c>
    </row>
    <row r="291" spans="1:5">
      <c r="A291" s="3063">
        <v>289</v>
      </c>
      <c r="B291" s="3063" t="s">
        <v>3365</v>
      </c>
      <c r="C291" s="3063" t="s">
        <v>3319</v>
      </c>
      <c r="D291" s="3063" t="s">
        <v>3073</v>
      </c>
      <c r="E291" s="3279">
        <v>70.010000000000005</v>
      </c>
    </row>
    <row r="292" spans="1:5">
      <c r="A292" s="3063">
        <v>290</v>
      </c>
      <c r="B292" s="3063" t="s">
        <v>3366</v>
      </c>
      <c r="C292" s="3063" t="s">
        <v>3319</v>
      </c>
      <c r="D292" s="3063" t="s">
        <v>3073</v>
      </c>
      <c r="E292" s="3279">
        <v>95.79</v>
      </c>
    </row>
    <row r="293" spans="1:5">
      <c r="A293" s="3063">
        <v>291</v>
      </c>
      <c r="B293" s="3063" t="s">
        <v>3367</v>
      </c>
      <c r="C293" s="3063" t="s">
        <v>3319</v>
      </c>
      <c r="D293" s="3063" t="s">
        <v>3073</v>
      </c>
      <c r="E293" s="3279">
        <v>37.94</v>
      </c>
    </row>
    <row r="294" spans="1:5">
      <c r="A294" s="3063">
        <v>292</v>
      </c>
      <c r="B294" s="3063" t="s">
        <v>3368</v>
      </c>
      <c r="C294" s="3063" t="s">
        <v>3319</v>
      </c>
      <c r="D294" s="3063" t="s">
        <v>3073</v>
      </c>
      <c r="E294" s="3279">
        <v>37.94</v>
      </c>
    </row>
    <row r="295" spans="1:5">
      <c r="A295" s="3063">
        <v>293</v>
      </c>
      <c r="B295" s="3063" t="s">
        <v>3369</v>
      </c>
      <c r="C295" s="3063" t="s">
        <v>3319</v>
      </c>
      <c r="D295" s="3063" t="s">
        <v>3073</v>
      </c>
      <c r="E295" s="3279">
        <v>10551.17</v>
      </c>
    </row>
    <row r="296" spans="1:5">
      <c r="A296" s="3063">
        <v>294</v>
      </c>
      <c r="B296" s="3063" t="s">
        <v>3370</v>
      </c>
      <c r="C296" s="3063" t="s">
        <v>3319</v>
      </c>
      <c r="D296" s="3063" t="s">
        <v>3073</v>
      </c>
      <c r="E296" s="3279">
        <v>31.7</v>
      </c>
    </row>
    <row r="297" spans="1:5">
      <c r="A297" s="3063">
        <v>295</v>
      </c>
      <c r="B297" s="3063" t="s">
        <v>3371</v>
      </c>
      <c r="C297" s="3063" t="s">
        <v>3319</v>
      </c>
      <c r="D297" s="3063" t="s">
        <v>3073</v>
      </c>
      <c r="E297" s="3279">
        <v>19.920000000000002</v>
      </c>
    </row>
    <row r="298" spans="1:5">
      <c r="A298" s="3063">
        <v>296</v>
      </c>
      <c r="B298" s="3063" t="s">
        <v>3372</v>
      </c>
      <c r="C298" s="3063" t="s">
        <v>3319</v>
      </c>
      <c r="D298" s="3063" t="s">
        <v>3073</v>
      </c>
      <c r="E298" s="3279">
        <v>54.33</v>
      </c>
    </row>
    <row r="299" spans="1:5">
      <c r="A299" s="3063">
        <v>297</v>
      </c>
      <c r="B299" s="3063" t="s">
        <v>3373</v>
      </c>
      <c r="C299" s="3063" t="s">
        <v>3319</v>
      </c>
      <c r="D299" s="3063" t="s">
        <v>3073</v>
      </c>
      <c r="E299" s="3279">
        <v>54.33</v>
      </c>
    </row>
    <row r="300" spans="1:5">
      <c r="A300" s="3063">
        <v>298</v>
      </c>
      <c r="B300" s="3063" t="s">
        <v>3374</v>
      </c>
      <c r="C300" s="3063" t="s">
        <v>3319</v>
      </c>
      <c r="D300" s="3063" t="s">
        <v>3073</v>
      </c>
      <c r="E300" s="3279">
        <v>54.33</v>
      </c>
    </row>
    <row r="301" spans="1:5">
      <c r="A301" s="3063">
        <v>299</v>
      </c>
      <c r="B301" s="3063" t="s">
        <v>3375</v>
      </c>
      <c r="C301" s="3063" t="s">
        <v>3319</v>
      </c>
      <c r="D301" s="3063" t="s">
        <v>3073</v>
      </c>
      <c r="E301" s="3279">
        <v>54.33</v>
      </c>
    </row>
    <row r="302" spans="1:5">
      <c r="A302" s="3063">
        <v>300</v>
      </c>
      <c r="B302" s="3063" t="s">
        <v>3376</v>
      </c>
      <c r="C302" s="3063" t="s">
        <v>3319</v>
      </c>
      <c r="D302" s="3063" t="s">
        <v>3073</v>
      </c>
      <c r="E302" s="3279">
        <v>51.04</v>
      </c>
    </row>
    <row r="303" spans="1:5">
      <c r="A303" s="3063">
        <v>301</v>
      </c>
      <c r="B303" s="3063" t="s">
        <v>3377</v>
      </c>
      <c r="C303" s="3063" t="s">
        <v>3319</v>
      </c>
      <c r="D303" s="3063" t="s">
        <v>3073</v>
      </c>
      <c r="E303" s="3279">
        <v>206.47</v>
      </c>
    </row>
    <row r="304" spans="1:5">
      <c r="A304" s="3063">
        <v>302</v>
      </c>
      <c r="B304" s="3063" t="s">
        <v>3378</v>
      </c>
      <c r="C304" s="3063" t="s">
        <v>3319</v>
      </c>
      <c r="D304" s="3063" t="s">
        <v>3073</v>
      </c>
      <c r="E304" s="3279">
        <v>74.680000000000007</v>
      </c>
    </row>
    <row r="305" spans="1:5">
      <c r="A305" s="3065" t="s">
        <v>3379</v>
      </c>
      <c r="B305" s="3065"/>
      <c r="C305" s="3065"/>
      <c r="D305" s="3065"/>
      <c r="E305" s="3280">
        <v>58217.440000000002</v>
      </c>
    </row>
    <row r="306" spans="1:5">
      <c r="A306" s="3063">
        <v>303</v>
      </c>
      <c r="B306" s="3063" t="s">
        <v>3380</v>
      </c>
      <c r="C306" s="3063" t="s">
        <v>3381</v>
      </c>
      <c r="D306" s="3063" t="s">
        <v>3382</v>
      </c>
      <c r="E306" s="3279">
        <v>38.79</v>
      </c>
    </row>
    <row r="307" spans="1:5">
      <c r="A307" s="3063">
        <v>304</v>
      </c>
      <c r="B307" s="3063" t="s">
        <v>3383</v>
      </c>
      <c r="C307" s="3063" t="s">
        <v>3381</v>
      </c>
      <c r="D307" s="3063" t="s">
        <v>3382</v>
      </c>
      <c r="E307" s="3279">
        <v>38.79</v>
      </c>
    </row>
    <row r="308" spans="1:5">
      <c r="A308" s="3063">
        <v>305</v>
      </c>
      <c r="B308" s="3063" t="s">
        <v>3384</v>
      </c>
      <c r="C308" s="3063" t="s">
        <v>3381</v>
      </c>
      <c r="D308" s="3063" t="s">
        <v>3382</v>
      </c>
      <c r="E308" s="3279">
        <v>38.79</v>
      </c>
    </row>
    <row r="309" spans="1:5">
      <c r="A309" s="3063">
        <v>306</v>
      </c>
      <c r="B309" s="3063" t="s">
        <v>3385</v>
      </c>
      <c r="C309" s="3063" t="s">
        <v>3381</v>
      </c>
      <c r="D309" s="3063" t="s">
        <v>3382</v>
      </c>
      <c r="E309" s="3279">
        <v>38.79</v>
      </c>
    </row>
    <row r="310" spans="1:5">
      <c r="A310" s="3063">
        <v>307</v>
      </c>
      <c r="B310" s="3063" t="s">
        <v>3386</v>
      </c>
      <c r="C310" s="3063" t="s">
        <v>3381</v>
      </c>
      <c r="D310" s="3063" t="s">
        <v>3382</v>
      </c>
      <c r="E310" s="3279">
        <v>38.79</v>
      </c>
    </row>
    <row r="311" spans="1:5">
      <c r="A311" s="3063">
        <v>308</v>
      </c>
      <c r="B311" s="3063" t="s">
        <v>3387</v>
      </c>
      <c r="C311" s="3063" t="s">
        <v>3381</v>
      </c>
      <c r="D311" s="3063" t="s">
        <v>3382</v>
      </c>
      <c r="E311" s="3279">
        <v>38.79</v>
      </c>
    </row>
    <row r="312" spans="1:5">
      <c r="A312" s="3063">
        <v>309</v>
      </c>
      <c r="B312" s="3063" t="s">
        <v>3388</v>
      </c>
      <c r="C312" s="3063" t="s">
        <v>3381</v>
      </c>
      <c r="D312" s="3063" t="s">
        <v>3382</v>
      </c>
      <c r="E312" s="3279">
        <v>38.79</v>
      </c>
    </row>
    <row r="313" spans="1:5">
      <c r="A313" s="3063">
        <v>310</v>
      </c>
      <c r="B313" s="3063" t="s">
        <v>3389</v>
      </c>
      <c r="C313" s="3063" t="s">
        <v>3381</v>
      </c>
      <c r="D313" s="3063" t="s">
        <v>3382</v>
      </c>
      <c r="E313" s="3279">
        <v>38.79</v>
      </c>
    </row>
    <row r="314" spans="1:5">
      <c r="A314" s="3063">
        <v>311</v>
      </c>
      <c r="B314" s="3063" t="s">
        <v>3390</v>
      </c>
      <c r="C314" s="3063" t="s">
        <v>3381</v>
      </c>
      <c r="D314" s="3063" t="s">
        <v>3382</v>
      </c>
      <c r="E314" s="3279">
        <v>38.79</v>
      </c>
    </row>
    <row r="315" spans="1:5">
      <c r="A315" s="3063">
        <v>312</v>
      </c>
      <c r="B315" s="3063" t="s">
        <v>3391</v>
      </c>
      <c r="C315" s="3063" t="s">
        <v>3381</v>
      </c>
      <c r="D315" s="3063" t="s">
        <v>3382</v>
      </c>
      <c r="E315" s="3279">
        <v>38.79</v>
      </c>
    </row>
    <row r="316" spans="1:5">
      <c r="A316" s="3063">
        <v>313</v>
      </c>
      <c r="B316" s="3063" t="s">
        <v>3392</v>
      </c>
      <c r="C316" s="3063" t="s">
        <v>3381</v>
      </c>
      <c r="D316" s="3063" t="s">
        <v>3382</v>
      </c>
      <c r="E316" s="3279">
        <v>38.79</v>
      </c>
    </row>
    <row r="317" spans="1:5">
      <c r="A317" s="3063">
        <v>314</v>
      </c>
      <c r="B317" s="3063" t="s">
        <v>3393</v>
      </c>
      <c r="C317" s="3063" t="s">
        <v>3381</v>
      </c>
      <c r="D317" s="3063" t="s">
        <v>3382</v>
      </c>
      <c r="E317" s="3279">
        <v>38.79</v>
      </c>
    </row>
    <row r="318" spans="1:5">
      <c r="A318" s="3063">
        <v>315</v>
      </c>
      <c r="B318" s="3063" t="s">
        <v>3394</v>
      </c>
      <c r="C318" s="3063" t="s">
        <v>3381</v>
      </c>
      <c r="D318" s="3063" t="s">
        <v>3382</v>
      </c>
      <c r="E318" s="3279">
        <v>38.79</v>
      </c>
    </row>
    <row r="319" spans="1:5">
      <c r="A319" s="3063">
        <v>316</v>
      </c>
      <c r="B319" s="3063" t="s">
        <v>3395</v>
      </c>
      <c r="C319" s="3063" t="s">
        <v>3381</v>
      </c>
      <c r="D319" s="3063" t="s">
        <v>3382</v>
      </c>
      <c r="E319" s="3279">
        <v>38.79</v>
      </c>
    </row>
    <row r="320" spans="1:5">
      <c r="A320" s="3063">
        <v>317</v>
      </c>
      <c r="B320" s="3063" t="s">
        <v>3396</v>
      </c>
      <c r="C320" s="3063" t="s">
        <v>3381</v>
      </c>
      <c r="D320" s="3063" t="s">
        <v>3382</v>
      </c>
      <c r="E320" s="3279">
        <v>38.79</v>
      </c>
    </row>
    <row r="321" spans="1:5">
      <c r="A321" s="3063">
        <v>318</v>
      </c>
      <c r="B321" s="3063" t="s">
        <v>3397</v>
      </c>
      <c r="C321" s="3063" t="s">
        <v>3381</v>
      </c>
      <c r="D321" s="3063" t="s">
        <v>3382</v>
      </c>
      <c r="E321" s="3279">
        <v>38.79</v>
      </c>
    </row>
    <row r="322" spans="1:5">
      <c r="A322" s="3063">
        <v>319</v>
      </c>
      <c r="B322" s="3063" t="s">
        <v>3398</v>
      </c>
      <c r="C322" s="3063" t="s">
        <v>3381</v>
      </c>
      <c r="D322" s="3063" t="s">
        <v>3382</v>
      </c>
      <c r="E322" s="3279">
        <v>38.79</v>
      </c>
    </row>
    <row r="323" spans="1:5">
      <c r="A323" s="3063">
        <v>320</v>
      </c>
      <c r="B323" s="3063" t="s">
        <v>3399</v>
      </c>
      <c r="C323" s="3063" t="s">
        <v>3381</v>
      </c>
      <c r="D323" s="3063" t="s">
        <v>3382</v>
      </c>
      <c r="E323" s="3279">
        <v>38.79</v>
      </c>
    </row>
    <row r="324" spans="1:5">
      <c r="A324" s="3063">
        <v>321</v>
      </c>
      <c r="B324" s="3063" t="s">
        <v>3400</v>
      </c>
      <c r="C324" s="3063" t="s">
        <v>3381</v>
      </c>
      <c r="D324" s="3063" t="s">
        <v>3382</v>
      </c>
      <c r="E324" s="3279">
        <v>38.79</v>
      </c>
    </row>
    <row r="325" spans="1:5">
      <c r="A325" s="3063">
        <v>322</v>
      </c>
      <c r="B325" s="3063" t="s">
        <v>3401</v>
      </c>
      <c r="C325" s="3063" t="s">
        <v>3381</v>
      </c>
      <c r="D325" s="3063" t="s">
        <v>3382</v>
      </c>
      <c r="E325" s="3279">
        <v>38.79</v>
      </c>
    </row>
    <row r="326" spans="1:5">
      <c r="A326" s="3063">
        <v>323</v>
      </c>
      <c r="B326" s="3063" t="s">
        <v>3402</v>
      </c>
      <c r="C326" s="3063" t="s">
        <v>3381</v>
      </c>
      <c r="D326" s="3063" t="s">
        <v>3382</v>
      </c>
      <c r="E326" s="3279">
        <v>38.79</v>
      </c>
    </row>
    <row r="327" spans="1:5">
      <c r="A327" s="3063">
        <v>324</v>
      </c>
      <c r="B327" s="3063" t="s">
        <v>3403</v>
      </c>
      <c r="C327" s="3063" t="s">
        <v>3381</v>
      </c>
      <c r="D327" s="3063" t="s">
        <v>3382</v>
      </c>
      <c r="E327" s="3279">
        <v>38.79</v>
      </c>
    </row>
    <row r="328" spans="1:5">
      <c r="A328" s="3063">
        <v>325</v>
      </c>
      <c r="B328" s="3063" t="s">
        <v>3404</v>
      </c>
      <c r="C328" s="3063" t="s">
        <v>3381</v>
      </c>
      <c r="D328" s="3063" t="s">
        <v>3382</v>
      </c>
      <c r="E328" s="3279">
        <v>38.79</v>
      </c>
    </row>
    <row r="329" spans="1:5">
      <c r="A329" s="3063">
        <v>326</v>
      </c>
      <c r="B329" s="3063" t="s">
        <v>3405</v>
      </c>
      <c r="C329" s="3063" t="s">
        <v>3381</v>
      </c>
      <c r="D329" s="3063" t="s">
        <v>3382</v>
      </c>
      <c r="E329" s="3279">
        <v>38.79</v>
      </c>
    </row>
    <row r="330" spans="1:5">
      <c r="A330" s="3063">
        <v>327</v>
      </c>
      <c r="B330" s="3063" t="s">
        <v>3406</v>
      </c>
      <c r="C330" s="3063" t="s">
        <v>3381</v>
      </c>
      <c r="D330" s="3063" t="s">
        <v>3382</v>
      </c>
      <c r="E330" s="3279">
        <v>38.79</v>
      </c>
    </row>
    <row r="331" spans="1:5">
      <c r="A331" s="3063">
        <v>328</v>
      </c>
      <c r="B331" s="3063" t="s">
        <v>3407</v>
      </c>
      <c r="C331" s="3063" t="s">
        <v>3381</v>
      </c>
      <c r="D331" s="3063" t="s">
        <v>3382</v>
      </c>
      <c r="E331" s="3279">
        <v>38.79</v>
      </c>
    </row>
    <row r="332" spans="1:5">
      <c r="A332" s="3063">
        <v>329</v>
      </c>
      <c r="B332" s="3063" t="s">
        <v>3408</v>
      </c>
      <c r="C332" s="3063" t="s">
        <v>3381</v>
      </c>
      <c r="D332" s="3063" t="s">
        <v>3382</v>
      </c>
      <c r="E332" s="3279">
        <v>38.79</v>
      </c>
    </row>
    <row r="333" spans="1:5">
      <c r="A333" s="3063">
        <v>330</v>
      </c>
      <c r="B333" s="3063" t="s">
        <v>3409</v>
      </c>
      <c r="C333" s="3063" t="s">
        <v>3381</v>
      </c>
      <c r="D333" s="3063" t="s">
        <v>3382</v>
      </c>
      <c r="E333" s="3279">
        <v>38.79</v>
      </c>
    </row>
    <row r="334" spans="1:5">
      <c r="A334" s="3063">
        <v>331</v>
      </c>
      <c r="B334" s="3063" t="s">
        <v>3410</v>
      </c>
      <c r="C334" s="3063" t="s">
        <v>3381</v>
      </c>
      <c r="D334" s="3063" t="s">
        <v>3382</v>
      </c>
      <c r="E334" s="3279">
        <v>38.79</v>
      </c>
    </row>
    <row r="335" spans="1:5">
      <c r="A335" s="3063">
        <v>332</v>
      </c>
      <c r="B335" s="3063" t="s">
        <v>3411</v>
      </c>
      <c r="C335" s="3063" t="s">
        <v>3381</v>
      </c>
      <c r="D335" s="3063" t="s">
        <v>3382</v>
      </c>
      <c r="E335" s="3279">
        <v>38.79</v>
      </c>
    </row>
    <row r="336" spans="1:5">
      <c r="A336" s="3063">
        <v>333</v>
      </c>
      <c r="B336" s="3063" t="s">
        <v>3412</v>
      </c>
      <c r="C336" s="3063" t="s">
        <v>3381</v>
      </c>
      <c r="D336" s="3063" t="s">
        <v>3382</v>
      </c>
      <c r="E336" s="3279">
        <v>38.79</v>
      </c>
    </row>
    <row r="337" spans="1:5">
      <c r="A337" s="3063">
        <v>334</v>
      </c>
      <c r="B337" s="3063" t="s">
        <v>3413</v>
      </c>
      <c r="C337" s="3063" t="s">
        <v>3381</v>
      </c>
      <c r="D337" s="3063" t="s">
        <v>3382</v>
      </c>
      <c r="E337" s="3279">
        <v>38.79</v>
      </c>
    </row>
    <row r="338" spans="1:5">
      <c r="A338" s="3063">
        <v>335</v>
      </c>
      <c r="B338" s="3063" t="s">
        <v>3414</v>
      </c>
      <c r="C338" s="3063" t="s">
        <v>3381</v>
      </c>
      <c r="D338" s="3063" t="s">
        <v>3382</v>
      </c>
      <c r="E338" s="3279">
        <v>38.79</v>
      </c>
    </row>
    <row r="339" spans="1:5">
      <c r="A339" s="3063">
        <v>336</v>
      </c>
      <c r="B339" s="3063" t="s">
        <v>3415</v>
      </c>
      <c r="C339" s="3063" t="s">
        <v>3381</v>
      </c>
      <c r="D339" s="3063" t="s">
        <v>3382</v>
      </c>
      <c r="E339" s="3279">
        <v>38.79</v>
      </c>
    </row>
    <row r="340" spans="1:5">
      <c r="A340" s="3063">
        <v>337</v>
      </c>
      <c r="B340" s="3063" t="s">
        <v>3416</v>
      </c>
      <c r="C340" s="3063" t="s">
        <v>3381</v>
      </c>
      <c r="D340" s="3063" t="s">
        <v>3382</v>
      </c>
      <c r="E340" s="3279">
        <v>38.79</v>
      </c>
    </row>
    <row r="341" spans="1:5">
      <c r="A341" s="3063">
        <v>338</v>
      </c>
      <c r="B341" s="3063" t="s">
        <v>3417</v>
      </c>
      <c r="C341" s="3063" t="s">
        <v>3381</v>
      </c>
      <c r="D341" s="3063" t="s">
        <v>3382</v>
      </c>
      <c r="E341" s="3279">
        <v>38.79</v>
      </c>
    </row>
    <row r="342" spans="1:5">
      <c r="A342" s="3063">
        <v>339</v>
      </c>
      <c r="B342" s="3063" t="s">
        <v>3418</v>
      </c>
      <c r="C342" s="3063" t="s">
        <v>3381</v>
      </c>
      <c r="D342" s="3063" t="s">
        <v>3382</v>
      </c>
      <c r="E342" s="3279">
        <v>38.79</v>
      </c>
    </row>
    <row r="343" spans="1:5">
      <c r="A343" s="3063">
        <v>340</v>
      </c>
      <c r="B343" s="3063" t="s">
        <v>3419</v>
      </c>
      <c r="C343" s="3063" t="s">
        <v>3381</v>
      </c>
      <c r="D343" s="3063" t="s">
        <v>3382</v>
      </c>
      <c r="E343" s="3279">
        <v>38.79</v>
      </c>
    </row>
    <row r="344" spans="1:5">
      <c r="A344" s="3063">
        <v>341</v>
      </c>
      <c r="B344" s="3063" t="s">
        <v>3420</v>
      </c>
      <c r="C344" s="3063" t="s">
        <v>3381</v>
      </c>
      <c r="D344" s="3063" t="s">
        <v>3382</v>
      </c>
      <c r="E344" s="3279">
        <v>38.79</v>
      </c>
    </row>
    <row r="345" spans="1:5">
      <c r="A345" s="3063">
        <v>342</v>
      </c>
      <c r="B345" s="3063" t="s">
        <v>3421</v>
      </c>
      <c r="C345" s="3063" t="s">
        <v>3381</v>
      </c>
      <c r="D345" s="3063" t="s">
        <v>3382</v>
      </c>
      <c r="E345" s="3279">
        <v>38.79</v>
      </c>
    </row>
    <row r="346" spans="1:5">
      <c r="A346" s="3063">
        <v>343</v>
      </c>
      <c r="B346" s="3063" t="s">
        <v>3422</v>
      </c>
      <c r="C346" s="3063" t="s">
        <v>3381</v>
      </c>
      <c r="D346" s="3063" t="s">
        <v>3382</v>
      </c>
      <c r="E346" s="3279">
        <v>38.79</v>
      </c>
    </row>
    <row r="347" spans="1:5">
      <c r="A347" s="3063">
        <v>344</v>
      </c>
      <c r="B347" s="3063" t="s">
        <v>3423</v>
      </c>
      <c r="C347" s="3063" t="s">
        <v>3381</v>
      </c>
      <c r="D347" s="3063" t="s">
        <v>3382</v>
      </c>
      <c r="E347" s="3279">
        <v>38.79</v>
      </c>
    </row>
    <row r="348" spans="1:5">
      <c r="A348" s="3063">
        <v>345</v>
      </c>
      <c r="B348" s="3063" t="s">
        <v>3424</v>
      </c>
      <c r="C348" s="3063" t="s">
        <v>3381</v>
      </c>
      <c r="D348" s="3063" t="s">
        <v>3382</v>
      </c>
      <c r="E348" s="3279">
        <v>38.79</v>
      </c>
    </row>
    <row r="349" spans="1:5">
      <c r="A349" s="3063">
        <v>346</v>
      </c>
      <c r="B349" s="3063" t="s">
        <v>3425</v>
      </c>
      <c r="C349" s="3063" t="s">
        <v>3381</v>
      </c>
      <c r="D349" s="3063" t="s">
        <v>3382</v>
      </c>
      <c r="E349" s="3279">
        <v>38.79</v>
      </c>
    </row>
    <row r="350" spans="1:5">
      <c r="A350" s="3063">
        <v>347</v>
      </c>
      <c r="B350" s="3063" t="s">
        <v>3426</v>
      </c>
      <c r="C350" s="3063" t="s">
        <v>3381</v>
      </c>
      <c r="D350" s="3063" t="s">
        <v>3382</v>
      </c>
      <c r="E350" s="3279">
        <v>38.79</v>
      </c>
    </row>
    <row r="351" spans="1:5">
      <c r="A351" s="3063">
        <v>348</v>
      </c>
      <c r="B351" s="3063" t="s">
        <v>3427</v>
      </c>
      <c r="C351" s="3063" t="s">
        <v>3381</v>
      </c>
      <c r="D351" s="3063" t="s">
        <v>3382</v>
      </c>
      <c r="E351" s="3279">
        <v>38.79</v>
      </c>
    </row>
    <row r="352" spans="1:5">
      <c r="A352" s="3063">
        <v>349</v>
      </c>
      <c r="B352" s="3063" t="s">
        <v>3428</v>
      </c>
      <c r="C352" s="3063" t="s">
        <v>3381</v>
      </c>
      <c r="D352" s="3063" t="s">
        <v>3382</v>
      </c>
      <c r="E352" s="3279">
        <v>38.79</v>
      </c>
    </row>
    <row r="353" spans="1:5">
      <c r="A353" s="3063">
        <v>350</v>
      </c>
      <c r="B353" s="3063" t="s">
        <v>3429</v>
      </c>
      <c r="C353" s="3063" t="s">
        <v>3381</v>
      </c>
      <c r="D353" s="3063" t="s">
        <v>3382</v>
      </c>
      <c r="E353" s="3279">
        <v>38.79</v>
      </c>
    </row>
    <row r="354" spans="1:5">
      <c r="A354" s="3063">
        <v>351</v>
      </c>
      <c r="B354" s="3063" t="s">
        <v>3430</v>
      </c>
      <c r="C354" s="3063" t="s">
        <v>3381</v>
      </c>
      <c r="D354" s="3063" t="s">
        <v>3382</v>
      </c>
      <c r="E354" s="3279">
        <v>38.79</v>
      </c>
    </row>
    <row r="355" spans="1:5">
      <c r="A355" s="3063">
        <v>352</v>
      </c>
      <c r="B355" s="3063" t="s">
        <v>3431</v>
      </c>
      <c r="C355" s="3063" t="s">
        <v>3381</v>
      </c>
      <c r="D355" s="3063" t="s">
        <v>3382</v>
      </c>
      <c r="E355" s="3279">
        <v>38.79</v>
      </c>
    </row>
    <row r="356" spans="1:5">
      <c r="A356" s="3063">
        <v>353</v>
      </c>
      <c r="B356" s="3063" t="s">
        <v>3432</v>
      </c>
      <c r="C356" s="3063" t="s">
        <v>3381</v>
      </c>
      <c r="D356" s="3063" t="s">
        <v>3382</v>
      </c>
      <c r="E356" s="3279">
        <v>38.79</v>
      </c>
    </row>
    <row r="357" spans="1:5">
      <c r="A357" s="3063">
        <v>354</v>
      </c>
      <c r="B357" s="3063" t="s">
        <v>3433</v>
      </c>
      <c r="C357" s="3063" t="s">
        <v>3381</v>
      </c>
      <c r="D357" s="3063" t="s">
        <v>3382</v>
      </c>
      <c r="E357" s="3279">
        <v>38.79</v>
      </c>
    </row>
    <row r="358" spans="1:5">
      <c r="A358" s="3063">
        <v>355</v>
      </c>
      <c r="B358" s="3063" t="s">
        <v>3434</v>
      </c>
      <c r="C358" s="3063" t="s">
        <v>3381</v>
      </c>
      <c r="D358" s="3063" t="s">
        <v>3382</v>
      </c>
      <c r="E358" s="3279">
        <v>38.79</v>
      </c>
    </row>
    <row r="359" spans="1:5">
      <c r="A359" s="3063">
        <v>356</v>
      </c>
      <c r="B359" s="3063" t="s">
        <v>3435</v>
      </c>
      <c r="C359" s="3063" t="s">
        <v>3381</v>
      </c>
      <c r="D359" s="3063" t="s">
        <v>3382</v>
      </c>
      <c r="E359" s="3279">
        <v>38.79</v>
      </c>
    </row>
    <row r="360" spans="1:5">
      <c r="A360" s="3063">
        <v>357</v>
      </c>
      <c r="B360" s="3063" t="s">
        <v>3436</v>
      </c>
      <c r="C360" s="3063" t="s">
        <v>3381</v>
      </c>
      <c r="D360" s="3063" t="s">
        <v>3382</v>
      </c>
      <c r="E360" s="3279">
        <v>38.79</v>
      </c>
    </row>
    <row r="361" spans="1:5">
      <c r="A361" s="3063">
        <v>358</v>
      </c>
      <c r="B361" s="3063" t="s">
        <v>3437</v>
      </c>
      <c r="C361" s="3063" t="s">
        <v>3381</v>
      </c>
      <c r="D361" s="3063" t="s">
        <v>3382</v>
      </c>
      <c r="E361" s="3279">
        <v>38.79</v>
      </c>
    </row>
    <row r="362" spans="1:5">
      <c r="A362" s="3063">
        <v>359</v>
      </c>
      <c r="B362" s="3063" t="s">
        <v>3438</v>
      </c>
      <c r="C362" s="3063" t="s">
        <v>3381</v>
      </c>
      <c r="D362" s="3063" t="s">
        <v>3382</v>
      </c>
      <c r="E362" s="3279">
        <v>38.79</v>
      </c>
    </row>
    <row r="363" spans="1:5">
      <c r="A363" s="3063">
        <v>360</v>
      </c>
      <c r="B363" s="3063" t="s">
        <v>3439</v>
      </c>
      <c r="C363" s="3063" t="s">
        <v>3381</v>
      </c>
      <c r="D363" s="3063" t="s">
        <v>3382</v>
      </c>
      <c r="E363" s="3279">
        <v>38.79</v>
      </c>
    </row>
    <row r="364" spans="1:5">
      <c r="A364" s="3063">
        <v>361</v>
      </c>
      <c r="B364" s="3063" t="s">
        <v>3440</v>
      </c>
      <c r="C364" s="3063" t="s">
        <v>3381</v>
      </c>
      <c r="D364" s="3063" t="s">
        <v>3382</v>
      </c>
      <c r="E364" s="3279">
        <v>38.79</v>
      </c>
    </row>
    <row r="365" spans="1:5">
      <c r="A365" s="3063">
        <v>362</v>
      </c>
      <c r="B365" s="3063" t="s">
        <v>3441</v>
      </c>
      <c r="C365" s="3063" t="s">
        <v>3381</v>
      </c>
      <c r="D365" s="3063" t="s">
        <v>3382</v>
      </c>
      <c r="E365" s="3279">
        <v>38.79</v>
      </c>
    </row>
    <row r="366" spans="1:5">
      <c r="A366" s="3063">
        <v>363</v>
      </c>
      <c r="B366" s="3063" t="s">
        <v>3442</v>
      </c>
      <c r="C366" s="3063" t="s">
        <v>3381</v>
      </c>
      <c r="D366" s="3063" t="s">
        <v>3382</v>
      </c>
      <c r="E366" s="3279">
        <v>38.79</v>
      </c>
    </row>
    <row r="367" spans="1:5">
      <c r="A367" s="3063">
        <v>364</v>
      </c>
      <c r="B367" s="3063" t="s">
        <v>3443</v>
      </c>
      <c r="C367" s="3063" t="s">
        <v>3381</v>
      </c>
      <c r="D367" s="3063" t="s">
        <v>3382</v>
      </c>
      <c r="E367" s="3279">
        <v>38.79</v>
      </c>
    </row>
    <row r="368" spans="1:5">
      <c r="A368" s="3063">
        <v>365</v>
      </c>
      <c r="B368" s="3063" t="s">
        <v>3444</v>
      </c>
      <c r="C368" s="3063" t="s">
        <v>3381</v>
      </c>
      <c r="D368" s="3063" t="s">
        <v>3382</v>
      </c>
      <c r="E368" s="3279">
        <v>38.79</v>
      </c>
    </row>
    <row r="369" spans="1:5">
      <c r="A369" s="3063">
        <v>366</v>
      </c>
      <c r="B369" s="3063" t="s">
        <v>3445</v>
      </c>
      <c r="C369" s="3063" t="s">
        <v>3381</v>
      </c>
      <c r="D369" s="3063" t="s">
        <v>3382</v>
      </c>
      <c r="E369" s="3279">
        <v>38.79</v>
      </c>
    </row>
    <row r="370" spans="1:5">
      <c r="A370" s="3063">
        <v>367</v>
      </c>
      <c r="B370" s="3063" t="s">
        <v>3446</v>
      </c>
      <c r="C370" s="3063" t="s">
        <v>3381</v>
      </c>
      <c r="D370" s="3063" t="s">
        <v>3382</v>
      </c>
      <c r="E370" s="3279">
        <v>38.79</v>
      </c>
    </row>
    <row r="371" spans="1:5">
      <c r="A371" s="3063">
        <v>368</v>
      </c>
      <c r="B371" s="3063" t="s">
        <v>3447</v>
      </c>
      <c r="C371" s="3063" t="s">
        <v>3381</v>
      </c>
      <c r="D371" s="3063" t="s">
        <v>3382</v>
      </c>
      <c r="E371" s="3279">
        <v>38.79</v>
      </c>
    </row>
    <row r="372" spans="1:5">
      <c r="A372" s="3063">
        <v>369</v>
      </c>
      <c r="B372" s="3063" t="s">
        <v>3448</v>
      </c>
      <c r="C372" s="3063" t="s">
        <v>3381</v>
      </c>
      <c r="D372" s="3063" t="s">
        <v>3382</v>
      </c>
      <c r="E372" s="3279">
        <v>38.79</v>
      </c>
    </row>
    <row r="373" spans="1:5">
      <c r="A373" s="3063">
        <v>370</v>
      </c>
      <c r="B373" s="3063" t="s">
        <v>3449</v>
      </c>
      <c r="C373" s="3063" t="s">
        <v>3381</v>
      </c>
      <c r="D373" s="3063" t="s">
        <v>3382</v>
      </c>
      <c r="E373" s="3279">
        <v>38.79</v>
      </c>
    </row>
    <row r="374" spans="1:5">
      <c r="A374" s="3063">
        <v>371</v>
      </c>
      <c r="B374" s="3063" t="s">
        <v>3450</v>
      </c>
      <c r="C374" s="3063" t="s">
        <v>3381</v>
      </c>
      <c r="D374" s="3063" t="s">
        <v>3382</v>
      </c>
      <c r="E374" s="3279">
        <v>38.79</v>
      </c>
    </row>
    <row r="375" spans="1:5">
      <c r="A375" s="3063">
        <v>372</v>
      </c>
      <c r="B375" s="3063" t="s">
        <v>3451</v>
      </c>
      <c r="C375" s="3063" t="s">
        <v>3381</v>
      </c>
      <c r="D375" s="3063" t="s">
        <v>3382</v>
      </c>
      <c r="E375" s="3279">
        <v>38.79</v>
      </c>
    </row>
    <row r="376" spans="1:5">
      <c r="A376" s="3063">
        <v>373</v>
      </c>
      <c r="B376" s="3063" t="s">
        <v>3452</v>
      </c>
      <c r="C376" s="3063" t="s">
        <v>3381</v>
      </c>
      <c r="D376" s="3063" t="s">
        <v>3382</v>
      </c>
      <c r="E376" s="3279">
        <v>38.79</v>
      </c>
    </row>
    <row r="377" spans="1:5">
      <c r="A377" s="3063">
        <v>374</v>
      </c>
      <c r="B377" s="3063" t="s">
        <v>3453</v>
      </c>
      <c r="C377" s="3063" t="s">
        <v>3381</v>
      </c>
      <c r="D377" s="3063" t="s">
        <v>3382</v>
      </c>
      <c r="E377" s="3279">
        <v>38.79</v>
      </c>
    </row>
    <row r="378" spans="1:5">
      <c r="A378" s="3063">
        <v>375</v>
      </c>
      <c r="B378" s="3063" t="s">
        <v>3454</v>
      </c>
      <c r="C378" s="3063" t="s">
        <v>3381</v>
      </c>
      <c r="D378" s="3063" t="s">
        <v>3382</v>
      </c>
      <c r="E378" s="3279">
        <v>38.79</v>
      </c>
    </row>
    <row r="379" spans="1:5">
      <c r="A379" s="3063">
        <v>376</v>
      </c>
      <c r="B379" s="3063" t="s">
        <v>3455</v>
      </c>
      <c r="C379" s="3063" t="s">
        <v>3381</v>
      </c>
      <c r="D379" s="3063" t="s">
        <v>3382</v>
      </c>
      <c r="E379" s="3279">
        <v>38.79</v>
      </c>
    </row>
    <row r="380" spans="1:5">
      <c r="A380" s="3063">
        <v>377</v>
      </c>
      <c r="B380" s="3063" t="s">
        <v>3456</v>
      </c>
      <c r="C380" s="3063" t="s">
        <v>3381</v>
      </c>
      <c r="D380" s="3063" t="s">
        <v>3382</v>
      </c>
      <c r="E380" s="3279">
        <v>38.79</v>
      </c>
    </row>
    <row r="381" spans="1:5">
      <c r="A381" s="3063">
        <v>378</v>
      </c>
      <c r="B381" s="3063" t="s">
        <v>3457</v>
      </c>
      <c r="C381" s="3063" t="s">
        <v>3381</v>
      </c>
      <c r="D381" s="3063" t="s">
        <v>3382</v>
      </c>
      <c r="E381" s="3279">
        <v>38.79</v>
      </c>
    </row>
    <row r="382" spans="1:5">
      <c r="A382" s="3063">
        <v>379</v>
      </c>
      <c r="B382" s="3063" t="s">
        <v>3458</v>
      </c>
      <c r="C382" s="3063" t="s">
        <v>3381</v>
      </c>
      <c r="D382" s="3063" t="s">
        <v>3382</v>
      </c>
      <c r="E382" s="3279">
        <v>38.79</v>
      </c>
    </row>
    <row r="383" spans="1:5">
      <c r="A383" s="3063">
        <v>380</v>
      </c>
      <c r="B383" s="3063" t="s">
        <v>3459</v>
      </c>
      <c r="C383" s="3063" t="s">
        <v>3381</v>
      </c>
      <c r="D383" s="3063" t="s">
        <v>3382</v>
      </c>
      <c r="E383" s="3279">
        <v>38.79</v>
      </c>
    </row>
    <row r="384" spans="1:5">
      <c r="A384" s="3063">
        <v>381</v>
      </c>
      <c r="B384" s="3063" t="s">
        <v>3460</v>
      </c>
      <c r="C384" s="3063" t="s">
        <v>3381</v>
      </c>
      <c r="D384" s="3063" t="s">
        <v>3382</v>
      </c>
      <c r="E384" s="3279">
        <v>38.79</v>
      </c>
    </row>
    <row r="385" spans="1:5">
      <c r="A385" s="3063">
        <v>382</v>
      </c>
      <c r="B385" s="3063" t="s">
        <v>3461</v>
      </c>
      <c r="C385" s="3063" t="s">
        <v>3381</v>
      </c>
      <c r="D385" s="3063" t="s">
        <v>3382</v>
      </c>
      <c r="E385" s="3279">
        <v>38.79</v>
      </c>
    </row>
    <row r="386" spans="1:5">
      <c r="A386" s="3063">
        <v>383</v>
      </c>
      <c r="B386" s="3063" t="s">
        <v>3462</v>
      </c>
      <c r="C386" s="3063" t="s">
        <v>3381</v>
      </c>
      <c r="D386" s="3063" t="s">
        <v>3382</v>
      </c>
      <c r="E386" s="3279">
        <v>38.79</v>
      </c>
    </row>
    <row r="387" spans="1:5">
      <c r="A387" s="3063">
        <v>384</v>
      </c>
      <c r="B387" s="3063" t="s">
        <v>3463</v>
      </c>
      <c r="C387" s="3063" t="s">
        <v>3381</v>
      </c>
      <c r="D387" s="3063" t="s">
        <v>3382</v>
      </c>
      <c r="E387" s="3279">
        <v>38.79</v>
      </c>
    </row>
    <row r="388" spans="1:5">
      <c r="A388" s="3063">
        <v>385</v>
      </c>
      <c r="B388" s="3063" t="s">
        <v>3464</v>
      </c>
      <c r="C388" s="3063" t="s">
        <v>3381</v>
      </c>
      <c r="D388" s="3063" t="s">
        <v>3382</v>
      </c>
      <c r="E388" s="3279">
        <v>38.79</v>
      </c>
    </row>
    <row r="389" spans="1:5">
      <c r="A389" s="3063">
        <v>386</v>
      </c>
      <c r="B389" s="3063" t="s">
        <v>3465</v>
      </c>
      <c r="C389" s="3063" t="s">
        <v>3381</v>
      </c>
      <c r="D389" s="3063" t="s">
        <v>3382</v>
      </c>
      <c r="E389" s="3279">
        <v>38.79</v>
      </c>
    </row>
    <row r="390" spans="1:5">
      <c r="A390" s="3063">
        <v>387</v>
      </c>
      <c r="B390" s="3063" t="s">
        <v>3466</v>
      </c>
      <c r="C390" s="3063" t="s">
        <v>3381</v>
      </c>
      <c r="D390" s="3063" t="s">
        <v>3382</v>
      </c>
      <c r="E390" s="3279">
        <v>38.79</v>
      </c>
    </row>
    <row r="391" spans="1:5">
      <c r="A391" s="3063">
        <v>388</v>
      </c>
      <c r="B391" s="3063" t="s">
        <v>3467</v>
      </c>
      <c r="C391" s="3063" t="s">
        <v>3381</v>
      </c>
      <c r="D391" s="3063" t="s">
        <v>3382</v>
      </c>
      <c r="E391" s="3279">
        <v>38.79</v>
      </c>
    </row>
    <row r="392" spans="1:5">
      <c r="A392" s="3063">
        <v>389</v>
      </c>
      <c r="B392" s="3063" t="s">
        <v>3468</v>
      </c>
      <c r="C392" s="3063" t="s">
        <v>3381</v>
      </c>
      <c r="D392" s="3063" t="s">
        <v>3382</v>
      </c>
      <c r="E392" s="3279">
        <v>38.79</v>
      </c>
    </row>
    <row r="393" spans="1:5">
      <c r="A393" s="3063">
        <v>390</v>
      </c>
      <c r="B393" s="3063" t="s">
        <v>3469</v>
      </c>
      <c r="C393" s="3063" t="s">
        <v>3381</v>
      </c>
      <c r="D393" s="3063" t="s">
        <v>3382</v>
      </c>
      <c r="E393" s="3279">
        <v>38.79</v>
      </c>
    </row>
    <row r="394" spans="1:5">
      <c r="A394" s="3063">
        <v>391</v>
      </c>
      <c r="B394" s="3063" t="s">
        <v>3470</v>
      </c>
      <c r="C394" s="3063" t="s">
        <v>3381</v>
      </c>
      <c r="D394" s="3063" t="s">
        <v>3382</v>
      </c>
      <c r="E394" s="3279">
        <v>38.79</v>
      </c>
    </row>
    <row r="395" spans="1:5">
      <c r="A395" s="3063">
        <v>392</v>
      </c>
      <c r="B395" s="3063" t="s">
        <v>3471</v>
      </c>
      <c r="C395" s="3063" t="s">
        <v>3381</v>
      </c>
      <c r="D395" s="3063" t="s">
        <v>3382</v>
      </c>
      <c r="E395" s="3279">
        <v>38.79</v>
      </c>
    </row>
    <row r="396" spans="1:5">
      <c r="A396" s="3063">
        <v>393</v>
      </c>
      <c r="B396" s="3063" t="s">
        <v>3472</v>
      </c>
      <c r="C396" s="3063" t="s">
        <v>3381</v>
      </c>
      <c r="D396" s="3063" t="s">
        <v>3382</v>
      </c>
      <c r="E396" s="3279">
        <v>38.79</v>
      </c>
    </row>
    <row r="397" spans="1:5">
      <c r="A397" s="3063">
        <v>394</v>
      </c>
      <c r="B397" s="3063" t="s">
        <v>3473</v>
      </c>
      <c r="C397" s="3063" t="s">
        <v>3381</v>
      </c>
      <c r="D397" s="3063" t="s">
        <v>3382</v>
      </c>
      <c r="E397" s="3279">
        <v>38.79</v>
      </c>
    </row>
    <row r="398" spans="1:5">
      <c r="A398" s="3063">
        <v>395</v>
      </c>
      <c r="B398" s="3063" t="s">
        <v>3474</v>
      </c>
      <c r="C398" s="3063" t="s">
        <v>3381</v>
      </c>
      <c r="D398" s="3063" t="s">
        <v>3382</v>
      </c>
      <c r="E398" s="3279">
        <v>38.79</v>
      </c>
    </row>
    <row r="399" spans="1:5">
      <c r="A399" s="3063">
        <v>396</v>
      </c>
      <c r="B399" s="3063" t="s">
        <v>3475</v>
      </c>
      <c r="C399" s="3063" t="s">
        <v>3381</v>
      </c>
      <c r="D399" s="3063" t="s">
        <v>3382</v>
      </c>
      <c r="E399" s="3279">
        <v>38.79</v>
      </c>
    </row>
    <row r="400" spans="1:5">
      <c r="A400" s="3063">
        <v>397</v>
      </c>
      <c r="B400" s="3063" t="s">
        <v>3476</v>
      </c>
      <c r="C400" s="3063" t="s">
        <v>3381</v>
      </c>
      <c r="D400" s="3063" t="s">
        <v>3382</v>
      </c>
      <c r="E400" s="3279">
        <v>38.79</v>
      </c>
    </row>
    <row r="401" spans="1:5">
      <c r="A401" s="3063">
        <v>398</v>
      </c>
      <c r="B401" s="3063" t="s">
        <v>3477</v>
      </c>
      <c r="C401" s="3063" t="s">
        <v>3381</v>
      </c>
      <c r="D401" s="3063" t="s">
        <v>3382</v>
      </c>
      <c r="E401" s="3279">
        <v>38.79</v>
      </c>
    </row>
    <row r="402" spans="1:5">
      <c r="A402" s="3063">
        <v>399</v>
      </c>
      <c r="B402" s="3063" t="s">
        <v>3478</v>
      </c>
      <c r="C402" s="3063" t="s">
        <v>3381</v>
      </c>
      <c r="D402" s="3063" t="s">
        <v>3382</v>
      </c>
      <c r="E402" s="3279">
        <v>38.79</v>
      </c>
    </row>
    <row r="403" spans="1:5">
      <c r="A403" s="3063">
        <v>400</v>
      </c>
      <c r="B403" s="3063" t="s">
        <v>3479</v>
      </c>
      <c r="C403" s="3063" t="s">
        <v>3381</v>
      </c>
      <c r="D403" s="3063" t="s">
        <v>3382</v>
      </c>
      <c r="E403" s="3279">
        <v>38.79</v>
      </c>
    </row>
    <row r="404" spans="1:5">
      <c r="A404" s="3063">
        <v>401</v>
      </c>
      <c r="B404" s="3063" t="s">
        <v>3480</v>
      </c>
      <c r="C404" s="3063" t="s">
        <v>3381</v>
      </c>
      <c r="D404" s="3063" t="s">
        <v>3382</v>
      </c>
      <c r="E404" s="3279">
        <v>38.79</v>
      </c>
    </row>
    <row r="405" spans="1:5">
      <c r="A405" s="3063">
        <v>402</v>
      </c>
      <c r="B405" s="3063" t="s">
        <v>3481</v>
      </c>
      <c r="C405" s="3063" t="s">
        <v>3381</v>
      </c>
      <c r="D405" s="3063" t="s">
        <v>3382</v>
      </c>
      <c r="E405" s="3279">
        <v>38.79</v>
      </c>
    </row>
    <row r="406" spans="1:5">
      <c r="A406" s="3063">
        <v>403</v>
      </c>
      <c r="B406" s="3063" t="s">
        <v>3482</v>
      </c>
      <c r="C406" s="3063" t="s">
        <v>3381</v>
      </c>
      <c r="D406" s="3063" t="s">
        <v>3382</v>
      </c>
      <c r="E406" s="3279">
        <v>38.79</v>
      </c>
    </row>
    <row r="407" spans="1:5">
      <c r="A407" s="3063">
        <v>404</v>
      </c>
      <c r="B407" s="3063" t="s">
        <v>3483</v>
      </c>
      <c r="C407" s="3063" t="s">
        <v>3381</v>
      </c>
      <c r="D407" s="3063" t="s">
        <v>3382</v>
      </c>
      <c r="E407" s="3279">
        <v>38.79</v>
      </c>
    </row>
    <row r="408" spans="1:5">
      <c r="A408" s="3063">
        <v>405</v>
      </c>
      <c r="B408" s="3063" t="s">
        <v>3484</v>
      </c>
      <c r="C408" s="3063" t="s">
        <v>3381</v>
      </c>
      <c r="D408" s="3063" t="s">
        <v>3382</v>
      </c>
      <c r="E408" s="3279">
        <v>38.79</v>
      </c>
    </row>
    <row r="409" spans="1:5">
      <c r="A409" s="3063">
        <v>406</v>
      </c>
      <c r="B409" s="3063" t="s">
        <v>3485</v>
      </c>
      <c r="C409" s="3063" t="s">
        <v>3381</v>
      </c>
      <c r="D409" s="3063" t="s">
        <v>3382</v>
      </c>
      <c r="E409" s="3279">
        <v>38.79</v>
      </c>
    </row>
    <row r="410" spans="1:5">
      <c r="A410" s="3063">
        <v>407</v>
      </c>
      <c r="B410" s="3063" t="s">
        <v>3486</v>
      </c>
      <c r="C410" s="3063" t="s">
        <v>3381</v>
      </c>
      <c r="D410" s="3063" t="s">
        <v>3382</v>
      </c>
      <c r="E410" s="3279">
        <v>38.79</v>
      </c>
    </row>
    <row r="411" spans="1:5">
      <c r="A411" s="3063">
        <v>408</v>
      </c>
      <c r="B411" s="3063" t="s">
        <v>3487</v>
      </c>
      <c r="C411" s="3063" t="s">
        <v>3381</v>
      </c>
      <c r="D411" s="3063" t="s">
        <v>3382</v>
      </c>
      <c r="E411" s="3279">
        <v>38.79</v>
      </c>
    </row>
    <row r="412" spans="1:5">
      <c r="A412" s="3063">
        <v>409</v>
      </c>
      <c r="B412" s="3063" t="s">
        <v>3488</v>
      </c>
      <c r="C412" s="3063" t="s">
        <v>3381</v>
      </c>
      <c r="D412" s="3063" t="s">
        <v>3382</v>
      </c>
      <c r="E412" s="3279">
        <v>38.79</v>
      </c>
    </row>
    <row r="413" spans="1:5">
      <c r="A413" s="3063">
        <v>410</v>
      </c>
      <c r="B413" s="3063" t="s">
        <v>3489</v>
      </c>
      <c r="C413" s="3063" t="s">
        <v>3381</v>
      </c>
      <c r="D413" s="3063" t="s">
        <v>3382</v>
      </c>
      <c r="E413" s="3279">
        <v>38.79</v>
      </c>
    </row>
    <row r="414" spans="1:5">
      <c r="A414" s="3063">
        <v>411</v>
      </c>
      <c r="B414" s="3063" t="s">
        <v>3490</v>
      </c>
      <c r="C414" s="3063" t="s">
        <v>3381</v>
      </c>
      <c r="D414" s="3063" t="s">
        <v>3382</v>
      </c>
      <c r="E414" s="3279">
        <v>38.79</v>
      </c>
    </row>
    <row r="415" spans="1:5">
      <c r="A415" s="3063">
        <v>412</v>
      </c>
      <c r="B415" s="3063" t="s">
        <v>3491</v>
      </c>
      <c r="C415" s="3063" t="s">
        <v>3381</v>
      </c>
      <c r="D415" s="3063" t="s">
        <v>3382</v>
      </c>
      <c r="E415" s="3279">
        <v>38.79</v>
      </c>
    </row>
    <row r="416" spans="1:5">
      <c r="A416" s="3063">
        <v>413</v>
      </c>
      <c r="B416" s="3063" t="s">
        <v>3492</v>
      </c>
      <c r="C416" s="3063" t="s">
        <v>3381</v>
      </c>
      <c r="D416" s="3063" t="s">
        <v>3382</v>
      </c>
      <c r="E416" s="3279">
        <v>38.79</v>
      </c>
    </row>
    <row r="417" spans="1:5">
      <c r="A417" s="3063">
        <v>414</v>
      </c>
      <c r="B417" s="3063" t="s">
        <v>3493</v>
      </c>
      <c r="C417" s="3063" t="s">
        <v>3381</v>
      </c>
      <c r="D417" s="3063" t="s">
        <v>3382</v>
      </c>
      <c r="E417" s="3279">
        <v>38.79</v>
      </c>
    </row>
    <row r="418" spans="1:5">
      <c r="A418" s="3063">
        <v>415</v>
      </c>
      <c r="B418" s="3063" t="s">
        <v>3494</v>
      </c>
      <c r="C418" s="3063" t="s">
        <v>3381</v>
      </c>
      <c r="D418" s="3063" t="s">
        <v>3382</v>
      </c>
      <c r="E418" s="3279">
        <v>38.79</v>
      </c>
    </row>
    <row r="419" spans="1:5">
      <c r="A419" s="3063">
        <v>416</v>
      </c>
      <c r="B419" s="3063" t="s">
        <v>3495</v>
      </c>
      <c r="C419" s="3063" t="s">
        <v>3381</v>
      </c>
      <c r="D419" s="3063" t="s">
        <v>3382</v>
      </c>
      <c r="E419" s="3279">
        <v>38.79</v>
      </c>
    </row>
    <row r="420" spans="1:5">
      <c r="A420" s="3063">
        <v>417</v>
      </c>
      <c r="B420" s="3063" t="s">
        <v>3496</v>
      </c>
      <c r="C420" s="3063" t="s">
        <v>3381</v>
      </c>
      <c r="D420" s="3063" t="s">
        <v>3382</v>
      </c>
      <c r="E420" s="3279">
        <v>38.79</v>
      </c>
    </row>
    <row r="421" spans="1:5">
      <c r="A421" s="3063">
        <v>418</v>
      </c>
      <c r="B421" s="3063" t="s">
        <v>3497</v>
      </c>
      <c r="C421" s="3063" t="s">
        <v>3381</v>
      </c>
      <c r="D421" s="3063" t="s">
        <v>3382</v>
      </c>
      <c r="E421" s="3279">
        <v>38.79</v>
      </c>
    </row>
    <row r="422" spans="1:5">
      <c r="A422" s="3063">
        <v>419</v>
      </c>
      <c r="B422" s="3063" t="s">
        <v>3498</v>
      </c>
      <c r="C422" s="3063" t="s">
        <v>3381</v>
      </c>
      <c r="D422" s="3063" t="s">
        <v>3382</v>
      </c>
      <c r="E422" s="3279">
        <v>38.79</v>
      </c>
    </row>
    <row r="423" spans="1:5">
      <c r="A423" s="3063">
        <v>420</v>
      </c>
      <c r="B423" s="3063" t="s">
        <v>3499</v>
      </c>
      <c r="C423" s="3063" t="s">
        <v>3381</v>
      </c>
      <c r="D423" s="3063" t="s">
        <v>3382</v>
      </c>
      <c r="E423" s="3279">
        <v>38.79</v>
      </c>
    </row>
    <row r="424" spans="1:5">
      <c r="A424" s="3063">
        <v>421</v>
      </c>
      <c r="B424" s="3063" t="s">
        <v>3500</v>
      </c>
      <c r="C424" s="3063" t="s">
        <v>3381</v>
      </c>
      <c r="D424" s="3063" t="s">
        <v>3382</v>
      </c>
      <c r="E424" s="3279">
        <v>38.79</v>
      </c>
    </row>
    <row r="425" spans="1:5">
      <c r="A425" s="3063">
        <v>422</v>
      </c>
      <c r="B425" s="3063" t="s">
        <v>3501</v>
      </c>
      <c r="C425" s="3063" t="s">
        <v>3381</v>
      </c>
      <c r="D425" s="3063" t="s">
        <v>3382</v>
      </c>
      <c r="E425" s="3279">
        <v>38.79</v>
      </c>
    </row>
    <row r="426" spans="1:5">
      <c r="A426" s="3063">
        <v>423</v>
      </c>
      <c r="B426" s="3063" t="s">
        <v>3502</v>
      </c>
      <c r="C426" s="3063" t="s">
        <v>3381</v>
      </c>
      <c r="D426" s="3063" t="s">
        <v>3382</v>
      </c>
      <c r="E426" s="3279">
        <v>38.79</v>
      </c>
    </row>
    <row r="427" spans="1:5">
      <c r="A427" s="3063">
        <v>424</v>
      </c>
      <c r="B427" s="3063" t="s">
        <v>3503</v>
      </c>
      <c r="C427" s="3063" t="s">
        <v>3381</v>
      </c>
      <c r="D427" s="3063" t="s">
        <v>3382</v>
      </c>
      <c r="E427" s="3279">
        <v>38.79</v>
      </c>
    </row>
    <row r="428" spans="1:5">
      <c r="A428" s="3063">
        <v>425</v>
      </c>
      <c r="B428" s="3063" t="s">
        <v>3504</v>
      </c>
      <c r="C428" s="3063" t="s">
        <v>3381</v>
      </c>
      <c r="D428" s="3063" t="s">
        <v>3382</v>
      </c>
      <c r="E428" s="3279">
        <v>38.79</v>
      </c>
    </row>
    <row r="429" spans="1:5">
      <c r="A429" s="3063">
        <v>426</v>
      </c>
      <c r="B429" s="3063" t="s">
        <v>3505</v>
      </c>
      <c r="C429" s="3063" t="s">
        <v>3381</v>
      </c>
      <c r="D429" s="3063" t="s">
        <v>3382</v>
      </c>
      <c r="E429" s="3279">
        <v>38.79</v>
      </c>
    </row>
    <row r="430" spans="1:5">
      <c r="A430" s="3063">
        <v>427</v>
      </c>
      <c r="B430" s="3063" t="s">
        <v>3506</v>
      </c>
      <c r="C430" s="3063" t="s">
        <v>3381</v>
      </c>
      <c r="D430" s="3063" t="s">
        <v>3382</v>
      </c>
      <c r="E430" s="3279">
        <v>38.79</v>
      </c>
    </row>
    <row r="431" spans="1:5">
      <c r="A431" s="3063">
        <v>428</v>
      </c>
      <c r="B431" s="3063" t="s">
        <v>3507</v>
      </c>
      <c r="C431" s="3063" t="s">
        <v>3381</v>
      </c>
      <c r="D431" s="3063" t="s">
        <v>3382</v>
      </c>
      <c r="E431" s="3279">
        <v>38.79</v>
      </c>
    </row>
    <row r="432" spans="1:5">
      <c r="A432" s="3063">
        <v>429</v>
      </c>
      <c r="B432" s="3063" t="s">
        <v>3508</v>
      </c>
      <c r="C432" s="3063" t="s">
        <v>3381</v>
      </c>
      <c r="D432" s="3063" t="s">
        <v>3382</v>
      </c>
      <c r="E432" s="3279">
        <v>38.79</v>
      </c>
    </row>
    <row r="433" spans="1:5">
      <c r="A433" s="3063">
        <v>430</v>
      </c>
      <c r="B433" s="3063" t="s">
        <v>3509</v>
      </c>
      <c r="C433" s="3063" t="s">
        <v>3381</v>
      </c>
      <c r="D433" s="3063" t="s">
        <v>3382</v>
      </c>
      <c r="E433" s="3279">
        <v>38.79</v>
      </c>
    </row>
    <row r="434" spans="1:5">
      <c r="A434" s="3063">
        <v>431</v>
      </c>
      <c r="B434" s="3063" t="s">
        <v>3510</v>
      </c>
      <c r="C434" s="3063" t="s">
        <v>3381</v>
      </c>
      <c r="D434" s="3063" t="s">
        <v>3382</v>
      </c>
      <c r="E434" s="3279">
        <v>38.79</v>
      </c>
    </row>
    <row r="435" spans="1:5">
      <c r="A435" s="3063">
        <v>432</v>
      </c>
      <c r="B435" s="3063" t="s">
        <v>3511</v>
      </c>
      <c r="C435" s="3063" t="s">
        <v>3381</v>
      </c>
      <c r="D435" s="3063" t="s">
        <v>3382</v>
      </c>
      <c r="E435" s="3279">
        <v>38.79</v>
      </c>
    </row>
    <row r="436" spans="1:5">
      <c r="A436" s="3063">
        <v>433</v>
      </c>
      <c r="B436" s="3063" t="s">
        <v>3512</v>
      </c>
      <c r="C436" s="3063" t="s">
        <v>3381</v>
      </c>
      <c r="D436" s="3063" t="s">
        <v>3382</v>
      </c>
      <c r="E436" s="3279">
        <v>38.79</v>
      </c>
    </row>
    <row r="437" spans="1:5">
      <c r="A437" s="3063">
        <v>434</v>
      </c>
      <c r="B437" s="3063" t="s">
        <v>3513</v>
      </c>
      <c r="C437" s="3063" t="s">
        <v>3381</v>
      </c>
      <c r="D437" s="3063" t="s">
        <v>3382</v>
      </c>
      <c r="E437" s="3279">
        <v>38.79</v>
      </c>
    </row>
    <row r="438" spans="1:5">
      <c r="A438" s="3063">
        <v>435</v>
      </c>
      <c r="B438" s="3063" t="s">
        <v>3514</v>
      </c>
      <c r="C438" s="3063" t="s">
        <v>3381</v>
      </c>
      <c r="D438" s="3063" t="s">
        <v>3382</v>
      </c>
      <c r="E438" s="3279">
        <v>38.79</v>
      </c>
    </row>
    <row r="439" spans="1:5">
      <c r="A439" s="3063">
        <v>436</v>
      </c>
      <c r="B439" s="3063" t="s">
        <v>3515</v>
      </c>
      <c r="C439" s="3063" t="s">
        <v>3381</v>
      </c>
      <c r="D439" s="3063" t="s">
        <v>3382</v>
      </c>
      <c r="E439" s="3279">
        <v>38.79</v>
      </c>
    </row>
    <row r="440" spans="1:5">
      <c r="A440" s="3063">
        <v>437</v>
      </c>
      <c r="B440" s="3063" t="s">
        <v>3516</v>
      </c>
      <c r="C440" s="3063" t="s">
        <v>3381</v>
      </c>
      <c r="D440" s="3063" t="s">
        <v>3382</v>
      </c>
      <c r="E440" s="3279">
        <v>38.79</v>
      </c>
    </row>
    <row r="441" spans="1:5">
      <c r="A441" s="3063">
        <v>438</v>
      </c>
      <c r="B441" s="3063" t="s">
        <v>3517</v>
      </c>
      <c r="C441" s="3063" t="s">
        <v>3381</v>
      </c>
      <c r="D441" s="3063" t="s">
        <v>3382</v>
      </c>
      <c r="E441" s="3279">
        <v>38.79</v>
      </c>
    </row>
    <row r="442" spans="1:5">
      <c r="A442" s="3063">
        <v>439</v>
      </c>
      <c r="B442" s="3063" t="s">
        <v>3518</v>
      </c>
      <c r="C442" s="3063" t="s">
        <v>3381</v>
      </c>
      <c r="D442" s="3063" t="s">
        <v>3382</v>
      </c>
      <c r="E442" s="3279">
        <v>38.79</v>
      </c>
    </row>
    <row r="443" spans="1:5">
      <c r="A443" s="3063">
        <v>440</v>
      </c>
      <c r="B443" s="3063" t="s">
        <v>3519</v>
      </c>
      <c r="C443" s="3063" t="s">
        <v>3381</v>
      </c>
      <c r="D443" s="3063" t="s">
        <v>3382</v>
      </c>
      <c r="E443" s="3279">
        <v>38.79</v>
      </c>
    </row>
    <row r="444" spans="1:5">
      <c r="A444" s="3063">
        <v>441</v>
      </c>
      <c r="B444" s="3063" t="s">
        <v>3520</v>
      </c>
      <c r="C444" s="3063" t="s">
        <v>3381</v>
      </c>
      <c r="D444" s="3063" t="s">
        <v>3382</v>
      </c>
      <c r="E444" s="3279">
        <v>38.79</v>
      </c>
    </row>
    <row r="445" spans="1:5">
      <c r="A445" s="3063">
        <v>442</v>
      </c>
      <c r="B445" s="3063" t="s">
        <v>3521</v>
      </c>
      <c r="C445" s="3063" t="s">
        <v>3381</v>
      </c>
      <c r="D445" s="3063" t="s">
        <v>3382</v>
      </c>
      <c r="E445" s="3279">
        <v>38.79</v>
      </c>
    </row>
    <row r="446" spans="1:5">
      <c r="A446" s="3063">
        <v>443</v>
      </c>
      <c r="B446" s="3063" t="s">
        <v>3522</v>
      </c>
      <c r="C446" s="3063" t="s">
        <v>3381</v>
      </c>
      <c r="D446" s="3063" t="s">
        <v>3382</v>
      </c>
      <c r="E446" s="3279">
        <v>38.79</v>
      </c>
    </row>
    <row r="447" spans="1:5">
      <c r="A447" s="3063">
        <v>444</v>
      </c>
      <c r="B447" s="3063" t="s">
        <v>3523</v>
      </c>
      <c r="C447" s="3063" t="s">
        <v>3381</v>
      </c>
      <c r="D447" s="3063" t="s">
        <v>3382</v>
      </c>
      <c r="E447" s="3279">
        <v>38.79</v>
      </c>
    </row>
    <row r="448" spans="1:5">
      <c r="A448" s="3063">
        <v>445</v>
      </c>
      <c r="B448" s="3063" t="s">
        <v>3524</v>
      </c>
      <c r="C448" s="3063" t="s">
        <v>3381</v>
      </c>
      <c r="D448" s="3063" t="s">
        <v>3382</v>
      </c>
      <c r="E448" s="3279">
        <v>38.79</v>
      </c>
    </row>
    <row r="449" spans="1:5">
      <c r="A449" s="3063">
        <v>446</v>
      </c>
      <c r="B449" s="3063" t="s">
        <v>3525</v>
      </c>
      <c r="C449" s="3063" t="s">
        <v>3381</v>
      </c>
      <c r="D449" s="3063" t="s">
        <v>3382</v>
      </c>
      <c r="E449" s="3279">
        <v>38.79</v>
      </c>
    </row>
    <row r="450" spans="1:5">
      <c r="A450" s="3063">
        <v>447</v>
      </c>
      <c r="B450" s="3063" t="s">
        <v>3526</v>
      </c>
      <c r="C450" s="3063" t="s">
        <v>3381</v>
      </c>
      <c r="D450" s="3063" t="s">
        <v>3382</v>
      </c>
      <c r="E450" s="3279">
        <v>38.79</v>
      </c>
    </row>
    <row r="451" spans="1:5">
      <c r="A451" s="3063">
        <v>448</v>
      </c>
      <c r="B451" s="3063" t="s">
        <v>3527</v>
      </c>
      <c r="C451" s="3063" t="s">
        <v>3381</v>
      </c>
      <c r="D451" s="3063" t="s">
        <v>3382</v>
      </c>
      <c r="E451" s="3279">
        <v>38.79</v>
      </c>
    </row>
    <row r="452" spans="1:5">
      <c r="A452" s="3063">
        <v>449</v>
      </c>
      <c r="B452" s="3063" t="s">
        <v>3528</v>
      </c>
      <c r="C452" s="3063" t="s">
        <v>3381</v>
      </c>
      <c r="D452" s="3063" t="s">
        <v>3382</v>
      </c>
      <c r="E452" s="3279">
        <v>38.79</v>
      </c>
    </row>
    <row r="453" spans="1:5">
      <c r="A453" s="3063">
        <v>450</v>
      </c>
      <c r="B453" s="3063" t="s">
        <v>3529</v>
      </c>
      <c r="C453" s="3063" t="s">
        <v>3381</v>
      </c>
      <c r="D453" s="3063" t="s">
        <v>3382</v>
      </c>
      <c r="E453" s="3279">
        <v>38.79</v>
      </c>
    </row>
    <row r="454" spans="1:5">
      <c r="A454" s="3063">
        <v>451</v>
      </c>
      <c r="B454" s="3063" t="s">
        <v>3530</v>
      </c>
      <c r="C454" s="3063" t="s">
        <v>3381</v>
      </c>
      <c r="D454" s="3063" t="s">
        <v>3382</v>
      </c>
      <c r="E454" s="3279">
        <v>38.79</v>
      </c>
    </row>
    <row r="455" spans="1:5">
      <c r="A455" s="3063">
        <v>452</v>
      </c>
      <c r="B455" s="3063" t="s">
        <v>3531</v>
      </c>
      <c r="C455" s="3063" t="s">
        <v>3381</v>
      </c>
      <c r="D455" s="3063" t="s">
        <v>3382</v>
      </c>
      <c r="E455" s="3279">
        <v>38.79</v>
      </c>
    </row>
    <row r="456" spans="1:5">
      <c r="A456" s="3063">
        <v>453</v>
      </c>
      <c r="B456" s="3063" t="s">
        <v>3532</v>
      </c>
      <c r="C456" s="3063" t="s">
        <v>3381</v>
      </c>
      <c r="D456" s="3063" t="s">
        <v>3382</v>
      </c>
      <c r="E456" s="3279">
        <v>38.79</v>
      </c>
    </row>
    <row r="457" spans="1:5">
      <c r="A457" s="3063">
        <v>454</v>
      </c>
      <c r="B457" s="3063" t="s">
        <v>3533</v>
      </c>
      <c r="C457" s="3063" t="s">
        <v>3381</v>
      </c>
      <c r="D457" s="3063" t="s">
        <v>3382</v>
      </c>
      <c r="E457" s="3279">
        <v>38.79</v>
      </c>
    </row>
    <row r="458" spans="1:5">
      <c r="A458" s="3063">
        <v>455</v>
      </c>
      <c r="B458" s="3063" t="s">
        <v>3534</v>
      </c>
      <c r="C458" s="3063" t="s">
        <v>3381</v>
      </c>
      <c r="D458" s="3063" t="s">
        <v>3382</v>
      </c>
      <c r="E458" s="3279">
        <v>38.79</v>
      </c>
    </row>
    <row r="459" spans="1:5">
      <c r="A459" s="3063">
        <v>456</v>
      </c>
      <c r="B459" s="3063" t="s">
        <v>3535</v>
      </c>
      <c r="C459" s="3063" t="s">
        <v>3381</v>
      </c>
      <c r="D459" s="3063" t="s">
        <v>3382</v>
      </c>
      <c r="E459" s="3279">
        <v>38.79</v>
      </c>
    </row>
    <row r="460" spans="1:5">
      <c r="A460" s="3063">
        <v>457</v>
      </c>
      <c r="B460" s="3063" t="s">
        <v>3536</v>
      </c>
      <c r="C460" s="3063" t="s">
        <v>3381</v>
      </c>
      <c r="D460" s="3063" t="s">
        <v>3382</v>
      </c>
      <c r="E460" s="3279">
        <v>38.79</v>
      </c>
    </row>
    <row r="461" spans="1:5">
      <c r="A461" s="3063">
        <v>458</v>
      </c>
      <c r="B461" s="3063" t="s">
        <v>3537</v>
      </c>
      <c r="C461" s="3063" t="s">
        <v>3381</v>
      </c>
      <c r="D461" s="3063" t="s">
        <v>3382</v>
      </c>
      <c r="E461" s="3279">
        <v>38.79</v>
      </c>
    </row>
    <row r="462" spans="1:5">
      <c r="A462" s="3063">
        <v>459</v>
      </c>
      <c r="B462" s="3063" t="s">
        <v>3538</v>
      </c>
      <c r="C462" s="3063" t="s">
        <v>3381</v>
      </c>
      <c r="D462" s="3063" t="s">
        <v>3382</v>
      </c>
      <c r="E462" s="3279">
        <v>38.79</v>
      </c>
    </row>
    <row r="463" spans="1:5">
      <c r="A463" s="3063">
        <v>460</v>
      </c>
      <c r="B463" s="3063" t="s">
        <v>3539</v>
      </c>
      <c r="C463" s="3063" t="s">
        <v>3381</v>
      </c>
      <c r="D463" s="3063" t="s">
        <v>3382</v>
      </c>
      <c r="E463" s="3279">
        <v>38.79</v>
      </c>
    </row>
    <row r="464" spans="1:5">
      <c r="A464" s="3063">
        <v>461</v>
      </c>
      <c r="B464" s="3063" t="s">
        <v>3540</v>
      </c>
      <c r="C464" s="3063" t="s">
        <v>3381</v>
      </c>
      <c r="D464" s="3063" t="s">
        <v>3382</v>
      </c>
      <c r="E464" s="3279">
        <v>38.79</v>
      </c>
    </row>
    <row r="465" spans="1:5">
      <c r="A465" s="3063">
        <v>462</v>
      </c>
      <c r="B465" s="3063" t="s">
        <v>3541</v>
      </c>
      <c r="C465" s="3063" t="s">
        <v>3381</v>
      </c>
      <c r="D465" s="3063" t="s">
        <v>3382</v>
      </c>
      <c r="E465" s="3279">
        <v>38.79</v>
      </c>
    </row>
    <row r="466" spans="1:5">
      <c r="A466" s="3063">
        <v>463</v>
      </c>
      <c r="B466" s="3063" t="s">
        <v>3542</v>
      </c>
      <c r="C466" s="3063" t="s">
        <v>3381</v>
      </c>
      <c r="D466" s="3063" t="s">
        <v>3382</v>
      </c>
      <c r="E466" s="3279">
        <v>38.79</v>
      </c>
    </row>
    <row r="467" spans="1:5">
      <c r="A467" s="3063">
        <v>464</v>
      </c>
      <c r="B467" s="3063" t="s">
        <v>3543</v>
      </c>
      <c r="C467" s="3063" t="s">
        <v>3381</v>
      </c>
      <c r="D467" s="3063" t="s">
        <v>3382</v>
      </c>
      <c r="E467" s="3279">
        <v>38.79</v>
      </c>
    </row>
    <row r="468" spans="1:5">
      <c r="A468" s="3063">
        <v>465</v>
      </c>
      <c r="B468" s="3063" t="s">
        <v>3544</v>
      </c>
      <c r="C468" s="3063" t="s">
        <v>3381</v>
      </c>
      <c r="D468" s="3063" t="s">
        <v>3382</v>
      </c>
      <c r="E468" s="3279">
        <v>38.79</v>
      </c>
    </row>
    <row r="469" spans="1:5">
      <c r="A469" s="3063">
        <v>466</v>
      </c>
      <c r="B469" s="3063" t="s">
        <v>3545</v>
      </c>
      <c r="C469" s="3063" t="s">
        <v>3381</v>
      </c>
      <c r="D469" s="3063" t="s">
        <v>3382</v>
      </c>
      <c r="E469" s="3279">
        <v>38.79</v>
      </c>
    </row>
    <row r="470" spans="1:5">
      <c r="A470" s="3063">
        <v>467</v>
      </c>
      <c r="B470" s="3063" t="s">
        <v>3546</v>
      </c>
      <c r="C470" s="3063" t="s">
        <v>3381</v>
      </c>
      <c r="D470" s="3063" t="s">
        <v>3382</v>
      </c>
      <c r="E470" s="3279">
        <v>38.79</v>
      </c>
    </row>
    <row r="471" spans="1:5">
      <c r="A471" s="3063">
        <v>468</v>
      </c>
      <c r="B471" s="3063" t="s">
        <v>3547</v>
      </c>
      <c r="C471" s="3063" t="s">
        <v>3381</v>
      </c>
      <c r="D471" s="3063" t="s">
        <v>3382</v>
      </c>
      <c r="E471" s="3279">
        <v>38.79</v>
      </c>
    </row>
    <row r="472" spans="1:5">
      <c r="A472" s="3063">
        <v>469</v>
      </c>
      <c r="B472" s="3063" t="s">
        <v>3548</v>
      </c>
      <c r="C472" s="3063" t="s">
        <v>3381</v>
      </c>
      <c r="D472" s="3063" t="s">
        <v>3382</v>
      </c>
      <c r="E472" s="3279">
        <v>38.79</v>
      </c>
    </row>
    <row r="473" spans="1:5">
      <c r="A473" s="3063">
        <v>470</v>
      </c>
      <c r="B473" s="3063" t="s">
        <v>3549</v>
      </c>
      <c r="C473" s="3063" t="s">
        <v>3381</v>
      </c>
      <c r="D473" s="3063" t="s">
        <v>3382</v>
      </c>
      <c r="E473" s="3279">
        <v>38.79</v>
      </c>
    </row>
    <row r="474" spans="1:5">
      <c r="A474" s="3063">
        <v>471</v>
      </c>
      <c r="B474" s="3063" t="s">
        <v>3550</v>
      </c>
      <c r="C474" s="3063" t="s">
        <v>3381</v>
      </c>
      <c r="D474" s="3063" t="s">
        <v>3382</v>
      </c>
      <c r="E474" s="3279">
        <v>38.79</v>
      </c>
    </row>
    <row r="475" spans="1:5">
      <c r="A475" s="3063">
        <v>472</v>
      </c>
      <c r="B475" s="3063" t="s">
        <v>3551</v>
      </c>
      <c r="C475" s="3063" t="s">
        <v>3381</v>
      </c>
      <c r="D475" s="3063" t="s">
        <v>3382</v>
      </c>
      <c r="E475" s="3279">
        <v>38.79</v>
      </c>
    </row>
    <row r="476" spans="1:5">
      <c r="A476" s="3063">
        <v>473</v>
      </c>
      <c r="B476" s="3063" t="s">
        <v>3552</v>
      </c>
      <c r="C476" s="3063" t="s">
        <v>3381</v>
      </c>
      <c r="D476" s="3063" t="s">
        <v>3382</v>
      </c>
      <c r="E476" s="3279">
        <v>38.79</v>
      </c>
    </row>
    <row r="477" spans="1:5">
      <c r="A477" s="3063">
        <v>474</v>
      </c>
      <c r="B477" s="3063" t="s">
        <v>3553</v>
      </c>
      <c r="C477" s="3063" t="s">
        <v>3381</v>
      </c>
      <c r="D477" s="3063" t="s">
        <v>3382</v>
      </c>
      <c r="E477" s="3279">
        <v>38.79</v>
      </c>
    </row>
    <row r="478" spans="1:5">
      <c r="A478" s="3063">
        <v>475</v>
      </c>
      <c r="B478" s="3063" t="s">
        <v>3554</v>
      </c>
      <c r="C478" s="3063" t="s">
        <v>3381</v>
      </c>
      <c r="D478" s="3063" t="s">
        <v>3382</v>
      </c>
      <c r="E478" s="3279">
        <v>38.79</v>
      </c>
    </row>
    <row r="479" spans="1:5">
      <c r="A479" s="3063">
        <v>476</v>
      </c>
      <c r="B479" s="3063" t="s">
        <v>3555</v>
      </c>
      <c r="C479" s="3063" t="s">
        <v>3381</v>
      </c>
      <c r="D479" s="3063" t="s">
        <v>3382</v>
      </c>
      <c r="E479" s="3279">
        <v>38.79</v>
      </c>
    </row>
    <row r="480" spans="1:5">
      <c r="A480" s="3063">
        <v>477</v>
      </c>
      <c r="B480" s="3063" t="s">
        <v>3556</v>
      </c>
      <c r="C480" s="3063" t="s">
        <v>3381</v>
      </c>
      <c r="D480" s="3063" t="s">
        <v>3382</v>
      </c>
      <c r="E480" s="3279">
        <v>38.79</v>
      </c>
    </row>
    <row r="481" spans="1:5">
      <c r="A481" s="3063">
        <v>478</v>
      </c>
      <c r="B481" s="3063" t="s">
        <v>3557</v>
      </c>
      <c r="C481" s="3063" t="s">
        <v>3381</v>
      </c>
      <c r="D481" s="3063" t="s">
        <v>3382</v>
      </c>
      <c r="E481" s="3279">
        <v>38.79</v>
      </c>
    </row>
    <row r="482" spans="1:5">
      <c r="A482" s="3063">
        <v>479</v>
      </c>
      <c r="B482" s="3063" t="s">
        <v>3558</v>
      </c>
      <c r="C482" s="3063" t="s">
        <v>3381</v>
      </c>
      <c r="D482" s="3063" t="s">
        <v>3382</v>
      </c>
      <c r="E482" s="3279">
        <v>38.79</v>
      </c>
    </row>
    <row r="483" spans="1:5">
      <c r="A483" s="3063">
        <v>480</v>
      </c>
      <c r="B483" s="3063" t="s">
        <v>3559</v>
      </c>
      <c r="C483" s="3063" t="s">
        <v>3381</v>
      </c>
      <c r="D483" s="3063" t="s">
        <v>3382</v>
      </c>
      <c r="E483" s="3279">
        <v>38.79</v>
      </c>
    </row>
    <row r="484" spans="1:5">
      <c r="A484" s="3063">
        <v>481</v>
      </c>
      <c r="B484" s="3063" t="s">
        <v>3560</v>
      </c>
      <c r="C484" s="3063" t="s">
        <v>3381</v>
      </c>
      <c r="D484" s="3063" t="s">
        <v>3382</v>
      </c>
      <c r="E484" s="3279">
        <v>38.79</v>
      </c>
    </row>
    <row r="485" spans="1:5">
      <c r="A485" s="3063">
        <v>482</v>
      </c>
      <c r="B485" s="3063" t="s">
        <v>3561</v>
      </c>
      <c r="C485" s="3063" t="s">
        <v>3381</v>
      </c>
      <c r="D485" s="3063" t="s">
        <v>3382</v>
      </c>
      <c r="E485" s="3279">
        <v>38.79</v>
      </c>
    </row>
    <row r="486" spans="1:5">
      <c r="A486" s="3063">
        <v>483</v>
      </c>
      <c r="B486" s="3063" t="s">
        <v>3562</v>
      </c>
      <c r="C486" s="3063" t="s">
        <v>3381</v>
      </c>
      <c r="D486" s="3063" t="s">
        <v>3382</v>
      </c>
      <c r="E486" s="3279">
        <v>38.79</v>
      </c>
    </row>
    <row r="487" spans="1:5">
      <c r="A487" s="3063">
        <v>484</v>
      </c>
      <c r="B487" s="3063" t="s">
        <v>3563</v>
      </c>
      <c r="C487" s="3063" t="s">
        <v>3381</v>
      </c>
      <c r="D487" s="3063" t="s">
        <v>3382</v>
      </c>
      <c r="E487" s="3279">
        <v>38.79</v>
      </c>
    </row>
    <row r="488" spans="1:5">
      <c r="A488" s="3063">
        <v>485</v>
      </c>
      <c r="B488" s="3063" t="s">
        <v>3564</v>
      </c>
      <c r="C488" s="3063" t="s">
        <v>3381</v>
      </c>
      <c r="D488" s="3063" t="s">
        <v>3382</v>
      </c>
      <c r="E488" s="3279">
        <v>38.79</v>
      </c>
    </row>
    <row r="489" spans="1:5">
      <c r="A489" s="3063">
        <v>486</v>
      </c>
      <c r="B489" s="3063" t="s">
        <v>3565</v>
      </c>
      <c r="C489" s="3063" t="s">
        <v>3381</v>
      </c>
      <c r="D489" s="3063" t="s">
        <v>3382</v>
      </c>
      <c r="E489" s="3279">
        <v>38.79</v>
      </c>
    </row>
    <row r="490" spans="1:5">
      <c r="A490" s="3063">
        <v>487</v>
      </c>
      <c r="B490" s="3063" t="s">
        <v>3566</v>
      </c>
      <c r="C490" s="3063" t="s">
        <v>3381</v>
      </c>
      <c r="D490" s="3063" t="s">
        <v>3382</v>
      </c>
      <c r="E490" s="3279">
        <v>38.79</v>
      </c>
    </row>
    <row r="491" spans="1:5">
      <c r="A491" s="3063">
        <v>488</v>
      </c>
      <c r="B491" s="3063" t="s">
        <v>3567</v>
      </c>
      <c r="C491" s="3063" t="s">
        <v>3381</v>
      </c>
      <c r="D491" s="3063" t="s">
        <v>3382</v>
      </c>
      <c r="E491" s="3279">
        <v>38.79</v>
      </c>
    </row>
    <row r="492" spans="1:5">
      <c r="A492" s="3063">
        <v>489</v>
      </c>
      <c r="B492" s="3063" t="s">
        <v>3568</v>
      </c>
      <c r="C492" s="3063" t="s">
        <v>3381</v>
      </c>
      <c r="D492" s="3063" t="s">
        <v>3382</v>
      </c>
      <c r="E492" s="3279">
        <v>38.79</v>
      </c>
    </row>
    <row r="493" spans="1:5">
      <c r="A493" s="3063">
        <v>490</v>
      </c>
      <c r="B493" s="3063" t="s">
        <v>3569</v>
      </c>
      <c r="C493" s="3063" t="s">
        <v>3381</v>
      </c>
      <c r="D493" s="3063" t="s">
        <v>3382</v>
      </c>
      <c r="E493" s="3279">
        <v>38.79</v>
      </c>
    </row>
    <row r="494" spans="1:5">
      <c r="A494" s="3063">
        <v>491</v>
      </c>
      <c r="B494" s="3063" t="s">
        <v>3570</v>
      </c>
      <c r="C494" s="3063" t="s">
        <v>3381</v>
      </c>
      <c r="D494" s="3063" t="s">
        <v>3382</v>
      </c>
      <c r="E494" s="3279">
        <v>38.79</v>
      </c>
    </row>
    <row r="495" spans="1:5">
      <c r="A495" s="3063">
        <v>492</v>
      </c>
      <c r="B495" s="3063" t="s">
        <v>3571</v>
      </c>
      <c r="C495" s="3063" t="s">
        <v>3381</v>
      </c>
      <c r="D495" s="3063" t="s">
        <v>3382</v>
      </c>
      <c r="E495" s="3279">
        <v>38.79</v>
      </c>
    </row>
    <row r="496" spans="1:5">
      <c r="A496" s="3063">
        <v>493</v>
      </c>
      <c r="B496" s="3063" t="s">
        <v>3572</v>
      </c>
      <c r="C496" s="3063" t="s">
        <v>3381</v>
      </c>
      <c r="D496" s="3063" t="s">
        <v>3382</v>
      </c>
      <c r="E496" s="3279">
        <v>38.79</v>
      </c>
    </row>
    <row r="497" spans="1:5">
      <c r="A497" s="3063">
        <v>494</v>
      </c>
      <c r="B497" s="3063" t="s">
        <v>3573</v>
      </c>
      <c r="C497" s="3063" t="s">
        <v>3381</v>
      </c>
      <c r="D497" s="3063" t="s">
        <v>3382</v>
      </c>
      <c r="E497" s="3279">
        <v>38.79</v>
      </c>
    </row>
    <row r="498" spans="1:5">
      <c r="A498" s="3063">
        <v>495</v>
      </c>
      <c r="B498" s="3063" t="s">
        <v>3574</v>
      </c>
      <c r="C498" s="3063" t="s">
        <v>3381</v>
      </c>
      <c r="D498" s="3063" t="s">
        <v>3382</v>
      </c>
      <c r="E498" s="3279">
        <v>38.79</v>
      </c>
    </row>
    <row r="499" spans="1:5">
      <c r="A499" s="3063">
        <v>496</v>
      </c>
      <c r="B499" s="3063" t="s">
        <v>3575</v>
      </c>
      <c r="C499" s="3063" t="s">
        <v>3381</v>
      </c>
      <c r="D499" s="3063" t="s">
        <v>3382</v>
      </c>
      <c r="E499" s="3279">
        <v>38.79</v>
      </c>
    </row>
    <row r="500" spans="1:5">
      <c r="A500" s="3063">
        <v>497</v>
      </c>
      <c r="B500" s="3063" t="s">
        <v>3576</v>
      </c>
      <c r="C500" s="3063" t="s">
        <v>3381</v>
      </c>
      <c r="D500" s="3063" t="s">
        <v>3382</v>
      </c>
      <c r="E500" s="3279">
        <v>38.79</v>
      </c>
    </row>
    <row r="501" spans="1:5">
      <c r="A501" s="3063">
        <v>498</v>
      </c>
      <c r="B501" s="3063" t="s">
        <v>3577</v>
      </c>
      <c r="C501" s="3063" t="s">
        <v>3381</v>
      </c>
      <c r="D501" s="3063" t="s">
        <v>3382</v>
      </c>
      <c r="E501" s="3279">
        <v>38.79</v>
      </c>
    </row>
    <row r="502" spans="1:5">
      <c r="A502" s="3063">
        <v>499</v>
      </c>
      <c r="B502" s="3063" t="s">
        <v>3578</v>
      </c>
      <c r="C502" s="3063" t="s">
        <v>3381</v>
      </c>
      <c r="D502" s="3063" t="s">
        <v>3382</v>
      </c>
      <c r="E502" s="3279">
        <v>38.79</v>
      </c>
    </row>
    <row r="503" spans="1:5">
      <c r="A503" s="3063">
        <v>500</v>
      </c>
      <c r="B503" s="3063" t="s">
        <v>3579</v>
      </c>
      <c r="C503" s="3063" t="s">
        <v>3381</v>
      </c>
      <c r="D503" s="3063" t="s">
        <v>3382</v>
      </c>
      <c r="E503" s="3279">
        <v>38.79</v>
      </c>
    </row>
    <row r="504" spans="1:5">
      <c r="A504" s="3063">
        <v>501</v>
      </c>
      <c r="B504" s="3063" t="s">
        <v>3580</v>
      </c>
      <c r="C504" s="3063" t="s">
        <v>3381</v>
      </c>
      <c r="D504" s="3063" t="s">
        <v>3382</v>
      </c>
      <c r="E504" s="3279">
        <v>38.79</v>
      </c>
    </row>
    <row r="505" spans="1:5">
      <c r="A505" s="3063">
        <v>502</v>
      </c>
      <c r="B505" s="3063" t="s">
        <v>3581</v>
      </c>
      <c r="C505" s="3063" t="s">
        <v>3381</v>
      </c>
      <c r="D505" s="3063" t="s">
        <v>3382</v>
      </c>
      <c r="E505" s="3279">
        <v>38.79</v>
      </c>
    </row>
    <row r="506" spans="1:5">
      <c r="A506" s="3063">
        <v>503</v>
      </c>
      <c r="B506" s="3063" t="s">
        <v>3582</v>
      </c>
      <c r="C506" s="3063" t="s">
        <v>3381</v>
      </c>
      <c r="D506" s="3063" t="s">
        <v>3382</v>
      </c>
      <c r="E506" s="3279">
        <v>38.79</v>
      </c>
    </row>
    <row r="507" spans="1:5">
      <c r="A507" s="3063">
        <v>504</v>
      </c>
      <c r="B507" s="3063" t="s">
        <v>3583</v>
      </c>
      <c r="C507" s="3063" t="s">
        <v>3381</v>
      </c>
      <c r="D507" s="3063" t="s">
        <v>3382</v>
      </c>
      <c r="E507" s="3279">
        <v>38.79</v>
      </c>
    </row>
    <row r="508" spans="1:5">
      <c r="A508" s="3063">
        <v>505</v>
      </c>
      <c r="B508" s="3063" t="s">
        <v>3584</v>
      </c>
      <c r="C508" s="3063" t="s">
        <v>3381</v>
      </c>
      <c r="D508" s="3063" t="s">
        <v>3382</v>
      </c>
      <c r="E508" s="3279">
        <v>38.79</v>
      </c>
    </row>
    <row r="509" spans="1:5">
      <c r="A509" s="3063">
        <v>506</v>
      </c>
      <c r="B509" s="3063" t="s">
        <v>3585</v>
      </c>
      <c r="C509" s="3063" t="s">
        <v>3586</v>
      </c>
      <c r="D509" s="3063" t="s">
        <v>3382</v>
      </c>
      <c r="E509" s="3279">
        <v>41.37</v>
      </c>
    </row>
    <row r="510" spans="1:5">
      <c r="A510" s="3063">
        <v>507</v>
      </c>
      <c r="B510" s="3063" t="s">
        <v>3587</v>
      </c>
      <c r="C510" s="3063" t="s">
        <v>3586</v>
      </c>
      <c r="D510" s="3063" t="s">
        <v>3382</v>
      </c>
      <c r="E510" s="3279">
        <v>41.37</v>
      </c>
    </row>
    <row r="511" spans="1:5">
      <c r="A511" s="3063">
        <v>508</v>
      </c>
      <c r="B511" s="3063" t="s">
        <v>3588</v>
      </c>
      <c r="C511" s="3063" t="s">
        <v>3586</v>
      </c>
      <c r="D511" s="3063" t="s">
        <v>3382</v>
      </c>
      <c r="E511" s="3279">
        <v>41.37</v>
      </c>
    </row>
    <row r="512" spans="1:5">
      <c r="A512" s="3063">
        <v>509</v>
      </c>
      <c r="B512" s="3063" t="s">
        <v>3589</v>
      </c>
      <c r="C512" s="3063" t="s">
        <v>3586</v>
      </c>
      <c r="D512" s="3063" t="s">
        <v>3382</v>
      </c>
      <c r="E512" s="3279">
        <v>41.37</v>
      </c>
    </row>
    <row r="513" spans="1:5">
      <c r="A513" s="3063">
        <v>510</v>
      </c>
      <c r="B513" s="3063" t="s">
        <v>3590</v>
      </c>
      <c r="C513" s="3063" t="s">
        <v>3586</v>
      </c>
      <c r="D513" s="3063" t="s">
        <v>3382</v>
      </c>
      <c r="E513" s="3279">
        <v>41.37</v>
      </c>
    </row>
    <row r="514" spans="1:5">
      <c r="A514" s="3063">
        <v>511</v>
      </c>
      <c r="B514" s="3063" t="s">
        <v>3591</v>
      </c>
      <c r="C514" s="3063" t="s">
        <v>3586</v>
      </c>
      <c r="D514" s="3063" t="s">
        <v>3382</v>
      </c>
      <c r="E514" s="3279">
        <v>41.37</v>
      </c>
    </row>
    <row r="515" spans="1:5">
      <c r="A515" s="3063">
        <v>512</v>
      </c>
      <c r="B515" s="3063" t="s">
        <v>3592</v>
      </c>
      <c r="C515" s="3063" t="s">
        <v>3586</v>
      </c>
      <c r="D515" s="3063" t="s">
        <v>3382</v>
      </c>
      <c r="E515" s="3279">
        <v>41.37</v>
      </c>
    </row>
    <row r="516" spans="1:5">
      <c r="A516" s="3063">
        <v>513</v>
      </c>
      <c r="B516" s="3063" t="s">
        <v>3593</v>
      </c>
      <c r="C516" s="3063" t="s">
        <v>3586</v>
      </c>
      <c r="D516" s="3063" t="s">
        <v>3382</v>
      </c>
      <c r="E516" s="3279">
        <v>41.37</v>
      </c>
    </row>
    <row r="517" spans="1:5">
      <c r="A517" s="3063">
        <v>514</v>
      </c>
      <c r="B517" s="3063" t="s">
        <v>3594</v>
      </c>
      <c r="C517" s="3063" t="s">
        <v>3586</v>
      </c>
      <c r="D517" s="3063" t="s">
        <v>3382</v>
      </c>
      <c r="E517" s="3279">
        <v>41.37</v>
      </c>
    </row>
    <row r="518" spans="1:5">
      <c r="A518" s="3063">
        <v>515</v>
      </c>
      <c r="B518" s="3063" t="s">
        <v>3595</v>
      </c>
      <c r="C518" s="3063" t="s">
        <v>3586</v>
      </c>
      <c r="D518" s="3063" t="s">
        <v>3382</v>
      </c>
      <c r="E518" s="3279">
        <v>41.37</v>
      </c>
    </row>
    <row r="519" spans="1:5">
      <c r="A519" s="3063">
        <v>516</v>
      </c>
      <c r="B519" s="3063" t="s">
        <v>3596</v>
      </c>
      <c r="C519" s="3063" t="s">
        <v>3586</v>
      </c>
      <c r="D519" s="3063" t="s">
        <v>3382</v>
      </c>
      <c r="E519" s="3279">
        <v>41.37</v>
      </c>
    </row>
    <row r="520" spans="1:5">
      <c r="A520" s="3063">
        <v>517</v>
      </c>
      <c r="B520" s="3063" t="s">
        <v>3597</v>
      </c>
      <c r="C520" s="3063" t="s">
        <v>3586</v>
      </c>
      <c r="D520" s="3063" t="s">
        <v>3382</v>
      </c>
      <c r="E520" s="3279">
        <v>41.37</v>
      </c>
    </row>
    <row r="521" spans="1:5">
      <c r="A521" s="3063">
        <v>518</v>
      </c>
      <c r="B521" s="3063" t="s">
        <v>3598</v>
      </c>
      <c r="C521" s="3063" t="s">
        <v>3586</v>
      </c>
      <c r="D521" s="3063" t="s">
        <v>3382</v>
      </c>
      <c r="E521" s="3279">
        <v>41.37</v>
      </c>
    </row>
    <row r="522" spans="1:5">
      <c r="A522" s="3063">
        <v>519</v>
      </c>
      <c r="B522" s="3063" t="s">
        <v>3599</v>
      </c>
      <c r="C522" s="3063" t="s">
        <v>3586</v>
      </c>
      <c r="D522" s="3063" t="s">
        <v>3382</v>
      </c>
      <c r="E522" s="3279">
        <v>41.37</v>
      </c>
    </row>
    <row r="523" spans="1:5">
      <c r="A523" s="3063">
        <v>520</v>
      </c>
      <c r="B523" s="3063" t="s">
        <v>3600</v>
      </c>
      <c r="C523" s="3063" t="s">
        <v>3586</v>
      </c>
      <c r="D523" s="3063" t="s">
        <v>3382</v>
      </c>
      <c r="E523" s="3279">
        <v>41.37</v>
      </c>
    </row>
    <row r="524" spans="1:5">
      <c r="A524" s="3063">
        <v>521</v>
      </c>
      <c r="B524" s="3063" t="s">
        <v>3601</v>
      </c>
      <c r="C524" s="3063" t="s">
        <v>3586</v>
      </c>
      <c r="D524" s="3063" t="s">
        <v>3382</v>
      </c>
      <c r="E524" s="3279">
        <v>41.37</v>
      </c>
    </row>
    <row r="525" spans="1:5">
      <c r="A525" s="3063">
        <v>522</v>
      </c>
      <c r="B525" s="3063" t="s">
        <v>3602</v>
      </c>
      <c r="C525" s="3063" t="s">
        <v>3586</v>
      </c>
      <c r="D525" s="3063" t="s">
        <v>3382</v>
      </c>
      <c r="E525" s="3279">
        <v>41.37</v>
      </c>
    </row>
    <row r="526" spans="1:5">
      <c r="A526" s="3063">
        <v>523</v>
      </c>
      <c r="B526" s="3063" t="s">
        <v>3603</v>
      </c>
      <c r="C526" s="3063" t="s">
        <v>3586</v>
      </c>
      <c r="D526" s="3063" t="s">
        <v>3382</v>
      </c>
      <c r="E526" s="3279">
        <v>41.37</v>
      </c>
    </row>
    <row r="527" spans="1:5">
      <c r="A527" s="3063">
        <v>524</v>
      </c>
      <c r="B527" s="3063" t="s">
        <v>3604</v>
      </c>
      <c r="C527" s="3063" t="s">
        <v>3586</v>
      </c>
      <c r="D527" s="3063" t="s">
        <v>3382</v>
      </c>
      <c r="E527" s="3279">
        <v>41.37</v>
      </c>
    </row>
    <row r="528" spans="1:5">
      <c r="A528" s="3063">
        <v>525</v>
      </c>
      <c r="B528" s="3063" t="s">
        <v>3605</v>
      </c>
      <c r="C528" s="3063" t="s">
        <v>3586</v>
      </c>
      <c r="D528" s="3063" t="s">
        <v>3382</v>
      </c>
      <c r="E528" s="3279">
        <v>41.37</v>
      </c>
    </row>
    <row r="529" spans="1:5">
      <c r="A529" s="3063">
        <v>526</v>
      </c>
      <c r="B529" s="3063" t="s">
        <v>3606</v>
      </c>
      <c r="C529" s="3063" t="s">
        <v>3586</v>
      </c>
      <c r="D529" s="3063" t="s">
        <v>3382</v>
      </c>
      <c r="E529" s="3279">
        <v>41.37</v>
      </c>
    </row>
    <row r="530" spans="1:5">
      <c r="A530" s="3063">
        <v>527</v>
      </c>
      <c r="B530" s="3063" t="s">
        <v>3607</v>
      </c>
      <c r="C530" s="3063" t="s">
        <v>3586</v>
      </c>
      <c r="D530" s="3063" t="s">
        <v>3382</v>
      </c>
      <c r="E530" s="3279">
        <v>41.37</v>
      </c>
    </row>
    <row r="531" spans="1:5">
      <c r="A531" s="3063">
        <v>528</v>
      </c>
      <c r="B531" s="3063" t="s">
        <v>3608</v>
      </c>
      <c r="C531" s="3063" t="s">
        <v>3586</v>
      </c>
      <c r="D531" s="3063" t="s">
        <v>3382</v>
      </c>
      <c r="E531" s="3279">
        <v>41.37</v>
      </c>
    </row>
    <row r="532" spans="1:5">
      <c r="A532" s="3063">
        <v>529</v>
      </c>
      <c r="B532" s="3063" t="s">
        <v>3609</v>
      </c>
      <c r="C532" s="3063" t="s">
        <v>3586</v>
      </c>
      <c r="D532" s="3063" t="s">
        <v>3382</v>
      </c>
      <c r="E532" s="3279">
        <v>41.37</v>
      </c>
    </row>
    <row r="533" spans="1:5">
      <c r="A533" s="3063">
        <v>530</v>
      </c>
      <c r="B533" s="3063" t="s">
        <v>3610</v>
      </c>
      <c r="C533" s="3063" t="s">
        <v>3586</v>
      </c>
      <c r="D533" s="3063" t="s">
        <v>3382</v>
      </c>
      <c r="E533" s="3279">
        <v>41.37</v>
      </c>
    </row>
    <row r="534" spans="1:5">
      <c r="A534" s="3063">
        <v>531</v>
      </c>
      <c r="B534" s="3063" t="s">
        <v>3611</v>
      </c>
      <c r="C534" s="3063" t="s">
        <v>3586</v>
      </c>
      <c r="D534" s="3063" t="s">
        <v>3382</v>
      </c>
      <c r="E534" s="3279">
        <v>41.37</v>
      </c>
    </row>
    <row r="535" spans="1:5">
      <c r="A535" s="3063">
        <v>532</v>
      </c>
      <c r="B535" s="3063" t="s">
        <v>3612</v>
      </c>
      <c r="C535" s="3063" t="s">
        <v>3586</v>
      </c>
      <c r="D535" s="3063" t="s">
        <v>3382</v>
      </c>
      <c r="E535" s="3279">
        <v>41.37</v>
      </c>
    </row>
    <row r="536" spans="1:5">
      <c r="A536" s="3063">
        <v>533</v>
      </c>
      <c r="B536" s="3063" t="s">
        <v>3613</v>
      </c>
      <c r="C536" s="3063" t="s">
        <v>3586</v>
      </c>
      <c r="D536" s="3063" t="s">
        <v>3382</v>
      </c>
      <c r="E536" s="3279">
        <v>41.37</v>
      </c>
    </row>
    <row r="537" spans="1:5">
      <c r="A537" s="3063">
        <v>534</v>
      </c>
      <c r="B537" s="3063" t="s">
        <v>3614</v>
      </c>
      <c r="C537" s="3063" t="s">
        <v>3586</v>
      </c>
      <c r="D537" s="3063" t="s">
        <v>3382</v>
      </c>
      <c r="E537" s="3279">
        <v>41.37</v>
      </c>
    </row>
    <row r="538" spans="1:5">
      <c r="A538" s="3063">
        <v>535</v>
      </c>
      <c r="B538" s="3063" t="s">
        <v>3615</v>
      </c>
      <c r="C538" s="3063" t="s">
        <v>3586</v>
      </c>
      <c r="D538" s="3063" t="s">
        <v>3382</v>
      </c>
      <c r="E538" s="3279">
        <v>41.37</v>
      </c>
    </row>
    <row r="539" spans="1:5">
      <c r="A539" s="3063">
        <v>536</v>
      </c>
      <c r="B539" s="3063" t="s">
        <v>3616</v>
      </c>
      <c r="C539" s="3063" t="s">
        <v>3586</v>
      </c>
      <c r="D539" s="3063" t="s">
        <v>3382</v>
      </c>
      <c r="E539" s="3279">
        <v>41.37</v>
      </c>
    </row>
    <row r="540" spans="1:5">
      <c r="A540" s="3063">
        <v>537</v>
      </c>
      <c r="B540" s="3063" t="s">
        <v>3617</v>
      </c>
      <c r="C540" s="3063" t="s">
        <v>3586</v>
      </c>
      <c r="D540" s="3063" t="s">
        <v>3382</v>
      </c>
      <c r="E540" s="3279">
        <v>41.37</v>
      </c>
    </row>
    <row r="541" spans="1:5">
      <c r="A541" s="3063">
        <v>538</v>
      </c>
      <c r="B541" s="3063" t="s">
        <v>3618</v>
      </c>
      <c r="C541" s="3063" t="s">
        <v>3586</v>
      </c>
      <c r="D541" s="3063" t="s">
        <v>3382</v>
      </c>
      <c r="E541" s="3279">
        <v>41.37</v>
      </c>
    </row>
    <row r="542" spans="1:5">
      <c r="A542" s="3063">
        <v>539</v>
      </c>
      <c r="B542" s="3063" t="s">
        <v>3619</v>
      </c>
      <c r="C542" s="3063" t="s">
        <v>3586</v>
      </c>
      <c r="D542" s="3063" t="s">
        <v>3382</v>
      </c>
      <c r="E542" s="3279">
        <v>41.37</v>
      </c>
    </row>
    <row r="543" spans="1:5">
      <c r="A543" s="3063">
        <v>540</v>
      </c>
      <c r="B543" s="3063" t="s">
        <v>3620</v>
      </c>
      <c r="C543" s="3063" t="s">
        <v>3586</v>
      </c>
      <c r="D543" s="3063" t="s">
        <v>3382</v>
      </c>
      <c r="E543" s="3279">
        <v>41.37</v>
      </c>
    </row>
    <row r="544" spans="1:5">
      <c r="A544" s="3063">
        <v>541</v>
      </c>
      <c r="B544" s="3063" t="s">
        <v>3621</v>
      </c>
      <c r="C544" s="3063" t="s">
        <v>3586</v>
      </c>
      <c r="D544" s="3063" t="s">
        <v>3382</v>
      </c>
      <c r="E544" s="3279">
        <v>41.37</v>
      </c>
    </row>
    <row r="545" spans="1:5">
      <c r="A545" s="3063">
        <v>542</v>
      </c>
      <c r="B545" s="3063" t="s">
        <v>3622</v>
      </c>
      <c r="C545" s="3063" t="s">
        <v>3586</v>
      </c>
      <c r="D545" s="3063" t="s">
        <v>3382</v>
      </c>
      <c r="E545" s="3279">
        <v>41.37</v>
      </c>
    </row>
    <row r="546" spans="1:5">
      <c r="A546" s="3063">
        <v>543</v>
      </c>
      <c r="B546" s="3063" t="s">
        <v>3623</v>
      </c>
      <c r="C546" s="3063" t="s">
        <v>3586</v>
      </c>
      <c r="D546" s="3063" t="s">
        <v>3382</v>
      </c>
      <c r="E546" s="3279">
        <v>41.37</v>
      </c>
    </row>
    <row r="547" spans="1:5">
      <c r="A547" s="3063">
        <v>544</v>
      </c>
      <c r="B547" s="3063" t="s">
        <v>3624</v>
      </c>
      <c r="C547" s="3063" t="s">
        <v>3586</v>
      </c>
      <c r="D547" s="3063" t="s">
        <v>3382</v>
      </c>
      <c r="E547" s="3279">
        <v>41.37</v>
      </c>
    </row>
    <row r="548" spans="1:5">
      <c r="A548" s="3063">
        <v>545</v>
      </c>
      <c r="B548" s="3063" t="s">
        <v>3625</v>
      </c>
      <c r="C548" s="3063" t="s">
        <v>3586</v>
      </c>
      <c r="D548" s="3063" t="s">
        <v>3382</v>
      </c>
      <c r="E548" s="3279">
        <v>41.37</v>
      </c>
    </row>
    <row r="549" spans="1:5">
      <c r="A549" s="3063">
        <v>546</v>
      </c>
      <c r="B549" s="3063" t="s">
        <v>3626</v>
      </c>
      <c r="C549" s="3063" t="s">
        <v>3586</v>
      </c>
      <c r="D549" s="3063" t="s">
        <v>3382</v>
      </c>
      <c r="E549" s="3279">
        <v>41.37</v>
      </c>
    </row>
    <row r="550" spans="1:5">
      <c r="A550" s="3063">
        <v>547</v>
      </c>
      <c r="B550" s="3063" t="s">
        <v>3627</v>
      </c>
      <c r="C550" s="3063" t="s">
        <v>3586</v>
      </c>
      <c r="D550" s="3063" t="s">
        <v>3382</v>
      </c>
      <c r="E550" s="3279">
        <v>41.37</v>
      </c>
    </row>
    <row r="551" spans="1:5">
      <c r="A551" s="3063">
        <v>548</v>
      </c>
      <c r="B551" s="3063" t="s">
        <v>3628</v>
      </c>
      <c r="C551" s="3063" t="s">
        <v>3586</v>
      </c>
      <c r="D551" s="3063" t="s">
        <v>3382</v>
      </c>
      <c r="E551" s="3279">
        <v>41.37</v>
      </c>
    </row>
    <row r="552" spans="1:5">
      <c r="A552" s="3063">
        <v>549</v>
      </c>
      <c r="B552" s="3063" t="s">
        <v>3629</v>
      </c>
      <c r="C552" s="3063" t="s">
        <v>3586</v>
      </c>
      <c r="D552" s="3063" t="s">
        <v>3382</v>
      </c>
      <c r="E552" s="3279">
        <v>41.37</v>
      </c>
    </row>
    <row r="553" spans="1:5">
      <c r="A553" s="3063">
        <v>550</v>
      </c>
      <c r="B553" s="3063" t="s">
        <v>3630</v>
      </c>
      <c r="C553" s="3063" t="s">
        <v>3586</v>
      </c>
      <c r="D553" s="3063" t="s">
        <v>3382</v>
      </c>
      <c r="E553" s="3279">
        <v>41.37</v>
      </c>
    </row>
    <row r="554" spans="1:5">
      <c r="A554" s="3063">
        <v>551</v>
      </c>
      <c r="B554" s="3063" t="s">
        <v>3631</v>
      </c>
      <c r="C554" s="3063" t="s">
        <v>3586</v>
      </c>
      <c r="D554" s="3063" t="s">
        <v>3382</v>
      </c>
      <c r="E554" s="3279">
        <v>41.37</v>
      </c>
    </row>
    <row r="555" spans="1:5">
      <c r="A555" s="3063">
        <v>552</v>
      </c>
      <c r="B555" s="3063" t="s">
        <v>3632</v>
      </c>
      <c r="C555" s="3063" t="s">
        <v>3586</v>
      </c>
      <c r="D555" s="3063" t="s">
        <v>3382</v>
      </c>
      <c r="E555" s="3279">
        <v>41.37</v>
      </c>
    </row>
    <row r="556" spans="1:5">
      <c r="A556" s="3063">
        <v>553</v>
      </c>
      <c r="B556" s="3063" t="s">
        <v>3633</v>
      </c>
      <c r="C556" s="3063" t="s">
        <v>3586</v>
      </c>
      <c r="D556" s="3063" t="s">
        <v>3382</v>
      </c>
      <c r="E556" s="3279">
        <v>41.37</v>
      </c>
    </row>
    <row r="557" spans="1:5">
      <c r="A557" s="3063">
        <v>554</v>
      </c>
      <c r="B557" s="3063" t="s">
        <v>3634</v>
      </c>
      <c r="C557" s="3063" t="s">
        <v>3586</v>
      </c>
      <c r="D557" s="3063" t="s">
        <v>3382</v>
      </c>
      <c r="E557" s="3279">
        <v>41.37</v>
      </c>
    </row>
    <row r="558" spans="1:5">
      <c r="A558" s="3063">
        <v>555</v>
      </c>
      <c r="B558" s="3063" t="s">
        <v>3635</v>
      </c>
      <c r="C558" s="3063" t="s">
        <v>3586</v>
      </c>
      <c r="D558" s="3063" t="s">
        <v>3382</v>
      </c>
      <c r="E558" s="3279">
        <v>41.37</v>
      </c>
    </row>
    <row r="559" spans="1:5">
      <c r="A559" s="3063">
        <v>556</v>
      </c>
      <c r="B559" s="3063" t="s">
        <v>3636</v>
      </c>
      <c r="C559" s="3063" t="s">
        <v>3586</v>
      </c>
      <c r="D559" s="3063" t="s">
        <v>3382</v>
      </c>
      <c r="E559" s="3279">
        <v>41.37</v>
      </c>
    </row>
    <row r="560" spans="1:5">
      <c r="A560" s="3063">
        <v>557</v>
      </c>
      <c r="B560" s="3063" t="s">
        <v>3637</v>
      </c>
      <c r="C560" s="3063" t="s">
        <v>3586</v>
      </c>
      <c r="D560" s="3063" t="s">
        <v>3382</v>
      </c>
      <c r="E560" s="3279">
        <v>41.37</v>
      </c>
    </row>
    <row r="561" spans="1:5">
      <c r="A561" s="3063">
        <v>558</v>
      </c>
      <c r="B561" s="3063" t="s">
        <v>3638</v>
      </c>
      <c r="C561" s="3063" t="s">
        <v>3586</v>
      </c>
      <c r="D561" s="3063" t="s">
        <v>3382</v>
      </c>
      <c r="E561" s="3279">
        <v>41.37</v>
      </c>
    </row>
    <row r="562" spans="1:5">
      <c r="A562" s="3063">
        <v>559</v>
      </c>
      <c r="B562" s="3063" t="s">
        <v>3639</v>
      </c>
      <c r="C562" s="3063" t="s">
        <v>3586</v>
      </c>
      <c r="D562" s="3063" t="s">
        <v>3382</v>
      </c>
      <c r="E562" s="3279">
        <v>41.37</v>
      </c>
    </row>
    <row r="563" spans="1:5">
      <c r="A563" s="3063">
        <v>560</v>
      </c>
      <c r="B563" s="3063" t="s">
        <v>3640</v>
      </c>
      <c r="C563" s="3063" t="s">
        <v>3586</v>
      </c>
      <c r="D563" s="3063" t="s">
        <v>3382</v>
      </c>
      <c r="E563" s="3279">
        <v>41.37</v>
      </c>
    </row>
    <row r="564" spans="1:5">
      <c r="A564" s="3063">
        <v>561</v>
      </c>
      <c r="B564" s="3063" t="s">
        <v>3641</v>
      </c>
      <c r="C564" s="3063" t="s">
        <v>3586</v>
      </c>
      <c r="D564" s="3063" t="s">
        <v>3382</v>
      </c>
      <c r="E564" s="3279">
        <v>41.37</v>
      </c>
    </row>
    <row r="565" spans="1:5">
      <c r="A565" s="3063">
        <v>562</v>
      </c>
      <c r="B565" s="3063" t="s">
        <v>3642</v>
      </c>
      <c r="C565" s="3063" t="s">
        <v>3586</v>
      </c>
      <c r="D565" s="3063" t="s">
        <v>3382</v>
      </c>
      <c r="E565" s="3279">
        <v>41.37</v>
      </c>
    </row>
    <row r="566" spans="1:5">
      <c r="A566" s="3063">
        <v>563</v>
      </c>
      <c r="B566" s="3063" t="s">
        <v>3643</v>
      </c>
      <c r="C566" s="3063" t="s">
        <v>3586</v>
      </c>
      <c r="D566" s="3063" t="s">
        <v>3382</v>
      </c>
      <c r="E566" s="3279">
        <v>41.37</v>
      </c>
    </row>
    <row r="567" spans="1:5">
      <c r="A567" s="3063">
        <v>564</v>
      </c>
      <c r="B567" s="3063" t="s">
        <v>3644</v>
      </c>
      <c r="C567" s="3063" t="s">
        <v>3586</v>
      </c>
      <c r="D567" s="3063" t="s">
        <v>3382</v>
      </c>
      <c r="E567" s="3279">
        <v>41.37</v>
      </c>
    </row>
    <row r="568" spans="1:5">
      <c r="A568" s="3063">
        <v>565</v>
      </c>
      <c r="B568" s="3063" t="s">
        <v>3645</v>
      </c>
      <c r="C568" s="3063" t="s">
        <v>3586</v>
      </c>
      <c r="D568" s="3063" t="s">
        <v>3382</v>
      </c>
      <c r="E568" s="3279">
        <v>41.37</v>
      </c>
    </row>
    <row r="569" spans="1:5">
      <c r="A569" s="3063">
        <v>566</v>
      </c>
      <c r="B569" s="3063" t="s">
        <v>3646</v>
      </c>
      <c r="C569" s="3063" t="s">
        <v>3586</v>
      </c>
      <c r="D569" s="3063" t="s">
        <v>3382</v>
      </c>
      <c r="E569" s="3279">
        <v>41.37</v>
      </c>
    </row>
    <row r="570" spans="1:5">
      <c r="A570" s="3063">
        <v>567</v>
      </c>
      <c r="B570" s="3063" t="s">
        <v>3647</v>
      </c>
      <c r="C570" s="3063" t="s">
        <v>3586</v>
      </c>
      <c r="D570" s="3063" t="s">
        <v>3382</v>
      </c>
      <c r="E570" s="3279">
        <v>41.37</v>
      </c>
    </row>
    <row r="571" spans="1:5">
      <c r="A571" s="3063">
        <v>568</v>
      </c>
      <c r="B571" s="3063" t="s">
        <v>3648</v>
      </c>
      <c r="C571" s="3063" t="s">
        <v>3586</v>
      </c>
      <c r="D571" s="3063" t="s">
        <v>3382</v>
      </c>
      <c r="E571" s="3279">
        <v>41.37</v>
      </c>
    </row>
    <row r="572" spans="1:5">
      <c r="A572" s="3063">
        <v>569</v>
      </c>
      <c r="B572" s="3063" t="s">
        <v>3649</v>
      </c>
      <c r="C572" s="3063" t="s">
        <v>3586</v>
      </c>
      <c r="D572" s="3063" t="s">
        <v>3382</v>
      </c>
      <c r="E572" s="3279">
        <v>41.37</v>
      </c>
    </row>
    <row r="573" spans="1:5">
      <c r="A573" s="3063">
        <v>570</v>
      </c>
      <c r="B573" s="3063" t="s">
        <v>3650</v>
      </c>
      <c r="C573" s="3063" t="s">
        <v>3586</v>
      </c>
      <c r="D573" s="3063" t="s">
        <v>3382</v>
      </c>
      <c r="E573" s="3279">
        <v>41.37</v>
      </c>
    </row>
    <row r="574" spans="1:5">
      <c r="A574" s="3063">
        <v>571</v>
      </c>
      <c r="B574" s="3063" t="s">
        <v>3651</v>
      </c>
      <c r="C574" s="3063" t="s">
        <v>3586</v>
      </c>
      <c r="D574" s="3063" t="s">
        <v>3382</v>
      </c>
      <c r="E574" s="3279">
        <v>41.37</v>
      </c>
    </row>
    <row r="575" spans="1:5">
      <c r="A575" s="3063">
        <v>572</v>
      </c>
      <c r="B575" s="3063" t="s">
        <v>3652</v>
      </c>
      <c r="C575" s="3063" t="s">
        <v>3586</v>
      </c>
      <c r="D575" s="3063" t="s">
        <v>3382</v>
      </c>
      <c r="E575" s="3279">
        <v>41.37</v>
      </c>
    </row>
    <row r="576" spans="1:5">
      <c r="A576" s="3063">
        <v>573</v>
      </c>
      <c r="B576" s="3063" t="s">
        <v>3653</v>
      </c>
      <c r="C576" s="3063" t="s">
        <v>3586</v>
      </c>
      <c r="D576" s="3063" t="s">
        <v>3382</v>
      </c>
      <c r="E576" s="3279">
        <v>41.37</v>
      </c>
    </row>
    <row r="577" spans="1:5">
      <c r="A577" s="3063">
        <v>574</v>
      </c>
      <c r="B577" s="3063" t="s">
        <v>3654</v>
      </c>
      <c r="C577" s="3063" t="s">
        <v>3586</v>
      </c>
      <c r="D577" s="3063" t="s">
        <v>3382</v>
      </c>
      <c r="E577" s="3279">
        <v>41.37</v>
      </c>
    </row>
    <row r="578" spans="1:5">
      <c r="A578" s="3063">
        <v>575</v>
      </c>
      <c r="B578" s="3063" t="s">
        <v>3655</v>
      </c>
      <c r="C578" s="3063" t="s">
        <v>3586</v>
      </c>
      <c r="D578" s="3063" t="s">
        <v>3382</v>
      </c>
      <c r="E578" s="3279">
        <v>41.37</v>
      </c>
    </row>
    <row r="579" spans="1:5">
      <c r="A579" s="3063">
        <v>576</v>
      </c>
      <c r="B579" s="3063" t="s">
        <v>3656</v>
      </c>
      <c r="C579" s="3063" t="s">
        <v>3586</v>
      </c>
      <c r="D579" s="3063" t="s">
        <v>3382</v>
      </c>
      <c r="E579" s="3279">
        <v>41.37</v>
      </c>
    </row>
    <row r="580" spans="1:5">
      <c r="A580" s="3063">
        <v>577</v>
      </c>
      <c r="B580" s="3063" t="s">
        <v>3657</v>
      </c>
      <c r="C580" s="3063" t="s">
        <v>3586</v>
      </c>
      <c r="D580" s="3063" t="s">
        <v>3382</v>
      </c>
      <c r="E580" s="3279">
        <v>41.37</v>
      </c>
    </row>
    <row r="581" spans="1:5">
      <c r="A581" s="3063">
        <v>578</v>
      </c>
      <c r="B581" s="3063" t="s">
        <v>3658</v>
      </c>
      <c r="C581" s="3063" t="s">
        <v>3586</v>
      </c>
      <c r="D581" s="3063" t="s">
        <v>3382</v>
      </c>
      <c r="E581" s="3279">
        <v>41.37</v>
      </c>
    </row>
    <row r="582" spans="1:5">
      <c r="A582" s="3063">
        <v>579</v>
      </c>
      <c r="B582" s="3063" t="s">
        <v>3659</v>
      </c>
      <c r="C582" s="3063" t="s">
        <v>3586</v>
      </c>
      <c r="D582" s="3063" t="s">
        <v>3382</v>
      </c>
      <c r="E582" s="3279">
        <v>41.37</v>
      </c>
    </row>
    <row r="583" spans="1:5">
      <c r="A583" s="3063">
        <v>580</v>
      </c>
      <c r="B583" s="3063" t="s">
        <v>3660</v>
      </c>
      <c r="C583" s="3063" t="s">
        <v>3586</v>
      </c>
      <c r="D583" s="3063" t="s">
        <v>3382</v>
      </c>
      <c r="E583" s="3279">
        <v>41.37</v>
      </c>
    </row>
    <row r="584" spans="1:5">
      <c r="A584" s="3063">
        <v>581</v>
      </c>
      <c r="B584" s="3063" t="s">
        <v>3661</v>
      </c>
      <c r="C584" s="3063" t="s">
        <v>3586</v>
      </c>
      <c r="D584" s="3063" t="s">
        <v>3382</v>
      </c>
      <c r="E584" s="3279">
        <v>41.37</v>
      </c>
    </row>
    <row r="585" spans="1:5">
      <c r="A585" s="3063">
        <v>582</v>
      </c>
      <c r="B585" s="3063" t="s">
        <v>3662</v>
      </c>
      <c r="C585" s="3063" t="s">
        <v>3586</v>
      </c>
      <c r="D585" s="3063" t="s">
        <v>3382</v>
      </c>
      <c r="E585" s="3279">
        <v>41.37</v>
      </c>
    </row>
    <row r="586" spans="1:5">
      <c r="A586" s="3063">
        <v>583</v>
      </c>
      <c r="B586" s="3063" t="s">
        <v>3663</v>
      </c>
      <c r="C586" s="3063" t="s">
        <v>3586</v>
      </c>
      <c r="D586" s="3063" t="s">
        <v>3382</v>
      </c>
      <c r="E586" s="3279">
        <v>41.37</v>
      </c>
    </row>
    <row r="587" spans="1:5">
      <c r="A587" s="3063">
        <v>584</v>
      </c>
      <c r="B587" s="3063" t="s">
        <v>3664</v>
      </c>
      <c r="C587" s="3063" t="s">
        <v>3586</v>
      </c>
      <c r="D587" s="3063" t="s">
        <v>3382</v>
      </c>
      <c r="E587" s="3279">
        <v>41.37</v>
      </c>
    </row>
    <row r="588" spans="1:5">
      <c r="A588" s="3063">
        <v>585</v>
      </c>
      <c r="B588" s="3063" t="s">
        <v>3665</v>
      </c>
      <c r="C588" s="3063" t="s">
        <v>3586</v>
      </c>
      <c r="D588" s="3063" t="s">
        <v>3382</v>
      </c>
      <c r="E588" s="3279">
        <v>41.37</v>
      </c>
    </row>
    <row r="589" spans="1:5">
      <c r="A589" s="3063">
        <v>586</v>
      </c>
      <c r="B589" s="3063" t="s">
        <v>3666</v>
      </c>
      <c r="C589" s="3063" t="s">
        <v>3586</v>
      </c>
      <c r="D589" s="3063" t="s">
        <v>3382</v>
      </c>
      <c r="E589" s="3279">
        <v>41.37</v>
      </c>
    </row>
    <row r="590" spans="1:5">
      <c r="A590" s="3063">
        <v>587</v>
      </c>
      <c r="B590" s="3063" t="s">
        <v>3667</v>
      </c>
      <c r="C590" s="3063" t="s">
        <v>3586</v>
      </c>
      <c r="D590" s="3063" t="s">
        <v>3382</v>
      </c>
      <c r="E590" s="3279">
        <v>41.37</v>
      </c>
    </row>
    <row r="591" spans="1:5">
      <c r="A591" s="3063">
        <v>588</v>
      </c>
      <c r="B591" s="3063" t="s">
        <v>3668</v>
      </c>
      <c r="C591" s="3063" t="s">
        <v>3586</v>
      </c>
      <c r="D591" s="3063" t="s">
        <v>3382</v>
      </c>
      <c r="E591" s="3279">
        <v>41.37</v>
      </c>
    </row>
    <row r="592" spans="1:5">
      <c r="A592" s="3063">
        <v>589</v>
      </c>
      <c r="B592" s="3063" t="s">
        <v>3669</v>
      </c>
      <c r="C592" s="3063" t="s">
        <v>3586</v>
      </c>
      <c r="D592" s="3063" t="s">
        <v>3382</v>
      </c>
      <c r="E592" s="3279">
        <v>41.37</v>
      </c>
    </row>
    <row r="593" spans="1:5">
      <c r="A593" s="3063">
        <v>590</v>
      </c>
      <c r="B593" s="3063" t="s">
        <v>3670</v>
      </c>
      <c r="C593" s="3063" t="s">
        <v>3586</v>
      </c>
      <c r="D593" s="3063" t="s">
        <v>3382</v>
      </c>
      <c r="E593" s="3279">
        <v>41.37</v>
      </c>
    </row>
    <row r="594" spans="1:5">
      <c r="A594" s="3063">
        <v>591</v>
      </c>
      <c r="B594" s="3063" t="s">
        <v>3671</v>
      </c>
      <c r="C594" s="3063" t="s">
        <v>3586</v>
      </c>
      <c r="D594" s="3063" t="s">
        <v>3382</v>
      </c>
      <c r="E594" s="3279">
        <v>41.37</v>
      </c>
    </row>
    <row r="595" spans="1:5">
      <c r="A595" s="3063">
        <v>592</v>
      </c>
      <c r="B595" s="3063" t="s">
        <v>3672</v>
      </c>
      <c r="C595" s="3063" t="s">
        <v>3586</v>
      </c>
      <c r="D595" s="3063" t="s">
        <v>3382</v>
      </c>
      <c r="E595" s="3279">
        <v>41.37</v>
      </c>
    </row>
    <row r="596" spans="1:5">
      <c r="A596" s="3063">
        <v>593</v>
      </c>
      <c r="B596" s="3063" t="s">
        <v>3673</v>
      </c>
      <c r="C596" s="3063" t="s">
        <v>3586</v>
      </c>
      <c r="D596" s="3063" t="s">
        <v>3382</v>
      </c>
      <c r="E596" s="3279">
        <v>41.37</v>
      </c>
    </row>
    <row r="597" spans="1:5">
      <c r="A597" s="3063">
        <v>594</v>
      </c>
      <c r="B597" s="3063" t="s">
        <v>3674</v>
      </c>
      <c r="C597" s="3063" t="s">
        <v>3586</v>
      </c>
      <c r="D597" s="3063" t="s">
        <v>3382</v>
      </c>
      <c r="E597" s="3279">
        <v>41.37</v>
      </c>
    </row>
    <row r="598" spans="1:5">
      <c r="A598" s="3063">
        <v>595</v>
      </c>
      <c r="B598" s="3063" t="s">
        <v>3675</v>
      </c>
      <c r="C598" s="3063" t="s">
        <v>3586</v>
      </c>
      <c r="D598" s="3063" t="s">
        <v>3382</v>
      </c>
      <c r="E598" s="3279">
        <v>41.37</v>
      </c>
    </row>
    <row r="599" spans="1:5">
      <c r="A599" s="3063">
        <v>596</v>
      </c>
      <c r="B599" s="3063" t="s">
        <v>3676</v>
      </c>
      <c r="C599" s="3063" t="s">
        <v>3586</v>
      </c>
      <c r="D599" s="3063" t="s">
        <v>3382</v>
      </c>
      <c r="E599" s="3279">
        <v>41.37</v>
      </c>
    </row>
    <row r="600" spans="1:5">
      <c r="A600" s="3063">
        <v>597</v>
      </c>
      <c r="B600" s="3063" t="s">
        <v>3677</v>
      </c>
      <c r="C600" s="3063" t="s">
        <v>3586</v>
      </c>
      <c r="D600" s="3063" t="s">
        <v>3382</v>
      </c>
      <c r="E600" s="3279">
        <v>41.37</v>
      </c>
    </row>
    <row r="601" spans="1:5">
      <c r="A601" s="3063">
        <v>598</v>
      </c>
      <c r="B601" s="3063" t="s">
        <v>3678</v>
      </c>
      <c r="C601" s="3063" t="s">
        <v>3586</v>
      </c>
      <c r="D601" s="3063" t="s">
        <v>3382</v>
      </c>
      <c r="E601" s="3279">
        <v>41.37</v>
      </c>
    </row>
    <row r="602" spans="1:5">
      <c r="A602" s="3063">
        <v>599</v>
      </c>
      <c r="B602" s="3063" t="s">
        <v>3679</v>
      </c>
      <c r="C602" s="3063" t="s">
        <v>3586</v>
      </c>
      <c r="D602" s="3063" t="s">
        <v>3382</v>
      </c>
      <c r="E602" s="3279">
        <v>41.37</v>
      </c>
    </row>
    <row r="603" spans="1:5">
      <c r="A603" s="3063">
        <v>600</v>
      </c>
      <c r="B603" s="3063" t="s">
        <v>3680</v>
      </c>
      <c r="C603" s="3063" t="s">
        <v>3586</v>
      </c>
      <c r="D603" s="3063" t="s">
        <v>3382</v>
      </c>
      <c r="E603" s="3279">
        <v>41.37</v>
      </c>
    </row>
    <row r="604" spans="1:5">
      <c r="A604" s="3063">
        <v>601</v>
      </c>
      <c r="B604" s="3063" t="s">
        <v>3681</v>
      </c>
      <c r="C604" s="3063" t="s">
        <v>3586</v>
      </c>
      <c r="D604" s="3063" t="s">
        <v>3382</v>
      </c>
      <c r="E604" s="3279">
        <v>41.37</v>
      </c>
    </row>
    <row r="605" spans="1:5">
      <c r="A605" s="3063">
        <v>602</v>
      </c>
      <c r="B605" s="3063" t="s">
        <v>3682</v>
      </c>
      <c r="C605" s="3063" t="s">
        <v>3586</v>
      </c>
      <c r="D605" s="3063" t="s">
        <v>3382</v>
      </c>
      <c r="E605" s="3279">
        <v>41.37</v>
      </c>
    </row>
    <row r="606" spans="1:5">
      <c r="A606" s="3063">
        <v>603</v>
      </c>
      <c r="B606" s="3063" t="s">
        <v>3683</v>
      </c>
      <c r="C606" s="3063" t="s">
        <v>3586</v>
      </c>
      <c r="D606" s="3063" t="s">
        <v>3382</v>
      </c>
      <c r="E606" s="3279">
        <v>41.37</v>
      </c>
    </row>
    <row r="607" spans="1:5">
      <c r="A607" s="3063">
        <v>604</v>
      </c>
      <c r="B607" s="3063" t="s">
        <v>3684</v>
      </c>
      <c r="C607" s="3063" t="s">
        <v>3586</v>
      </c>
      <c r="D607" s="3063" t="s">
        <v>3382</v>
      </c>
      <c r="E607" s="3279">
        <v>41.37</v>
      </c>
    </row>
    <row r="608" spans="1:5">
      <c r="A608" s="3063">
        <v>605</v>
      </c>
      <c r="B608" s="3063" t="s">
        <v>3685</v>
      </c>
      <c r="C608" s="3063" t="s">
        <v>3586</v>
      </c>
      <c r="D608" s="3063" t="s">
        <v>3382</v>
      </c>
      <c r="E608" s="3279">
        <v>41.37</v>
      </c>
    </row>
    <row r="609" spans="1:5">
      <c r="A609" s="3063">
        <v>606</v>
      </c>
      <c r="B609" s="3063" t="s">
        <v>3686</v>
      </c>
      <c r="C609" s="3063" t="s">
        <v>3586</v>
      </c>
      <c r="D609" s="3063" t="s">
        <v>3382</v>
      </c>
      <c r="E609" s="3279">
        <v>41.37</v>
      </c>
    </row>
    <row r="610" spans="1:5">
      <c r="A610" s="3063">
        <v>607</v>
      </c>
      <c r="B610" s="3063" t="s">
        <v>3687</v>
      </c>
      <c r="C610" s="3063" t="s">
        <v>3586</v>
      </c>
      <c r="D610" s="3063" t="s">
        <v>3382</v>
      </c>
      <c r="E610" s="3279">
        <v>41.37</v>
      </c>
    </row>
    <row r="611" spans="1:5">
      <c r="A611" s="3063">
        <v>608</v>
      </c>
      <c r="B611" s="3063" t="s">
        <v>3688</v>
      </c>
      <c r="C611" s="3063" t="s">
        <v>3586</v>
      </c>
      <c r="D611" s="3063" t="s">
        <v>3382</v>
      </c>
      <c r="E611" s="3279">
        <v>41.37</v>
      </c>
    </row>
    <row r="612" spans="1:5">
      <c r="A612" s="3063">
        <v>609</v>
      </c>
      <c r="B612" s="3063" t="s">
        <v>3689</v>
      </c>
      <c r="C612" s="3063" t="s">
        <v>3586</v>
      </c>
      <c r="D612" s="3063" t="s">
        <v>3382</v>
      </c>
      <c r="E612" s="3279">
        <v>41.37</v>
      </c>
    </row>
    <row r="613" spans="1:5">
      <c r="A613" s="3063">
        <v>610</v>
      </c>
      <c r="B613" s="3063" t="s">
        <v>3690</v>
      </c>
      <c r="C613" s="3063" t="s">
        <v>3586</v>
      </c>
      <c r="D613" s="3063" t="s">
        <v>3382</v>
      </c>
      <c r="E613" s="3279">
        <v>41.37</v>
      </c>
    </row>
    <row r="614" spans="1:5">
      <c r="A614" s="3063">
        <v>611</v>
      </c>
      <c r="B614" s="3063" t="s">
        <v>3691</v>
      </c>
      <c r="C614" s="3063" t="s">
        <v>3586</v>
      </c>
      <c r="D614" s="3063" t="s">
        <v>3382</v>
      </c>
      <c r="E614" s="3279">
        <v>41.37</v>
      </c>
    </row>
    <row r="615" spans="1:5">
      <c r="A615" s="3063">
        <v>612</v>
      </c>
      <c r="B615" s="3063" t="s">
        <v>3692</v>
      </c>
      <c r="C615" s="3063" t="s">
        <v>3586</v>
      </c>
      <c r="D615" s="3063" t="s">
        <v>3382</v>
      </c>
      <c r="E615" s="3279">
        <v>41.37</v>
      </c>
    </row>
    <row r="616" spans="1:5">
      <c r="A616" s="3063">
        <v>613</v>
      </c>
      <c r="B616" s="3063" t="s">
        <v>3693</v>
      </c>
      <c r="C616" s="3063" t="s">
        <v>3586</v>
      </c>
      <c r="D616" s="3063" t="s">
        <v>3382</v>
      </c>
      <c r="E616" s="3279">
        <v>41.37</v>
      </c>
    </row>
    <row r="617" spans="1:5">
      <c r="A617" s="3063">
        <v>614</v>
      </c>
      <c r="B617" s="3063" t="s">
        <v>3694</v>
      </c>
      <c r="C617" s="3063" t="s">
        <v>3586</v>
      </c>
      <c r="D617" s="3063" t="s">
        <v>3382</v>
      </c>
      <c r="E617" s="3279">
        <v>41.37</v>
      </c>
    </row>
    <row r="618" spans="1:5">
      <c r="A618" s="3063">
        <v>615</v>
      </c>
      <c r="B618" s="3063" t="s">
        <v>3695</v>
      </c>
      <c r="C618" s="3063" t="s">
        <v>3586</v>
      </c>
      <c r="D618" s="3063" t="s">
        <v>3382</v>
      </c>
      <c r="E618" s="3279">
        <v>41.37</v>
      </c>
    </row>
    <row r="619" spans="1:5">
      <c r="A619" s="3063">
        <v>616</v>
      </c>
      <c r="B619" s="3063" t="s">
        <v>3696</v>
      </c>
      <c r="C619" s="3063" t="s">
        <v>3586</v>
      </c>
      <c r="D619" s="3063" t="s">
        <v>3382</v>
      </c>
      <c r="E619" s="3279">
        <v>41.37</v>
      </c>
    </row>
    <row r="620" spans="1:5">
      <c r="A620" s="3063">
        <v>617</v>
      </c>
      <c r="B620" s="3063" t="s">
        <v>3697</v>
      </c>
      <c r="C620" s="3063" t="s">
        <v>3586</v>
      </c>
      <c r="D620" s="3063" t="s">
        <v>3382</v>
      </c>
      <c r="E620" s="3279">
        <v>41.37</v>
      </c>
    </row>
    <row r="621" spans="1:5">
      <c r="A621" s="3063">
        <v>618</v>
      </c>
      <c r="B621" s="3063" t="s">
        <v>3698</v>
      </c>
      <c r="C621" s="3063" t="s">
        <v>3586</v>
      </c>
      <c r="D621" s="3063" t="s">
        <v>3382</v>
      </c>
      <c r="E621" s="3279">
        <v>41.37</v>
      </c>
    </row>
    <row r="622" spans="1:5">
      <c r="A622" s="3063">
        <v>619</v>
      </c>
      <c r="B622" s="3063" t="s">
        <v>3699</v>
      </c>
      <c r="C622" s="3063" t="s">
        <v>3586</v>
      </c>
      <c r="D622" s="3063" t="s">
        <v>3382</v>
      </c>
      <c r="E622" s="3279">
        <v>41.37</v>
      </c>
    </row>
    <row r="623" spans="1:5">
      <c r="A623" s="3063">
        <v>620</v>
      </c>
      <c r="B623" s="3063" t="s">
        <v>3700</v>
      </c>
      <c r="C623" s="3063" t="s">
        <v>3586</v>
      </c>
      <c r="D623" s="3063" t="s">
        <v>3382</v>
      </c>
      <c r="E623" s="3279">
        <v>41.37</v>
      </c>
    </row>
    <row r="624" spans="1:5">
      <c r="A624" s="3063">
        <v>621</v>
      </c>
      <c r="B624" s="3063" t="s">
        <v>3701</v>
      </c>
      <c r="C624" s="3063" t="s">
        <v>3586</v>
      </c>
      <c r="D624" s="3063" t="s">
        <v>3382</v>
      </c>
      <c r="E624" s="3279">
        <v>41.37</v>
      </c>
    </row>
    <row r="625" spans="1:5">
      <c r="A625" s="3063">
        <v>622</v>
      </c>
      <c r="B625" s="3063" t="s">
        <v>3702</v>
      </c>
      <c r="C625" s="3063" t="s">
        <v>3586</v>
      </c>
      <c r="D625" s="3063" t="s">
        <v>3382</v>
      </c>
      <c r="E625" s="3279">
        <v>40.24</v>
      </c>
    </row>
    <row r="626" spans="1:5">
      <c r="A626" s="3063">
        <v>623</v>
      </c>
      <c r="B626" s="3063" t="s">
        <v>3703</v>
      </c>
      <c r="C626" s="3063" t="s">
        <v>3586</v>
      </c>
      <c r="D626" s="3063" t="s">
        <v>3382</v>
      </c>
      <c r="E626" s="3279">
        <v>41.37</v>
      </c>
    </row>
    <row r="627" spans="1:5">
      <c r="A627" s="3063">
        <v>624</v>
      </c>
      <c r="B627" s="3063" t="s">
        <v>3704</v>
      </c>
      <c r="C627" s="3063" t="s">
        <v>3586</v>
      </c>
      <c r="D627" s="3063" t="s">
        <v>3382</v>
      </c>
      <c r="E627" s="3279">
        <v>41.37</v>
      </c>
    </row>
    <row r="628" spans="1:5">
      <c r="A628" s="3063">
        <v>625</v>
      </c>
      <c r="B628" s="3063" t="s">
        <v>3705</v>
      </c>
      <c r="C628" s="3063" t="s">
        <v>3586</v>
      </c>
      <c r="D628" s="3063" t="s">
        <v>3382</v>
      </c>
      <c r="E628" s="3279">
        <v>41.37</v>
      </c>
    </row>
    <row r="629" spans="1:5">
      <c r="A629" s="3063">
        <v>626</v>
      </c>
      <c r="B629" s="3063" t="s">
        <v>3706</v>
      </c>
      <c r="C629" s="3063" t="s">
        <v>3586</v>
      </c>
      <c r="D629" s="3063" t="s">
        <v>3382</v>
      </c>
      <c r="E629" s="3279">
        <v>41.37</v>
      </c>
    </row>
    <row r="630" spans="1:5">
      <c r="A630" s="3063">
        <v>627</v>
      </c>
      <c r="B630" s="3063" t="s">
        <v>3707</v>
      </c>
      <c r="C630" s="3063" t="s">
        <v>3586</v>
      </c>
      <c r="D630" s="3063" t="s">
        <v>3382</v>
      </c>
      <c r="E630" s="3279">
        <v>41.37</v>
      </c>
    </row>
    <row r="631" spans="1:5">
      <c r="A631" s="3063">
        <v>628</v>
      </c>
      <c r="B631" s="3063" t="s">
        <v>3708</v>
      </c>
      <c r="C631" s="3063" t="s">
        <v>3586</v>
      </c>
      <c r="D631" s="3063" t="s">
        <v>3382</v>
      </c>
      <c r="E631" s="3279">
        <v>41.37</v>
      </c>
    </row>
    <row r="632" spans="1:5">
      <c r="A632" s="3063">
        <v>629</v>
      </c>
      <c r="B632" s="3063" t="s">
        <v>3709</v>
      </c>
      <c r="C632" s="3063" t="s">
        <v>3586</v>
      </c>
      <c r="D632" s="3063" t="s">
        <v>3382</v>
      </c>
      <c r="E632" s="3279">
        <v>41.37</v>
      </c>
    </row>
    <row r="633" spans="1:5">
      <c r="A633" s="3063">
        <v>630</v>
      </c>
      <c r="B633" s="3063" t="s">
        <v>3710</v>
      </c>
      <c r="C633" s="3063" t="s">
        <v>3586</v>
      </c>
      <c r="D633" s="3063" t="s">
        <v>3382</v>
      </c>
      <c r="E633" s="3279">
        <v>41.37</v>
      </c>
    </row>
    <row r="634" spans="1:5">
      <c r="A634" s="3063">
        <v>631</v>
      </c>
      <c r="B634" s="3063" t="s">
        <v>3711</v>
      </c>
      <c r="C634" s="3063" t="s">
        <v>3586</v>
      </c>
      <c r="D634" s="3063" t="s">
        <v>3382</v>
      </c>
      <c r="E634" s="3279">
        <v>41.37</v>
      </c>
    </row>
    <row r="635" spans="1:5">
      <c r="A635" s="3063">
        <v>632</v>
      </c>
      <c r="B635" s="3063" t="s">
        <v>3712</v>
      </c>
      <c r="C635" s="3063" t="s">
        <v>3586</v>
      </c>
      <c r="D635" s="3063" t="s">
        <v>3382</v>
      </c>
      <c r="E635" s="3279">
        <v>41.37</v>
      </c>
    </row>
    <row r="636" spans="1:5">
      <c r="A636" s="3063">
        <v>633</v>
      </c>
      <c r="B636" s="3063" t="s">
        <v>3713</v>
      </c>
      <c r="C636" s="3063" t="s">
        <v>3586</v>
      </c>
      <c r="D636" s="3063" t="s">
        <v>3382</v>
      </c>
      <c r="E636" s="3279">
        <v>41.37</v>
      </c>
    </row>
    <row r="637" spans="1:5">
      <c r="A637" s="3063">
        <v>634</v>
      </c>
      <c r="B637" s="3063" t="s">
        <v>3714</v>
      </c>
      <c r="C637" s="3063" t="s">
        <v>3586</v>
      </c>
      <c r="D637" s="3063" t="s">
        <v>3382</v>
      </c>
      <c r="E637" s="3279">
        <v>41.37</v>
      </c>
    </row>
    <row r="638" spans="1:5">
      <c r="A638" s="3063">
        <v>635</v>
      </c>
      <c r="B638" s="3063" t="s">
        <v>3715</v>
      </c>
      <c r="C638" s="3063" t="s">
        <v>3586</v>
      </c>
      <c r="D638" s="3063" t="s">
        <v>3382</v>
      </c>
      <c r="E638" s="3279">
        <v>41.37</v>
      </c>
    </row>
    <row r="639" spans="1:5">
      <c r="A639" s="3063">
        <v>636</v>
      </c>
      <c r="B639" s="3063" t="s">
        <v>3716</v>
      </c>
      <c r="C639" s="3063" t="s">
        <v>3586</v>
      </c>
      <c r="D639" s="3063" t="s">
        <v>3382</v>
      </c>
      <c r="E639" s="3279">
        <v>41.37</v>
      </c>
    </row>
    <row r="640" spans="1:5">
      <c r="A640" s="3063">
        <v>637</v>
      </c>
      <c r="B640" s="3063" t="s">
        <v>3717</v>
      </c>
      <c r="C640" s="3063" t="s">
        <v>3586</v>
      </c>
      <c r="D640" s="3063" t="s">
        <v>3382</v>
      </c>
      <c r="E640" s="3279">
        <v>41.37</v>
      </c>
    </row>
    <row r="641" spans="1:5">
      <c r="A641" s="3063">
        <v>638</v>
      </c>
      <c r="B641" s="3063" t="s">
        <v>3718</v>
      </c>
      <c r="C641" s="3063" t="s">
        <v>3586</v>
      </c>
      <c r="D641" s="3063" t="s">
        <v>3382</v>
      </c>
      <c r="E641" s="3279">
        <v>41.37</v>
      </c>
    </row>
    <row r="642" spans="1:5">
      <c r="A642" s="3063">
        <v>639</v>
      </c>
      <c r="B642" s="3063" t="s">
        <v>3719</v>
      </c>
      <c r="C642" s="3063" t="s">
        <v>3586</v>
      </c>
      <c r="D642" s="3063" t="s">
        <v>3382</v>
      </c>
      <c r="E642" s="3279">
        <v>41.37</v>
      </c>
    </row>
    <row r="643" spans="1:5">
      <c r="A643" s="3063">
        <v>640</v>
      </c>
      <c r="B643" s="3063" t="s">
        <v>3720</v>
      </c>
      <c r="C643" s="3063" t="s">
        <v>3586</v>
      </c>
      <c r="D643" s="3063" t="s">
        <v>3382</v>
      </c>
      <c r="E643" s="3279">
        <v>41.37</v>
      </c>
    </row>
    <row r="644" spans="1:5">
      <c r="A644" s="3063">
        <v>641</v>
      </c>
      <c r="B644" s="3063" t="s">
        <v>3721</v>
      </c>
      <c r="C644" s="3063" t="s">
        <v>3586</v>
      </c>
      <c r="D644" s="3063" t="s">
        <v>3382</v>
      </c>
      <c r="E644" s="3279">
        <v>41.37</v>
      </c>
    </row>
    <row r="645" spans="1:5">
      <c r="A645" s="3063">
        <v>642</v>
      </c>
      <c r="B645" s="3063" t="s">
        <v>3722</v>
      </c>
      <c r="C645" s="3063" t="s">
        <v>3586</v>
      </c>
      <c r="D645" s="3063" t="s">
        <v>3382</v>
      </c>
      <c r="E645" s="3279">
        <v>41.37</v>
      </c>
    </row>
    <row r="646" spans="1:5">
      <c r="A646" s="3063">
        <v>643</v>
      </c>
      <c r="B646" s="3063" t="s">
        <v>3723</v>
      </c>
      <c r="C646" s="3063" t="s">
        <v>3586</v>
      </c>
      <c r="D646" s="3063" t="s">
        <v>3382</v>
      </c>
      <c r="E646" s="3279">
        <v>41.37</v>
      </c>
    </row>
    <row r="647" spans="1:5">
      <c r="A647" s="3063">
        <v>644</v>
      </c>
      <c r="B647" s="3063" t="s">
        <v>3724</v>
      </c>
      <c r="C647" s="3063" t="s">
        <v>3586</v>
      </c>
      <c r="D647" s="3063" t="s">
        <v>3382</v>
      </c>
      <c r="E647" s="3279">
        <v>41.37</v>
      </c>
    </row>
    <row r="648" spans="1:5">
      <c r="A648" s="3063">
        <v>645</v>
      </c>
      <c r="B648" s="3063" t="s">
        <v>3725</v>
      </c>
      <c r="C648" s="3063" t="s">
        <v>3586</v>
      </c>
      <c r="D648" s="3063" t="s">
        <v>3382</v>
      </c>
      <c r="E648" s="3279">
        <v>41.37</v>
      </c>
    </row>
    <row r="649" spans="1:5">
      <c r="A649" s="3063">
        <v>646</v>
      </c>
      <c r="B649" s="3063" t="s">
        <v>3726</v>
      </c>
      <c r="C649" s="3063" t="s">
        <v>3586</v>
      </c>
      <c r="D649" s="3063" t="s">
        <v>3382</v>
      </c>
      <c r="E649" s="3279">
        <v>41.37</v>
      </c>
    </row>
    <row r="650" spans="1:5">
      <c r="A650" s="3063">
        <v>647</v>
      </c>
      <c r="B650" s="3063" t="s">
        <v>3727</v>
      </c>
      <c r="C650" s="3063" t="s">
        <v>3586</v>
      </c>
      <c r="D650" s="3063" t="s">
        <v>3382</v>
      </c>
      <c r="E650" s="3279">
        <v>41.37</v>
      </c>
    </row>
    <row r="651" spans="1:5">
      <c r="A651" s="3063">
        <v>648</v>
      </c>
      <c r="B651" s="3063" t="s">
        <v>3728</v>
      </c>
      <c r="C651" s="3063" t="s">
        <v>3586</v>
      </c>
      <c r="D651" s="3063" t="s">
        <v>3382</v>
      </c>
      <c r="E651" s="3279">
        <v>41.37</v>
      </c>
    </row>
    <row r="652" spans="1:5">
      <c r="A652" s="3063">
        <v>649</v>
      </c>
      <c r="B652" s="3063" t="s">
        <v>3729</v>
      </c>
      <c r="C652" s="3063" t="s">
        <v>3586</v>
      </c>
      <c r="D652" s="3063" t="s">
        <v>3382</v>
      </c>
      <c r="E652" s="3279">
        <v>41.37</v>
      </c>
    </row>
    <row r="653" spans="1:5">
      <c r="A653" s="3063">
        <v>650</v>
      </c>
      <c r="B653" s="3063" t="s">
        <v>3730</v>
      </c>
      <c r="C653" s="3063" t="s">
        <v>3586</v>
      </c>
      <c r="D653" s="3063" t="s">
        <v>3382</v>
      </c>
      <c r="E653" s="3279">
        <v>41.37</v>
      </c>
    </row>
    <row r="654" spans="1:5">
      <c r="A654" s="3063">
        <v>651</v>
      </c>
      <c r="B654" s="3063" t="s">
        <v>3731</v>
      </c>
      <c r="C654" s="3063" t="s">
        <v>3586</v>
      </c>
      <c r="D654" s="3063" t="s">
        <v>3382</v>
      </c>
      <c r="E654" s="3279">
        <v>41.37</v>
      </c>
    </row>
    <row r="655" spans="1:5">
      <c r="A655" s="3063">
        <v>652</v>
      </c>
      <c r="B655" s="3063" t="s">
        <v>3732</v>
      </c>
      <c r="C655" s="3063" t="s">
        <v>3586</v>
      </c>
      <c r="D655" s="3063" t="s">
        <v>3382</v>
      </c>
      <c r="E655" s="3279">
        <v>41.37</v>
      </c>
    </row>
    <row r="656" spans="1:5">
      <c r="A656" s="3063">
        <v>653</v>
      </c>
      <c r="B656" s="3063" t="s">
        <v>3733</v>
      </c>
      <c r="C656" s="3063" t="s">
        <v>3586</v>
      </c>
      <c r="D656" s="3063" t="s">
        <v>3382</v>
      </c>
      <c r="E656" s="3279">
        <v>41.37</v>
      </c>
    </row>
    <row r="657" spans="1:5">
      <c r="A657" s="3063">
        <v>654</v>
      </c>
      <c r="B657" s="3063" t="s">
        <v>3734</v>
      </c>
      <c r="C657" s="3063" t="s">
        <v>3586</v>
      </c>
      <c r="D657" s="3063" t="s">
        <v>3382</v>
      </c>
      <c r="E657" s="3279">
        <v>41.37</v>
      </c>
    </row>
    <row r="658" spans="1:5">
      <c r="A658" s="3063">
        <v>655</v>
      </c>
      <c r="B658" s="3063" t="s">
        <v>3735</v>
      </c>
      <c r="C658" s="3063" t="s">
        <v>3586</v>
      </c>
      <c r="D658" s="3063" t="s">
        <v>3382</v>
      </c>
      <c r="E658" s="3279">
        <v>41.37</v>
      </c>
    </row>
    <row r="659" spans="1:5">
      <c r="A659" s="3063">
        <v>656</v>
      </c>
      <c r="B659" s="3063" t="s">
        <v>3736</v>
      </c>
      <c r="C659" s="3063" t="s">
        <v>3586</v>
      </c>
      <c r="D659" s="3063" t="s">
        <v>3382</v>
      </c>
      <c r="E659" s="3279">
        <v>41.37</v>
      </c>
    </row>
    <row r="660" spans="1:5">
      <c r="A660" s="3063">
        <v>657</v>
      </c>
      <c r="B660" s="3063" t="s">
        <v>3737</v>
      </c>
      <c r="C660" s="3063" t="s">
        <v>3586</v>
      </c>
      <c r="D660" s="3063" t="s">
        <v>3382</v>
      </c>
      <c r="E660" s="3279">
        <v>41.37</v>
      </c>
    </row>
    <row r="661" spans="1:5">
      <c r="A661" s="3063">
        <v>658</v>
      </c>
      <c r="B661" s="3063" t="s">
        <v>3738</v>
      </c>
      <c r="C661" s="3063" t="s">
        <v>3586</v>
      </c>
      <c r="D661" s="3063" t="s">
        <v>3382</v>
      </c>
      <c r="E661" s="3279">
        <v>41.37</v>
      </c>
    </row>
    <row r="662" spans="1:5">
      <c r="A662" s="3063">
        <v>659</v>
      </c>
      <c r="B662" s="3063" t="s">
        <v>3739</v>
      </c>
      <c r="C662" s="3063" t="s">
        <v>3586</v>
      </c>
      <c r="D662" s="3063" t="s">
        <v>3382</v>
      </c>
      <c r="E662" s="3279">
        <v>41.37</v>
      </c>
    </row>
    <row r="663" spans="1:5">
      <c r="A663" s="3063">
        <v>660</v>
      </c>
      <c r="B663" s="3063" t="s">
        <v>3740</v>
      </c>
      <c r="C663" s="3063" t="s">
        <v>3586</v>
      </c>
      <c r="D663" s="3063" t="s">
        <v>3382</v>
      </c>
      <c r="E663" s="3279">
        <v>41.37</v>
      </c>
    </row>
    <row r="664" spans="1:5">
      <c r="A664" s="3063">
        <v>661</v>
      </c>
      <c r="B664" s="3063" t="s">
        <v>3741</v>
      </c>
      <c r="C664" s="3063" t="s">
        <v>3586</v>
      </c>
      <c r="D664" s="3063" t="s">
        <v>3382</v>
      </c>
      <c r="E664" s="3279">
        <v>41.37</v>
      </c>
    </row>
    <row r="665" spans="1:5">
      <c r="A665" s="3063">
        <v>662</v>
      </c>
      <c r="B665" s="3063" t="s">
        <v>3742</v>
      </c>
      <c r="C665" s="3063" t="s">
        <v>3586</v>
      </c>
      <c r="D665" s="3063" t="s">
        <v>3382</v>
      </c>
      <c r="E665" s="3279">
        <v>41.37</v>
      </c>
    </row>
    <row r="666" spans="1:5">
      <c r="A666" s="3063">
        <v>663</v>
      </c>
      <c r="B666" s="3063" t="s">
        <v>3743</v>
      </c>
      <c r="C666" s="3063" t="s">
        <v>3586</v>
      </c>
      <c r="D666" s="3063" t="s">
        <v>3382</v>
      </c>
      <c r="E666" s="3279">
        <v>41.37</v>
      </c>
    </row>
    <row r="667" spans="1:5">
      <c r="A667" s="3063">
        <v>664</v>
      </c>
      <c r="B667" s="3063" t="s">
        <v>3744</v>
      </c>
      <c r="C667" s="3063" t="s">
        <v>3586</v>
      </c>
      <c r="D667" s="3063" t="s">
        <v>3382</v>
      </c>
      <c r="E667" s="3279">
        <v>41.37</v>
      </c>
    </row>
    <row r="668" spans="1:5">
      <c r="A668" s="3063">
        <v>665</v>
      </c>
      <c r="B668" s="3063" t="s">
        <v>3745</v>
      </c>
      <c r="C668" s="3063" t="s">
        <v>3586</v>
      </c>
      <c r="D668" s="3063" t="s">
        <v>3382</v>
      </c>
      <c r="E668" s="3279">
        <v>41.37</v>
      </c>
    </row>
    <row r="669" spans="1:5">
      <c r="A669" s="3063">
        <v>666</v>
      </c>
      <c r="B669" s="3063" t="s">
        <v>3746</v>
      </c>
      <c r="C669" s="3063" t="s">
        <v>3586</v>
      </c>
      <c r="D669" s="3063" t="s">
        <v>3382</v>
      </c>
      <c r="E669" s="3279">
        <v>41.37</v>
      </c>
    </row>
    <row r="670" spans="1:5">
      <c r="A670" s="3063">
        <v>667</v>
      </c>
      <c r="B670" s="3063" t="s">
        <v>3747</v>
      </c>
      <c r="C670" s="3063" t="s">
        <v>3586</v>
      </c>
      <c r="D670" s="3063" t="s">
        <v>3382</v>
      </c>
      <c r="E670" s="3279">
        <v>41.37</v>
      </c>
    </row>
    <row r="671" spans="1:5">
      <c r="A671" s="3063">
        <v>668</v>
      </c>
      <c r="B671" s="3063" t="s">
        <v>3748</v>
      </c>
      <c r="C671" s="3063" t="s">
        <v>3586</v>
      </c>
      <c r="D671" s="3063" t="s">
        <v>3382</v>
      </c>
      <c r="E671" s="3279">
        <v>41.37</v>
      </c>
    </row>
    <row r="672" spans="1:5">
      <c r="A672" s="3063">
        <v>669</v>
      </c>
      <c r="B672" s="3063" t="s">
        <v>3749</v>
      </c>
      <c r="C672" s="3063" t="s">
        <v>3586</v>
      </c>
      <c r="D672" s="3063" t="s">
        <v>3382</v>
      </c>
      <c r="E672" s="3279">
        <v>41.37</v>
      </c>
    </row>
    <row r="673" spans="1:5">
      <c r="A673" s="3063">
        <v>670</v>
      </c>
      <c r="B673" s="3063" t="s">
        <v>3750</v>
      </c>
      <c r="C673" s="3063" t="s">
        <v>3586</v>
      </c>
      <c r="D673" s="3063" t="s">
        <v>3382</v>
      </c>
      <c r="E673" s="3279">
        <v>41.37</v>
      </c>
    </row>
    <row r="674" spans="1:5">
      <c r="A674" s="3063">
        <v>671</v>
      </c>
      <c r="B674" s="3063" t="s">
        <v>3751</v>
      </c>
      <c r="C674" s="3063" t="s">
        <v>3586</v>
      </c>
      <c r="D674" s="3063" t="s">
        <v>3382</v>
      </c>
      <c r="E674" s="3279">
        <v>41.37</v>
      </c>
    </row>
    <row r="675" spans="1:5">
      <c r="A675" s="3063">
        <v>672</v>
      </c>
      <c r="B675" s="3063" t="s">
        <v>3752</v>
      </c>
      <c r="C675" s="3063" t="s">
        <v>3586</v>
      </c>
      <c r="D675" s="3063" t="s">
        <v>3382</v>
      </c>
      <c r="E675" s="3279">
        <v>41.37</v>
      </c>
    </row>
    <row r="676" spans="1:5">
      <c r="A676" s="3063">
        <v>673</v>
      </c>
      <c r="B676" s="3063" t="s">
        <v>3753</v>
      </c>
      <c r="C676" s="3063" t="s">
        <v>3586</v>
      </c>
      <c r="D676" s="3063" t="s">
        <v>3382</v>
      </c>
      <c r="E676" s="3279">
        <v>41.37</v>
      </c>
    </row>
    <row r="677" spans="1:5">
      <c r="A677" s="3063">
        <v>674</v>
      </c>
      <c r="B677" s="3063" t="s">
        <v>3754</v>
      </c>
      <c r="C677" s="3063" t="s">
        <v>3586</v>
      </c>
      <c r="D677" s="3063" t="s">
        <v>3382</v>
      </c>
      <c r="E677" s="3279">
        <v>41.37</v>
      </c>
    </row>
    <row r="678" spans="1:5">
      <c r="A678" s="3063">
        <v>675</v>
      </c>
      <c r="B678" s="3063" t="s">
        <v>3755</v>
      </c>
      <c r="C678" s="3063" t="s">
        <v>3586</v>
      </c>
      <c r="D678" s="3063" t="s">
        <v>3382</v>
      </c>
      <c r="E678" s="3279">
        <v>41.37</v>
      </c>
    </row>
    <row r="679" spans="1:5">
      <c r="A679" s="3063">
        <v>676</v>
      </c>
      <c r="B679" s="3063" t="s">
        <v>3756</v>
      </c>
      <c r="C679" s="3063" t="s">
        <v>3586</v>
      </c>
      <c r="D679" s="3063" t="s">
        <v>3382</v>
      </c>
      <c r="E679" s="3279">
        <v>41.37</v>
      </c>
    </row>
    <row r="680" spans="1:5">
      <c r="A680" s="3063">
        <v>677</v>
      </c>
      <c r="B680" s="3063" t="s">
        <v>3757</v>
      </c>
      <c r="C680" s="3063" t="s">
        <v>3586</v>
      </c>
      <c r="D680" s="3063" t="s">
        <v>3382</v>
      </c>
      <c r="E680" s="3279">
        <v>41.37</v>
      </c>
    </row>
    <row r="681" spans="1:5">
      <c r="A681" s="3063">
        <v>678</v>
      </c>
      <c r="B681" s="3063" t="s">
        <v>3758</v>
      </c>
      <c r="C681" s="3063" t="s">
        <v>3586</v>
      </c>
      <c r="D681" s="3063" t="s">
        <v>3382</v>
      </c>
      <c r="E681" s="3279">
        <v>41.37</v>
      </c>
    </row>
    <row r="682" spans="1:5">
      <c r="A682" s="3063">
        <v>679</v>
      </c>
      <c r="B682" s="3063" t="s">
        <v>3759</v>
      </c>
      <c r="C682" s="3063" t="s">
        <v>3586</v>
      </c>
      <c r="D682" s="3063" t="s">
        <v>3382</v>
      </c>
      <c r="E682" s="3279">
        <v>41.37</v>
      </c>
    </row>
    <row r="683" spans="1:5">
      <c r="A683" s="3063">
        <v>680</v>
      </c>
      <c r="B683" s="3063" t="s">
        <v>3760</v>
      </c>
      <c r="C683" s="3063" t="s">
        <v>3586</v>
      </c>
      <c r="D683" s="3063" t="s">
        <v>3382</v>
      </c>
      <c r="E683" s="3279">
        <v>41.37</v>
      </c>
    </row>
    <row r="684" spans="1:5">
      <c r="A684" s="3063">
        <v>681</v>
      </c>
      <c r="B684" s="3063" t="s">
        <v>3761</v>
      </c>
      <c r="C684" s="3063" t="s">
        <v>3586</v>
      </c>
      <c r="D684" s="3063" t="s">
        <v>3382</v>
      </c>
      <c r="E684" s="3279">
        <v>41.37</v>
      </c>
    </row>
    <row r="685" spans="1:5">
      <c r="A685" s="3063">
        <v>682</v>
      </c>
      <c r="B685" s="3063" t="s">
        <v>3762</v>
      </c>
      <c r="C685" s="3063" t="s">
        <v>3586</v>
      </c>
      <c r="D685" s="3063" t="s">
        <v>3382</v>
      </c>
      <c r="E685" s="3279">
        <v>41.37</v>
      </c>
    </row>
    <row r="686" spans="1:5">
      <c r="A686" s="3063">
        <v>683</v>
      </c>
      <c r="B686" s="3063" t="s">
        <v>3763</v>
      </c>
      <c r="C686" s="3063" t="s">
        <v>3586</v>
      </c>
      <c r="D686" s="3063" t="s">
        <v>3382</v>
      </c>
      <c r="E686" s="3279">
        <v>41.37</v>
      </c>
    </row>
    <row r="687" spans="1:5">
      <c r="A687" s="3063">
        <v>684</v>
      </c>
      <c r="B687" s="3063" t="s">
        <v>3764</v>
      </c>
      <c r="C687" s="3063" t="s">
        <v>3586</v>
      </c>
      <c r="D687" s="3063" t="s">
        <v>3382</v>
      </c>
      <c r="E687" s="3279">
        <v>41.37</v>
      </c>
    </row>
    <row r="688" spans="1:5">
      <c r="A688" s="3063">
        <v>685</v>
      </c>
      <c r="B688" s="3063" t="s">
        <v>3765</v>
      </c>
      <c r="C688" s="3063" t="s">
        <v>3586</v>
      </c>
      <c r="D688" s="3063" t="s">
        <v>3382</v>
      </c>
      <c r="E688" s="3279">
        <v>41.37</v>
      </c>
    </row>
    <row r="689" spans="1:5">
      <c r="A689" s="3063">
        <v>686</v>
      </c>
      <c r="B689" s="3063" t="s">
        <v>3766</v>
      </c>
      <c r="C689" s="3063" t="s">
        <v>3586</v>
      </c>
      <c r="D689" s="3063" t="s">
        <v>3382</v>
      </c>
      <c r="E689" s="3279">
        <v>41.37</v>
      </c>
    </row>
    <row r="690" spans="1:5">
      <c r="A690" s="3063">
        <v>687</v>
      </c>
      <c r="B690" s="3063" t="s">
        <v>3767</v>
      </c>
      <c r="C690" s="3063" t="s">
        <v>3586</v>
      </c>
      <c r="D690" s="3063" t="s">
        <v>3382</v>
      </c>
      <c r="E690" s="3279">
        <v>41.37</v>
      </c>
    </row>
    <row r="691" spans="1:5">
      <c r="A691" s="3063">
        <v>688</v>
      </c>
      <c r="B691" s="3063" t="s">
        <v>3768</v>
      </c>
      <c r="C691" s="3063" t="s">
        <v>3586</v>
      </c>
      <c r="D691" s="3063" t="s">
        <v>3382</v>
      </c>
      <c r="E691" s="3279">
        <v>41.37</v>
      </c>
    </row>
    <row r="692" spans="1:5">
      <c r="A692" s="3063">
        <v>689</v>
      </c>
      <c r="B692" s="3063" t="s">
        <v>3769</v>
      </c>
      <c r="C692" s="3063" t="s">
        <v>3586</v>
      </c>
      <c r="D692" s="3063" t="s">
        <v>3382</v>
      </c>
      <c r="E692" s="3279">
        <v>41.37</v>
      </c>
    </row>
    <row r="693" spans="1:5">
      <c r="A693" s="3063">
        <v>690</v>
      </c>
      <c r="B693" s="3063" t="s">
        <v>3770</v>
      </c>
      <c r="C693" s="3063" t="s">
        <v>3586</v>
      </c>
      <c r="D693" s="3063" t="s">
        <v>3382</v>
      </c>
      <c r="E693" s="3279">
        <v>41.37</v>
      </c>
    </row>
    <row r="694" spans="1:5">
      <c r="A694" s="3063">
        <v>691</v>
      </c>
      <c r="B694" s="3063" t="s">
        <v>3771</v>
      </c>
      <c r="C694" s="3063" t="s">
        <v>3586</v>
      </c>
      <c r="D694" s="3063" t="s">
        <v>3382</v>
      </c>
      <c r="E694" s="3279">
        <v>41.37</v>
      </c>
    </row>
    <row r="695" spans="1:5">
      <c r="A695" s="3063">
        <v>692</v>
      </c>
      <c r="B695" s="3063" t="s">
        <v>3772</v>
      </c>
      <c r="C695" s="3063" t="s">
        <v>3586</v>
      </c>
      <c r="D695" s="3063" t="s">
        <v>3382</v>
      </c>
      <c r="E695" s="3279">
        <v>41.37</v>
      </c>
    </row>
    <row r="696" spans="1:5">
      <c r="A696" s="3063">
        <v>693</v>
      </c>
      <c r="B696" s="3063" t="s">
        <v>3773</v>
      </c>
      <c r="C696" s="3063" t="s">
        <v>3586</v>
      </c>
      <c r="D696" s="3063" t="s">
        <v>3382</v>
      </c>
      <c r="E696" s="3279">
        <v>41.37</v>
      </c>
    </row>
    <row r="697" spans="1:5">
      <c r="A697" s="3063">
        <v>694</v>
      </c>
      <c r="B697" s="3063" t="s">
        <v>3774</v>
      </c>
      <c r="C697" s="3063" t="s">
        <v>3586</v>
      </c>
      <c r="D697" s="3063" t="s">
        <v>3382</v>
      </c>
      <c r="E697" s="3279">
        <v>41.37</v>
      </c>
    </row>
    <row r="698" spans="1:5">
      <c r="A698" s="3063">
        <v>695</v>
      </c>
      <c r="B698" s="3063" t="s">
        <v>3775</v>
      </c>
      <c r="C698" s="3063" t="s">
        <v>3586</v>
      </c>
      <c r="D698" s="3063" t="s">
        <v>3382</v>
      </c>
      <c r="E698" s="3279">
        <v>41.37</v>
      </c>
    </row>
    <row r="699" spans="1:5">
      <c r="A699" s="3063">
        <v>696</v>
      </c>
      <c r="B699" s="3063" t="s">
        <v>3776</v>
      </c>
      <c r="C699" s="3063" t="s">
        <v>3586</v>
      </c>
      <c r="D699" s="3063" t="s">
        <v>3382</v>
      </c>
      <c r="E699" s="3279">
        <v>41.37</v>
      </c>
    </row>
    <row r="700" spans="1:5">
      <c r="A700" s="3063">
        <v>697</v>
      </c>
      <c r="B700" s="3063" t="s">
        <v>3777</v>
      </c>
      <c r="C700" s="3063" t="s">
        <v>3586</v>
      </c>
      <c r="D700" s="3063" t="s">
        <v>3382</v>
      </c>
      <c r="E700" s="3279">
        <v>41.37</v>
      </c>
    </row>
    <row r="701" spans="1:5">
      <c r="A701" s="3063">
        <v>698</v>
      </c>
      <c r="B701" s="3063" t="s">
        <v>3778</v>
      </c>
      <c r="C701" s="3063" t="s">
        <v>3586</v>
      </c>
      <c r="D701" s="3063" t="s">
        <v>3382</v>
      </c>
      <c r="E701" s="3279">
        <v>41.37</v>
      </c>
    </row>
    <row r="702" spans="1:5">
      <c r="A702" s="3063">
        <v>699</v>
      </c>
      <c r="B702" s="3063" t="s">
        <v>3779</v>
      </c>
      <c r="C702" s="3063" t="s">
        <v>3586</v>
      </c>
      <c r="D702" s="3063" t="s">
        <v>3382</v>
      </c>
      <c r="E702" s="3279">
        <v>41.37</v>
      </c>
    </row>
    <row r="703" spans="1:5">
      <c r="A703" s="3063">
        <v>700</v>
      </c>
      <c r="B703" s="3063" t="s">
        <v>3780</v>
      </c>
      <c r="C703" s="3063" t="s">
        <v>3586</v>
      </c>
      <c r="D703" s="3063" t="s">
        <v>3382</v>
      </c>
      <c r="E703" s="3279">
        <v>41.37</v>
      </c>
    </row>
    <row r="704" spans="1:5">
      <c r="A704" s="3063">
        <v>701</v>
      </c>
      <c r="B704" s="3063" t="s">
        <v>3781</v>
      </c>
      <c r="C704" s="3063" t="s">
        <v>3586</v>
      </c>
      <c r="D704" s="3063" t="s">
        <v>3382</v>
      </c>
      <c r="E704" s="3279">
        <v>41.37</v>
      </c>
    </row>
    <row r="705" spans="1:5">
      <c r="A705" s="3063">
        <v>702</v>
      </c>
      <c r="B705" s="3063" t="s">
        <v>3782</v>
      </c>
      <c r="C705" s="3063" t="s">
        <v>3586</v>
      </c>
      <c r="D705" s="3063" t="s">
        <v>3382</v>
      </c>
      <c r="E705" s="3279">
        <v>41.37</v>
      </c>
    </row>
    <row r="706" spans="1:5">
      <c r="A706" s="3063">
        <v>703</v>
      </c>
      <c r="B706" s="3063" t="s">
        <v>3783</v>
      </c>
      <c r="C706" s="3063" t="s">
        <v>3586</v>
      </c>
      <c r="D706" s="3063" t="s">
        <v>3382</v>
      </c>
      <c r="E706" s="3279">
        <v>41.37</v>
      </c>
    </row>
    <row r="707" spans="1:5">
      <c r="A707" s="3063">
        <v>704</v>
      </c>
      <c r="B707" s="3063" t="s">
        <v>3784</v>
      </c>
      <c r="C707" s="3063" t="s">
        <v>3586</v>
      </c>
      <c r="D707" s="3063" t="s">
        <v>3382</v>
      </c>
      <c r="E707" s="3279">
        <v>41.37</v>
      </c>
    </row>
    <row r="708" spans="1:5">
      <c r="A708" s="3063">
        <v>705</v>
      </c>
      <c r="B708" s="3063" t="s">
        <v>3785</v>
      </c>
      <c r="C708" s="3063" t="s">
        <v>3586</v>
      </c>
      <c r="D708" s="3063" t="s">
        <v>3382</v>
      </c>
      <c r="E708" s="3279">
        <v>41.37</v>
      </c>
    </row>
    <row r="709" spans="1:5">
      <c r="A709" s="3063">
        <v>706</v>
      </c>
      <c r="B709" s="3063" t="s">
        <v>3786</v>
      </c>
      <c r="C709" s="3063" t="s">
        <v>3586</v>
      </c>
      <c r="D709" s="3063" t="s">
        <v>3382</v>
      </c>
      <c r="E709" s="3279">
        <v>41.37</v>
      </c>
    </row>
    <row r="710" spans="1:5">
      <c r="A710" s="3063">
        <v>707</v>
      </c>
      <c r="B710" s="3063" t="s">
        <v>3787</v>
      </c>
      <c r="C710" s="3063" t="s">
        <v>3586</v>
      </c>
      <c r="D710" s="3063" t="s">
        <v>3382</v>
      </c>
      <c r="E710" s="3279">
        <v>41.37</v>
      </c>
    </row>
    <row r="711" spans="1:5">
      <c r="A711" s="3063">
        <v>708</v>
      </c>
      <c r="B711" s="3063" t="s">
        <v>3788</v>
      </c>
      <c r="C711" s="3063" t="s">
        <v>3586</v>
      </c>
      <c r="D711" s="3063" t="s">
        <v>3382</v>
      </c>
      <c r="E711" s="3279">
        <v>41.37</v>
      </c>
    </row>
    <row r="712" spans="1:5">
      <c r="A712" s="3063">
        <v>709</v>
      </c>
      <c r="B712" s="3063" t="s">
        <v>3789</v>
      </c>
      <c r="C712" s="3063" t="s">
        <v>3586</v>
      </c>
      <c r="D712" s="3063" t="s">
        <v>3382</v>
      </c>
      <c r="E712" s="3279">
        <v>41.37</v>
      </c>
    </row>
    <row r="713" spans="1:5">
      <c r="A713" s="3063">
        <v>710</v>
      </c>
      <c r="B713" s="3063" t="s">
        <v>3790</v>
      </c>
      <c r="C713" s="3063" t="s">
        <v>3586</v>
      </c>
      <c r="D713" s="3063" t="s">
        <v>3382</v>
      </c>
      <c r="E713" s="3279">
        <v>41.37</v>
      </c>
    </row>
    <row r="714" spans="1:5">
      <c r="A714" s="3063">
        <v>711</v>
      </c>
      <c r="B714" s="3063" t="s">
        <v>3791</v>
      </c>
      <c r="C714" s="3063" t="s">
        <v>3586</v>
      </c>
      <c r="D714" s="3063" t="s">
        <v>3382</v>
      </c>
      <c r="E714" s="3279">
        <v>41.37</v>
      </c>
    </row>
    <row r="715" spans="1:5">
      <c r="A715" s="3063">
        <v>712</v>
      </c>
      <c r="B715" s="3063" t="s">
        <v>3792</v>
      </c>
      <c r="C715" s="3063" t="s">
        <v>3586</v>
      </c>
      <c r="D715" s="3063" t="s">
        <v>3382</v>
      </c>
      <c r="E715" s="3279">
        <v>41.37</v>
      </c>
    </row>
    <row r="716" spans="1:5">
      <c r="A716" s="3063">
        <v>713</v>
      </c>
      <c r="B716" s="3063" t="s">
        <v>3793</v>
      </c>
      <c r="C716" s="3063" t="s">
        <v>3586</v>
      </c>
      <c r="D716" s="3063" t="s">
        <v>3382</v>
      </c>
      <c r="E716" s="3279">
        <v>41.37</v>
      </c>
    </row>
    <row r="717" spans="1:5">
      <c r="A717" s="3063">
        <v>714</v>
      </c>
      <c r="B717" s="3063" t="s">
        <v>3794</v>
      </c>
      <c r="C717" s="3063" t="s">
        <v>3586</v>
      </c>
      <c r="D717" s="3063" t="s">
        <v>3382</v>
      </c>
      <c r="E717" s="3279">
        <v>41.37</v>
      </c>
    </row>
    <row r="718" spans="1:5">
      <c r="A718" s="3063">
        <v>715</v>
      </c>
      <c r="B718" s="3063" t="s">
        <v>3795</v>
      </c>
      <c r="C718" s="3063" t="s">
        <v>3586</v>
      </c>
      <c r="D718" s="3063" t="s">
        <v>3382</v>
      </c>
      <c r="E718" s="3279">
        <v>41.37</v>
      </c>
    </row>
    <row r="719" spans="1:5">
      <c r="A719" s="3063">
        <v>716</v>
      </c>
      <c r="B719" s="3063" t="s">
        <v>3796</v>
      </c>
      <c r="C719" s="3063" t="s">
        <v>3586</v>
      </c>
      <c r="D719" s="3063" t="s">
        <v>3382</v>
      </c>
      <c r="E719" s="3279">
        <v>41.37</v>
      </c>
    </row>
    <row r="720" spans="1:5">
      <c r="A720" s="3063">
        <v>717</v>
      </c>
      <c r="B720" s="3063" t="s">
        <v>3797</v>
      </c>
      <c r="C720" s="3063" t="s">
        <v>3586</v>
      </c>
      <c r="D720" s="3063" t="s">
        <v>3382</v>
      </c>
      <c r="E720" s="3279">
        <v>41.37</v>
      </c>
    </row>
    <row r="721" spans="1:5">
      <c r="A721" s="3063">
        <v>718</v>
      </c>
      <c r="B721" s="3063" t="s">
        <v>3798</v>
      </c>
      <c r="C721" s="3063" t="s">
        <v>3586</v>
      </c>
      <c r="D721" s="3063" t="s">
        <v>3382</v>
      </c>
      <c r="E721" s="3279">
        <v>41.37</v>
      </c>
    </row>
    <row r="722" spans="1:5">
      <c r="A722" s="3063">
        <v>719</v>
      </c>
      <c r="B722" s="3063" t="s">
        <v>3799</v>
      </c>
      <c r="C722" s="3063" t="s">
        <v>3586</v>
      </c>
      <c r="D722" s="3063" t="s">
        <v>3382</v>
      </c>
      <c r="E722" s="3279">
        <v>41.37</v>
      </c>
    </row>
    <row r="723" spans="1:5">
      <c r="A723" s="3063">
        <v>720</v>
      </c>
      <c r="B723" s="3063" t="s">
        <v>3800</v>
      </c>
      <c r="C723" s="3063" t="s">
        <v>3586</v>
      </c>
      <c r="D723" s="3063" t="s">
        <v>3382</v>
      </c>
      <c r="E723" s="3279">
        <v>41.37</v>
      </c>
    </row>
    <row r="724" spans="1:5">
      <c r="A724" s="3063">
        <v>721</v>
      </c>
      <c r="B724" s="3063" t="s">
        <v>3801</v>
      </c>
      <c r="C724" s="3063" t="s">
        <v>3586</v>
      </c>
      <c r="D724" s="3063" t="s">
        <v>3382</v>
      </c>
      <c r="E724" s="3279">
        <v>41.37</v>
      </c>
    </row>
    <row r="725" spans="1:5">
      <c r="A725" s="3063">
        <v>722</v>
      </c>
      <c r="B725" s="3063" t="s">
        <v>3802</v>
      </c>
      <c r="C725" s="3063" t="s">
        <v>3586</v>
      </c>
      <c r="D725" s="3063" t="s">
        <v>3382</v>
      </c>
      <c r="E725" s="3279">
        <v>41.37</v>
      </c>
    </row>
    <row r="726" spans="1:5">
      <c r="A726" s="3063">
        <v>723</v>
      </c>
      <c r="B726" s="3063" t="s">
        <v>3803</v>
      </c>
      <c r="C726" s="3063" t="s">
        <v>3586</v>
      </c>
      <c r="D726" s="3063" t="s">
        <v>3382</v>
      </c>
      <c r="E726" s="3279">
        <v>41.37</v>
      </c>
    </row>
    <row r="727" spans="1:5">
      <c r="A727" s="3063">
        <v>724</v>
      </c>
      <c r="B727" s="3063" t="s">
        <v>3804</v>
      </c>
      <c r="C727" s="3063" t="s">
        <v>3586</v>
      </c>
      <c r="D727" s="3063" t="s">
        <v>3382</v>
      </c>
      <c r="E727" s="3279">
        <v>41.37</v>
      </c>
    </row>
    <row r="728" spans="1:5">
      <c r="A728" s="3063">
        <v>725</v>
      </c>
      <c r="B728" s="3063" t="s">
        <v>3805</v>
      </c>
      <c r="C728" s="3063" t="s">
        <v>3586</v>
      </c>
      <c r="D728" s="3063" t="s">
        <v>3382</v>
      </c>
      <c r="E728" s="3279">
        <v>41.37</v>
      </c>
    </row>
    <row r="729" spans="1:5">
      <c r="A729" s="3063">
        <v>726</v>
      </c>
      <c r="B729" s="3063" t="s">
        <v>3806</v>
      </c>
      <c r="C729" s="3063" t="s">
        <v>3586</v>
      </c>
      <c r="D729" s="3063" t="s">
        <v>3382</v>
      </c>
      <c r="E729" s="3279">
        <v>41.37</v>
      </c>
    </row>
    <row r="730" spans="1:5">
      <c r="A730" s="3063">
        <v>727</v>
      </c>
      <c r="B730" s="3063" t="s">
        <v>3807</v>
      </c>
      <c r="C730" s="3063" t="s">
        <v>3586</v>
      </c>
      <c r="D730" s="3063" t="s">
        <v>3382</v>
      </c>
      <c r="E730" s="3279">
        <v>41.37</v>
      </c>
    </row>
    <row r="731" spans="1:5">
      <c r="A731" s="3063">
        <v>728</v>
      </c>
      <c r="B731" s="3063" t="s">
        <v>3808</v>
      </c>
      <c r="C731" s="3063" t="s">
        <v>3586</v>
      </c>
      <c r="D731" s="3063" t="s">
        <v>3382</v>
      </c>
      <c r="E731" s="3279">
        <v>41.37</v>
      </c>
    </row>
    <row r="732" spans="1:5">
      <c r="A732" s="3063">
        <v>729</v>
      </c>
      <c r="B732" s="3063" t="s">
        <v>3809</v>
      </c>
      <c r="C732" s="3063" t="s">
        <v>3586</v>
      </c>
      <c r="D732" s="3063" t="s">
        <v>3382</v>
      </c>
      <c r="E732" s="3279">
        <v>41.37</v>
      </c>
    </row>
    <row r="733" spans="1:5">
      <c r="A733" s="3063">
        <v>730</v>
      </c>
      <c r="B733" s="3063" t="s">
        <v>3810</v>
      </c>
      <c r="C733" s="3063" t="s">
        <v>3586</v>
      </c>
      <c r="D733" s="3063" t="s">
        <v>3382</v>
      </c>
      <c r="E733" s="3279">
        <v>41.37</v>
      </c>
    </row>
    <row r="734" spans="1:5">
      <c r="A734" s="3063">
        <v>731</v>
      </c>
      <c r="B734" s="3063" t="s">
        <v>3811</v>
      </c>
      <c r="C734" s="3063" t="s">
        <v>3586</v>
      </c>
      <c r="D734" s="3063" t="s">
        <v>3382</v>
      </c>
      <c r="E734" s="3279">
        <v>41.37</v>
      </c>
    </row>
    <row r="735" spans="1:5">
      <c r="A735" s="3063">
        <v>732</v>
      </c>
      <c r="B735" s="3063" t="s">
        <v>3812</v>
      </c>
      <c r="C735" s="3063" t="s">
        <v>3586</v>
      </c>
      <c r="D735" s="3063" t="s">
        <v>3382</v>
      </c>
      <c r="E735" s="3279">
        <v>41.37</v>
      </c>
    </row>
    <row r="736" spans="1:5">
      <c r="A736" s="3063">
        <v>733</v>
      </c>
      <c r="B736" s="3063" t="s">
        <v>3813</v>
      </c>
      <c r="C736" s="3063" t="s">
        <v>3586</v>
      </c>
      <c r="D736" s="3063" t="s">
        <v>3382</v>
      </c>
      <c r="E736" s="3279">
        <v>41.37</v>
      </c>
    </row>
    <row r="737" spans="1:5">
      <c r="A737" s="3063">
        <v>734</v>
      </c>
      <c r="B737" s="3063" t="s">
        <v>3814</v>
      </c>
      <c r="C737" s="3063" t="s">
        <v>3586</v>
      </c>
      <c r="D737" s="3063" t="s">
        <v>3382</v>
      </c>
      <c r="E737" s="3279">
        <v>41.37</v>
      </c>
    </row>
    <row r="738" spans="1:5">
      <c r="A738" s="3063">
        <v>735</v>
      </c>
      <c r="B738" s="3063" t="s">
        <v>3815</v>
      </c>
      <c r="C738" s="3063" t="s">
        <v>3586</v>
      </c>
      <c r="D738" s="3063" t="s">
        <v>3382</v>
      </c>
      <c r="E738" s="3279">
        <v>41.37</v>
      </c>
    </row>
    <row r="739" spans="1:5">
      <c r="A739" s="3063">
        <v>736</v>
      </c>
      <c r="B739" s="3063" t="s">
        <v>3816</v>
      </c>
      <c r="C739" s="3063" t="s">
        <v>3586</v>
      </c>
      <c r="D739" s="3063" t="s">
        <v>3382</v>
      </c>
      <c r="E739" s="3279">
        <v>41.37</v>
      </c>
    </row>
    <row r="740" spans="1:5">
      <c r="A740" s="3063">
        <v>737</v>
      </c>
      <c r="B740" s="3063" t="s">
        <v>3817</v>
      </c>
      <c r="C740" s="3063" t="s">
        <v>3586</v>
      </c>
      <c r="D740" s="3063" t="s">
        <v>3382</v>
      </c>
      <c r="E740" s="3279">
        <v>41.37</v>
      </c>
    </row>
    <row r="741" spans="1:5">
      <c r="A741" s="3063">
        <v>738</v>
      </c>
      <c r="B741" s="3063" t="s">
        <v>3818</v>
      </c>
      <c r="C741" s="3063" t="s">
        <v>3586</v>
      </c>
      <c r="D741" s="3063" t="s">
        <v>3382</v>
      </c>
      <c r="E741" s="3279">
        <v>41.37</v>
      </c>
    </row>
    <row r="742" spans="1:5">
      <c r="A742" s="3063">
        <v>739</v>
      </c>
      <c r="B742" s="3063" t="s">
        <v>3819</v>
      </c>
      <c r="C742" s="3063" t="s">
        <v>3586</v>
      </c>
      <c r="D742" s="3063" t="s">
        <v>3382</v>
      </c>
      <c r="E742" s="3279">
        <v>41.37</v>
      </c>
    </row>
    <row r="743" spans="1:5">
      <c r="A743" s="3063">
        <v>740</v>
      </c>
      <c r="B743" s="3063" t="s">
        <v>3820</v>
      </c>
      <c r="C743" s="3063" t="s">
        <v>3586</v>
      </c>
      <c r="D743" s="3063" t="s">
        <v>3382</v>
      </c>
      <c r="E743" s="3279">
        <v>41.37</v>
      </c>
    </row>
    <row r="744" spans="1:5">
      <c r="A744" s="3063">
        <v>741</v>
      </c>
      <c r="B744" s="3063" t="s">
        <v>3821</v>
      </c>
      <c r="C744" s="3063" t="s">
        <v>3586</v>
      </c>
      <c r="D744" s="3063" t="s">
        <v>3382</v>
      </c>
      <c r="E744" s="3279">
        <v>41.37</v>
      </c>
    </row>
    <row r="745" spans="1:5">
      <c r="A745" s="3063">
        <v>742</v>
      </c>
      <c r="B745" s="3063" t="s">
        <v>3822</v>
      </c>
      <c r="C745" s="3063" t="s">
        <v>3586</v>
      </c>
      <c r="D745" s="3063" t="s">
        <v>3382</v>
      </c>
      <c r="E745" s="3279">
        <v>41.37</v>
      </c>
    </row>
    <row r="746" spans="1:5">
      <c r="A746" s="3063">
        <v>743</v>
      </c>
      <c r="B746" s="3063" t="s">
        <v>3823</v>
      </c>
      <c r="C746" s="3063" t="s">
        <v>3586</v>
      </c>
      <c r="D746" s="3063" t="s">
        <v>3382</v>
      </c>
      <c r="E746" s="3279">
        <v>41.37</v>
      </c>
    </row>
    <row r="747" spans="1:5">
      <c r="A747" s="3063">
        <v>744</v>
      </c>
      <c r="B747" s="3063" t="s">
        <v>3824</v>
      </c>
      <c r="C747" s="3063" t="s">
        <v>3586</v>
      </c>
      <c r="D747" s="3063" t="s">
        <v>3382</v>
      </c>
      <c r="E747" s="3279">
        <v>41.37</v>
      </c>
    </row>
    <row r="748" spans="1:5">
      <c r="A748" s="3063">
        <v>745</v>
      </c>
      <c r="B748" s="3063" t="s">
        <v>3825</v>
      </c>
      <c r="C748" s="3063" t="s">
        <v>3586</v>
      </c>
      <c r="D748" s="3063" t="s">
        <v>3382</v>
      </c>
      <c r="E748" s="3279">
        <v>41.37</v>
      </c>
    </row>
    <row r="749" spans="1:5">
      <c r="A749" s="3063">
        <v>746</v>
      </c>
      <c r="B749" s="3063" t="s">
        <v>3826</v>
      </c>
      <c r="C749" s="3063" t="s">
        <v>3586</v>
      </c>
      <c r="D749" s="3063" t="s">
        <v>3382</v>
      </c>
      <c r="E749" s="3279">
        <v>41.37</v>
      </c>
    </row>
    <row r="750" spans="1:5">
      <c r="A750" s="3063">
        <v>747</v>
      </c>
      <c r="B750" s="3063" t="s">
        <v>3827</v>
      </c>
      <c r="C750" s="3063" t="s">
        <v>3586</v>
      </c>
      <c r="D750" s="3063" t="s">
        <v>3382</v>
      </c>
      <c r="E750" s="3279">
        <v>41.37</v>
      </c>
    </row>
    <row r="751" spans="1:5">
      <c r="A751" s="3063">
        <v>748</v>
      </c>
      <c r="B751" s="3063" t="s">
        <v>3828</v>
      </c>
      <c r="C751" s="3063" t="s">
        <v>3586</v>
      </c>
      <c r="D751" s="3063" t="s">
        <v>3382</v>
      </c>
      <c r="E751" s="3279">
        <v>41.37</v>
      </c>
    </row>
    <row r="752" spans="1:5">
      <c r="A752" s="3063">
        <v>749</v>
      </c>
      <c r="B752" s="3063" t="s">
        <v>3829</v>
      </c>
      <c r="C752" s="3063" t="s">
        <v>3586</v>
      </c>
      <c r="D752" s="3063" t="s">
        <v>3382</v>
      </c>
      <c r="E752" s="3279">
        <v>41.37</v>
      </c>
    </row>
    <row r="753" spans="1:5">
      <c r="A753" s="3063">
        <v>750</v>
      </c>
      <c r="B753" s="3063" t="s">
        <v>3830</v>
      </c>
      <c r="C753" s="3063" t="s">
        <v>3586</v>
      </c>
      <c r="D753" s="3063" t="s">
        <v>3382</v>
      </c>
      <c r="E753" s="3279">
        <v>41.37</v>
      </c>
    </row>
    <row r="754" spans="1:5">
      <c r="A754" s="3063">
        <v>751</v>
      </c>
      <c r="B754" s="3063" t="s">
        <v>3831</v>
      </c>
      <c r="C754" s="3063" t="s">
        <v>3586</v>
      </c>
      <c r="D754" s="3063" t="s">
        <v>3382</v>
      </c>
      <c r="E754" s="3279">
        <v>41.37</v>
      </c>
    </row>
    <row r="755" spans="1:5">
      <c r="A755" s="3063">
        <v>752</v>
      </c>
      <c r="B755" s="3063" t="s">
        <v>3832</v>
      </c>
      <c r="C755" s="3063" t="s">
        <v>3586</v>
      </c>
      <c r="D755" s="3063" t="s">
        <v>3382</v>
      </c>
      <c r="E755" s="3279">
        <v>41.37</v>
      </c>
    </row>
    <row r="756" spans="1:5">
      <c r="A756" s="3063">
        <v>753</v>
      </c>
      <c r="B756" s="3063" t="s">
        <v>3833</v>
      </c>
      <c r="C756" s="3063" t="s">
        <v>3586</v>
      </c>
      <c r="D756" s="3063" t="s">
        <v>3382</v>
      </c>
      <c r="E756" s="3279">
        <v>41.37</v>
      </c>
    </row>
    <row r="757" spans="1:5">
      <c r="A757" s="3063">
        <v>754</v>
      </c>
      <c r="B757" s="3063" t="s">
        <v>3834</v>
      </c>
      <c r="C757" s="3063" t="s">
        <v>3586</v>
      </c>
      <c r="D757" s="3063" t="s">
        <v>3382</v>
      </c>
      <c r="E757" s="3279">
        <v>41.37</v>
      </c>
    </row>
    <row r="758" spans="1:5">
      <c r="A758" s="3063">
        <v>755</v>
      </c>
      <c r="B758" s="3063" t="s">
        <v>3835</v>
      </c>
      <c r="C758" s="3063" t="s">
        <v>3586</v>
      </c>
      <c r="D758" s="3063" t="s">
        <v>3382</v>
      </c>
      <c r="E758" s="3279">
        <v>41.37</v>
      </c>
    </row>
    <row r="759" spans="1:5">
      <c r="A759" s="3063">
        <v>756</v>
      </c>
      <c r="B759" s="3063" t="s">
        <v>3836</v>
      </c>
      <c r="C759" s="3063" t="s">
        <v>3586</v>
      </c>
      <c r="D759" s="3063" t="s">
        <v>3382</v>
      </c>
      <c r="E759" s="3279">
        <v>41.37</v>
      </c>
    </row>
    <row r="760" spans="1:5">
      <c r="A760" s="3063">
        <v>757</v>
      </c>
      <c r="B760" s="3063" t="s">
        <v>3837</v>
      </c>
      <c r="C760" s="3063" t="s">
        <v>3586</v>
      </c>
      <c r="D760" s="3063" t="s">
        <v>3382</v>
      </c>
      <c r="E760" s="3279">
        <v>41.37</v>
      </c>
    </row>
    <row r="761" spans="1:5">
      <c r="A761" s="3063">
        <v>758</v>
      </c>
      <c r="B761" s="3063" t="s">
        <v>3838</v>
      </c>
      <c r="C761" s="3063" t="s">
        <v>3586</v>
      </c>
      <c r="D761" s="3063" t="s">
        <v>3382</v>
      </c>
      <c r="E761" s="3279">
        <v>41.37</v>
      </c>
    </row>
    <row r="762" spans="1:5">
      <c r="A762" s="3063">
        <v>759</v>
      </c>
      <c r="B762" s="3063" t="s">
        <v>3839</v>
      </c>
      <c r="C762" s="3063" t="s">
        <v>3586</v>
      </c>
      <c r="D762" s="3063" t="s">
        <v>3382</v>
      </c>
      <c r="E762" s="3279">
        <v>41.37</v>
      </c>
    </row>
    <row r="763" spans="1:5">
      <c r="A763" s="3063">
        <v>760</v>
      </c>
      <c r="B763" s="3063" t="s">
        <v>3840</v>
      </c>
      <c r="C763" s="3063" t="s">
        <v>3586</v>
      </c>
      <c r="D763" s="3063" t="s">
        <v>3382</v>
      </c>
      <c r="E763" s="3279">
        <v>41.37</v>
      </c>
    </row>
    <row r="764" spans="1:5">
      <c r="A764" s="3063">
        <v>761</v>
      </c>
      <c r="B764" s="3063" t="s">
        <v>3841</v>
      </c>
      <c r="C764" s="3063" t="s">
        <v>3586</v>
      </c>
      <c r="D764" s="3063" t="s">
        <v>3382</v>
      </c>
      <c r="E764" s="3279">
        <v>41.37</v>
      </c>
    </row>
    <row r="765" spans="1:5">
      <c r="A765" s="3063">
        <v>762</v>
      </c>
      <c r="B765" s="3063" t="s">
        <v>3842</v>
      </c>
      <c r="C765" s="3063" t="s">
        <v>3586</v>
      </c>
      <c r="D765" s="3063" t="s">
        <v>3382</v>
      </c>
      <c r="E765" s="3279">
        <v>41.37</v>
      </c>
    </row>
    <row r="766" spans="1:5">
      <c r="A766" s="3063">
        <v>763</v>
      </c>
      <c r="B766" s="3063" t="s">
        <v>3843</v>
      </c>
      <c r="C766" s="3063" t="s">
        <v>3586</v>
      </c>
      <c r="D766" s="3063" t="s">
        <v>3382</v>
      </c>
      <c r="E766" s="3279">
        <v>41.37</v>
      </c>
    </row>
    <row r="767" spans="1:5">
      <c r="A767" s="3063">
        <v>764</v>
      </c>
      <c r="B767" s="3063" t="s">
        <v>3844</v>
      </c>
      <c r="C767" s="3063" t="s">
        <v>3586</v>
      </c>
      <c r="D767" s="3063" t="s">
        <v>3382</v>
      </c>
      <c r="E767" s="3279">
        <v>41.37</v>
      </c>
    </row>
    <row r="768" spans="1:5">
      <c r="A768" s="3063">
        <v>765</v>
      </c>
      <c r="B768" s="3063" t="s">
        <v>3845</v>
      </c>
      <c r="C768" s="3063" t="s">
        <v>3586</v>
      </c>
      <c r="D768" s="3063" t="s">
        <v>3382</v>
      </c>
      <c r="E768" s="3279">
        <v>41.37</v>
      </c>
    </row>
    <row r="769" spans="1:5">
      <c r="A769" s="3063">
        <v>766</v>
      </c>
      <c r="B769" s="3063" t="s">
        <v>3846</v>
      </c>
      <c r="C769" s="3063" t="s">
        <v>3586</v>
      </c>
      <c r="D769" s="3063" t="s">
        <v>3382</v>
      </c>
      <c r="E769" s="3279">
        <v>41.37</v>
      </c>
    </row>
    <row r="770" spans="1:5">
      <c r="A770" s="3063">
        <v>767</v>
      </c>
      <c r="B770" s="3063" t="s">
        <v>3847</v>
      </c>
      <c r="C770" s="3063" t="s">
        <v>3586</v>
      </c>
      <c r="D770" s="3063" t="s">
        <v>3382</v>
      </c>
      <c r="E770" s="3279">
        <v>41.37</v>
      </c>
    </row>
    <row r="771" spans="1:5">
      <c r="A771" s="3063">
        <v>768</v>
      </c>
      <c r="B771" s="3063" t="s">
        <v>3848</v>
      </c>
      <c r="C771" s="3063" t="s">
        <v>3586</v>
      </c>
      <c r="D771" s="3063" t="s">
        <v>3382</v>
      </c>
      <c r="E771" s="3279">
        <v>41.37</v>
      </c>
    </row>
    <row r="772" spans="1:5">
      <c r="A772" s="3063">
        <v>769</v>
      </c>
      <c r="B772" s="3063" t="s">
        <v>3849</v>
      </c>
      <c r="C772" s="3063" t="s">
        <v>3586</v>
      </c>
      <c r="D772" s="3063" t="s">
        <v>3382</v>
      </c>
      <c r="E772" s="3279">
        <v>41.37</v>
      </c>
    </row>
    <row r="773" spans="1:5">
      <c r="A773" s="3063">
        <v>770</v>
      </c>
      <c r="B773" s="3063" t="s">
        <v>3850</v>
      </c>
      <c r="C773" s="3063" t="s">
        <v>3586</v>
      </c>
      <c r="D773" s="3063" t="s">
        <v>3382</v>
      </c>
      <c r="E773" s="3279">
        <v>41.37</v>
      </c>
    </row>
    <row r="774" spans="1:5">
      <c r="A774" s="3063">
        <v>771</v>
      </c>
      <c r="B774" s="3063" t="s">
        <v>3851</v>
      </c>
      <c r="C774" s="3063" t="s">
        <v>3586</v>
      </c>
      <c r="D774" s="3063" t="s">
        <v>3382</v>
      </c>
      <c r="E774" s="3279">
        <v>41.37</v>
      </c>
    </row>
    <row r="775" spans="1:5">
      <c r="A775" s="3063">
        <v>772</v>
      </c>
      <c r="B775" s="3063" t="s">
        <v>3852</v>
      </c>
      <c r="C775" s="3063" t="s">
        <v>3586</v>
      </c>
      <c r="D775" s="3063" t="s">
        <v>3382</v>
      </c>
      <c r="E775" s="3279">
        <v>41.37</v>
      </c>
    </row>
    <row r="776" spans="1:5">
      <c r="A776" s="3063">
        <v>773</v>
      </c>
      <c r="B776" s="3063" t="s">
        <v>3853</v>
      </c>
      <c r="C776" s="3063" t="s">
        <v>3586</v>
      </c>
      <c r="D776" s="3063" t="s">
        <v>3382</v>
      </c>
      <c r="E776" s="3279">
        <v>41.37</v>
      </c>
    </row>
    <row r="777" spans="1:5">
      <c r="A777" s="3063">
        <v>774</v>
      </c>
      <c r="B777" s="3063" t="s">
        <v>3854</v>
      </c>
      <c r="C777" s="3063" t="s">
        <v>3586</v>
      </c>
      <c r="D777" s="3063" t="s">
        <v>3382</v>
      </c>
      <c r="E777" s="3279">
        <v>41.37</v>
      </c>
    </row>
    <row r="778" spans="1:5">
      <c r="A778" s="3063">
        <v>775</v>
      </c>
      <c r="B778" s="3063" t="s">
        <v>3855</v>
      </c>
      <c r="C778" s="3063" t="s">
        <v>3586</v>
      </c>
      <c r="D778" s="3063" t="s">
        <v>3382</v>
      </c>
      <c r="E778" s="3279">
        <v>41.37</v>
      </c>
    </row>
    <row r="779" spans="1:5">
      <c r="A779" s="3063">
        <v>776</v>
      </c>
      <c r="B779" s="3063" t="s">
        <v>3856</v>
      </c>
      <c r="C779" s="3063" t="s">
        <v>3586</v>
      </c>
      <c r="D779" s="3063" t="s">
        <v>3382</v>
      </c>
      <c r="E779" s="3279">
        <v>41.37</v>
      </c>
    </row>
    <row r="780" spans="1:5">
      <c r="A780" s="3063">
        <v>777</v>
      </c>
      <c r="B780" s="3063" t="s">
        <v>3857</v>
      </c>
      <c r="C780" s="3063" t="s">
        <v>3586</v>
      </c>
      <c r="D780" s="3063" t="s">
        <v>3382</v>
      </c>
      <c r="E780" s="3279">
        <v>41.37</v>
      </c>
    </row>
    <row r="781" spans="1:5">
      <c r="A781" s="3063">
        <v>778</v>
      </c>
      <c r="B781" s="3063" t="s">
        <v>3858</v>
      </c>
      <c r="C781" s="3063" t="s">
        <v>3586</v>
      </c>
      <c r="D781" s="3063" t="s">
        <v>3382</v>
      </c>
      <c r="E781" s="3279">
        <v>41.37</v>
      </c>
    </row>
    <row r="782" spans="1:5">
      <c r="A782" s="3063">
        <v>779</v>
      </c>
      <c r="B782" s="3063" t="s">
        <v>3859</v>
      </c>
      <c r="C782" s="3063" t="s">
        <v>3586</v>
      </c>
      <c r="D782" s="3063" t="s">
        <v>3382</v>
      </c>
      <c r="E782" s="3279">
        <v>41.37</v>
      </c>
    </row>
    <row r="783" spans="1:5">
      <c r="A783" s="3063">
        <v>780</v>
      </c>
      <c r="B783" s="3063" t="s">
        <v>3860</v>
      </c>
      <c r="C783" s="3063" t="s">
        <v>3586</v>
      </c>
      <c r="D783" s="3063" t="s">
        <v>3382</v>
      </c>
      <c r="E783" s="3279">
        <v>41.37</v>
      </c>
    </row>
    <row r="784" spans="1:5">
      <c r="A784" s="3063">
        <v>781</v>
      </c>
      <c r="B784" s="3063" t="s">
        <v>3861</v>
      </c>
      <c r="C784" s="3063" t="s">
        <v>3586</v>
      </c>
      <c r="D784" s="3063" t="s">
        <v>3382</v>
      </c>
      <c r="E784" s="3279">
        <v>41.37</v>
      </c>
    </row>
    <row r="785" spans="1:5">
      <c r="A785" s="3063">
        <v>782</v>
      </c>
      <c r="B785" s="3063" t="s">
        <v>3862</v>
      </c>
      <c r="C785" s="3063" t="s">
        <v>3586</v>
      </c>
      <c r="D785" s="3063" t="s">
        <v>3382</v>
      </c>
      <c r="E785" s="3279">
        <v>41.37</v>
      </c>
    </row>
    <row r="786" spans="1:5">
      <c r="A786" s="3063">
        <v>783</v>
      </c>
      <c r="B786" s="3063" t="s">
        <v>3863</v>
      </c>
      <c r="C786" s="3063" t="s">
        <v>3586</v>
      </c>
      <c r="D786" s="3063" t="s">
        <v>3382</v>
      </c>
      <c r="E786" s="3279">
        <v>41.37</v>
      </c>
    </row>
    <row r="787" spans="1:5">
      <c r="A787" s="3063">
        <v>784</v>
      </c>
      <c r="B787" s="3063" t="s">
        <v>3864</v>
      </c>
      <c r="C787" s="3063" t="s">
        <v>3586</v>
      </c>
      <c r="D787" s="3063" t="s">
        <v>3382</v>
      </c>
      <c r="E787" s="3279">
        <v>41.37</v>
      </c>
    </row>
    <row r="788" spans="1:5">
      <c r="A788" s="3063">
        <v>785</v>
      </c>
      <c r="B788" s="3063" t="s">
        <v>3865</v>
      </c>
      <c r="C788" s="3063" t="s">
        <v>3586</v>
      </c>
      <c r="D788" s="3063" t="s">
        <v>3382</v>
      </c>
      <c r="E788" s="3279">
        <v>41.37</v>
      </c>
    </row>
    <row r="789" spans="1:5">
      <c r="A789" s="3063">
        <v>786</v>
      </c>
      <c r="B789" s="3063" t="s">
        <v>3866</v>
      </c>
      <c r="C789" s="3063" t="s">
        <v>3586</v>
      </c>
      <c r="D789" s="3063" t="s">
        <v>3382</v>
      </c>
      <c r="E789" s="3279">
        <v>41.37</v>
      </c>
    </row>
    <row r="790" spans="1:5">
      <c r="A790" s="3063">
        <v>787</v>
      </c>
      <c r="B790" s="3063" t="s">
        <v>3867</v>
      </c>
      <c r="C790" s="3063" t="s">
        <v>3586</v>
      </c>
      <c r="D790" s="3063" t="s">
        <v>3382</v>
      </c>
      <c r="E790" s="3279">
        <v>41.37</v>
      </c>
    </row>
    <row r="791" spans="1:5">
      <c r="A791" s="3063">
        <v>788</v>
      </c>
      <c r="B791" s="3063" t="s">
        <v>3868</v>
      </c>
      <c r="C791" s="3063" t="s">
        <v>3586</v>
      </c>
      <c r="D791" s="3063" t="s">
        <v>3382</v>
      </c>
      <c r="E791" s="3279">
        <v>41.37</v>
      </c>
    </row>
    <row r="792" spans="1:5">
      <c r="A792" s="3063">
        <v>789</v>
      </c>
      <c r="B792" s="3063" t="s">
        <v>3869</v>
      </c>
      <c r="C792" s="3063" t="s">
        <v>3586</v>
      </c>
      <c r="D792" s="3063" t="s">
        <v>3382</v>
      </c>
      <c r="E792" s="3279">
        <v>41.37</v>
      </c>
    </row>
    <row r="793" spans="1:5">
      <c r="A793" s="3063">
        <v>790</v>
      </c>
      <c r="B793" s="3063" t="s">
        <v>3870</v>
      </c>
      <c r="C793" s="3063" t="s">
        <v>3586</v>
      </c>
      <c r="D793" s="3063" t="s">
        <v>3382</v>
      </c>
      <c r="E793" s="3279">
        <v>41.37</v>
      </c>
    </row>
    <row r="794" spans="1:5">
      <c r="A794" s="3063">
        <v>791</v>
      </c>
      <c r="B794" s="3063" t="s">
        <v>3871</v>
      </c>
      <c r="C794" s="3063" t="s">
        <v>3586</v>
      </c>
      <c r="D794" s="3063" t="s">
        <v>3382</v>
      </c>
      <c r="E794" s="3279">
        <v>41.37</v>
      </c>
    </row>
    <row r="795" spans="1:5">
      <c r="A795" s="3063">
        <v>792</v>
      </c>
      <c r="B795" s="3063" t="s">
        <v>3872</v>
      </c>
      <c r="C795" s="3063" t="s">
        <v>3586</v>
      </c>
      <c r="D795" s="3063" t="s">
        <v>3382</v>
      </c>
      <c r="E795" s="3279">
        <v>41.37</v>
      </c>
    </row>
    <row r="796" spans="1:5">
      <c r="A796" s="3063">
        <v>793</v>
      </c>
      <c r="B796" s="3063" t="s">
        <v>3873</v>
      </c>
      <c r="C796" s="3063" t="s">
        <v>3586</v>
      </c>
      <c r="D796" s="3063" t="s">
        <v>3382</v>
      </c>
      <c r="E796" s="3279">
        <v>41.37</v>
      </c>
    </row>
    <row r="797" spans="1:5">
      <c r="A797" s="3063">
        <v>794</v>
      </c>
      <c r="B797" s="3063" t="s">
        <v>3874</v>
      </c>
      <c r="C797" s="3063" t="s">
        <v>3586</v>
      </c>
      <c r="D797" s="3063" t="s">
        <v>3382</v>
      </c>
      <c r="E797" s="3279">
        <v>41.37</v>
      </c>
    </row>
    <row r="798" spans="1:5">
      <c r="A798" s="3063">
        <v>795</v>
      </c>
      <c r="B798" s="3063" t="s">
        <v>3875</v>
      </c>
      <c r="C798" s="3063" t="s">
        <v>3586</v>
      </c>
      <c r="D798" s="3063" t="s">
        <v>3382</v>
      </c>
      <c r="E798" s="3279">
        <v>41.37</v>
      </c>
    </row>
    <row r="799" spans="1:5">
      <c r="A799" s="3063">
        <v>796</v>
      </c>
      <c r="B799" s="3063" t="s">
        <v>3876</v>
      </c>
      <c r="C799" s="3063" t="s">
        <v>3586</v>
      </c>
      <c r="D799" s="3063" t="s">
        <v>3382</v>
      </c>
      <c r="E799" s="3279">
        <v>41.37</v>
      </c>
    </row>
    <row r="800" spans="1:5">
      <c r="A800" s="3063">
        <v>797</v>
      </c>
      <c r="B800" s="3063" t="s">
        <v>3877</v>
      </c>
      <c r="C800" s="3063" t="s">
        <v>3586</v>
      </c>
      <c r="D800" s="3063" t="s">
        <v>3382</v>
      </c>
      <c r="E800" s="3279">
        <v>41.37</v>
      </c>
    </row>
    <row r="801" spans="1:5">
      <c r="A801" s="3063">
        <v>798</v>
      </c>
      <c r="B801" s="3063" t="s">
        <v>3878</v>
      </c>
      <c r="C801" s="3063" t="s">
        <v>3586</v>
      </c>
      <c r="D801" s="3063" t="s">
        <v>3382</v>
      </c>
      <c r="E801" s="3279">
        <v>41.37</v>
      </c>
    </row>
    <row r="802" spans="1:5">
      <c r="A802" s="3063">
        <v>799</v>
      </c>
      <c r="B802" s="3063" t="s">
        <v>3879</v>
      </c>
      <c r="C802" s="3063" t="s">
        <v>3586</v>
      </c>
      <c r="D802" s="3063" t="s">
        <v>3382</v>
      </c>
      <c r="E802" s="3279">
        <v>41.37</v>
      </c>
    </row>
    <row r="803" spans="1:5">
      <c r="A803" s="3063">
        <v>800</v>
      </c>
      <c r="B803" s="3063" t="s">
        <v>3880</v>
      </c>
      <c r="C803" s="3063" t="s">
        <v>3586</v>
      </c>
      <c r="D803" s="3063" t="s">
        <v>3382</v>
      </c>
      <c r="E803" s="3279">
        <v>41.37</v>
      </c>
    </row>
    <row r="804" spans="1:5">
      <c r="A804" s="3063">
        <v>801</v>
      </c>
      <c r="B804" s="3063" t="s">
        <v>3881</v>
      </c>
      <c r="C804" s="3063" t="s">
        <v>3586</v>
      </c>
      <c r="D804" s="3063" t="s">
        <v>3382</v>
      </c>
      <c r="E804" s="3279">
        <v>41.37</v>
      </c>
    </row>
    <row r="805" spans="1:5">
      <c r="A805" s="3063">
        <v>802</v>
      </c>
      <c r="B805" s="3063" t="s">
        <v>3882</v>
      </c>
      <c r="C805" s="3063" t="s">
        <v>3586</v>
      </c>
      <c r="D805" s="3063" t="s">
        <v>3382</v>
      </c>
      <c r="E805" s="3279">
        <v>41.37</v>
      </c>
    </row>
    <row r="806" spans="1:5">
      <c r="A806" s="3063">
        <v>803</v>
      </c>
      <c r="B806" s="3063" t="s">
        <v>3883</v>
      </c>
      <c r="C806" s="3063" t="s">
        <v>3586</v>
      </c>
      <c r="D806" s="3063" t="s">
        <v>3382</v>
      </c>
      <c r="E806" s="3279">
        <v>41.37</v>
      </c>
    </row>
    <row r="807" spans="1:5">
      <c r="A807" s="3063">
        <v>804</v>
      </c>
      <c r="B807" s="3063" t="s">
        <v>3884</v>
      </c>
      <c r="C807" s="3063" t="s">
        <v>3586</v>
      </c>
      <c r="D807" s="3063" t="s">
        <v>3382</v>
      </c>
      <c r="E807" s="3279">
        <v>41.37</v>
      </c>
    </row>
    <row r="808" spans="1:5">
      <c r="A808" s="3063">
        <v>805</v>
      </c>
      <c r="B808" s="3063" t="s">
        <v>3885</v>
      </c>
      <c r="C808" s="3063" t="s">
        <v>3586</v>
      </c>
      <c r="D808" s="3063" t="s">
        <v>3382</v>
      </c>
      <c r="E808" s="3279">
        <v>41.37</v>
      </c>
    </row>
    <row r="809" spans="1:5">
      <c r="A809" s="3063">
        <v>806</v>
      </c>
      <c r="B809" s="3063" t="s">
        <v>3886</v>
      </c>
      <c r="C809" s="3063" t="s">
        <v>3586</v>
      </c>
      <c r="D809" s="3063" t="s">
        <v>3382</v>
      </c>
      <c r="E809" s="3279">
        <v>41.37</v>
      </c>
    </row>
    <row r="810" spans="1:5">
      <c r="A810" s="3063">
        <v>807</v>
      </c>
      <c r="B810" s="3063" t="s">
        <v>3887</v>
      </c>
      <c r="C810" s="3063" t="s">
        <v>3586</v>
      </c>
      <c r="D810" s="3063" t="s">
        <v>3382</v>
      </c>
      <c r="E810" s="3279">
        <v>41.37</v>
      </c>
    </row>
    <row r="811" spans="1:5">
      <c r="A811" s="3063">
        <v>808</v>
      </c>
      <c r="B811" s="3063" t="s">
        <v>3888</v>
      </c>
      <c r="C811" s="3063" t="s">
        <v>3586</v>
      </c>
      <c r="D811" s="3063" t="s">
        <v>3382</v>
      </c>
      <c r="E811" s="3279">
        <v>41.37</v>
      </c>
    </row>
    <row r="812" spans="1:5">
      <c r="A812" s="3063">
        <v>809</v>
      </c>
      <c r="B812" s="3063" t="s">
        <v>3889</v>
      </c>
      <c r="C812" s="3063" t="s">
        <v>3586</v>
      </c>
      <c r="D812" s="3063" t="s">
        <v>3382</v>
      </c>
      <c r="E812" s="3279">
        <v>41.37</v>
      </c>
    </row>
    <row r="813" spans="1:5">
      <c r="A813" s="3063">
        <v>810</v>
      </c>
      <c r="B813" s="3063" t="s">
        <v>3890</v>
      </c>
      <c r="C813" s="3063" t="s">
        <v>3586</v>
      </c>
      <c r="D813" s="3063" t="s">
        <v>3382</v>
      </c>
      <c r="E813" s="3279">
        <v>41.37</v>
      </c>
    </row>
    <row r="814" spans="1:5">
      <c r="A814" s="3063">
        <v>811</v>
      </c>
      <c r="B814" s="3063" t="s">
        <v>3891</v>
      </c>
      <c r="C814" s="3063" t="s">
        <v>3586</v>
      </c>
      <c r="D814" s="3063" t="s">
        <v>3382</v>
      </c>
      <c r="E814" s="3279">
        <v>41.37</v>
      </c>
    </row>
    <row r="815" spans="1:5">
      <c r="A815" s="3063">
        <v>812</v>
      </c>
      <c r="B815" s="3063" t="s">
        <v>3892</v>
      </c>
      <c r="C815" s="3063" t="s">
        <v>3586</v>
      </c>
      <c r="D815" s="3063" t="s">
        <v>3382</v>
      </c>
      <c r="E815" s="3279">
        <v>41.37</v>
      </c>
    </row>
    <row r="816" spans="1:5">
      <c r="A816" s="3063">
        <v>813</v>
      </c>
      <c r="B816" s="3063" t="s">
        <v>3893</v>
      </c>
      <c r="C816" s="3063" t="s">
        <v>3586</v>
      </c>
      <c r="D816" s="3063" t="s">
        <v>3382</v>
      </c>
      <c r="E816" s="3279">
        <v>41.37</v>
      </c>
    </row>
    <row r="817" spans="1:5">
      <c r="A817" s="3063">
        <v>814</v>
      </c>
      <c r="B817" s="3063" t="s">
        <v>3894</v>
      </c>
      <c r="C817" s="3063" t="s">
        <v>3586</v>
      </c>
      <c r="D817" s="3063" t="s">
        <v>3382</v>
      </c>
      <c r="E817" s="3279">
        <v>41.37</v>
      </c>
    </row>
    <row r="818" spans="1:5">
      <c r="A818" s="3063">
        <v>815</v>
      </c>
      <c r="B818" s="3063" t="s">
        <v>3895</v>
      </c>
      <c r="C818" s="3063" t="s">
        <v>3586</v>
      </c>
      <c r="D818" s="3063" t="s">
        <v>3382</v>
      </c>
      <c r="E818" s="3279">
        <v>41.37</v>
      </c>
    </row>
    <row r="819" spans="1:5">
      <c r="A819" s="3063">
        <v>816</v>
      </c>
      <c r="B819" s="3063" t="s">
        <v>3896</v>
      </c>
      <c r="C819" s="3063" t="s">
        <v>3586</v>
      </c>
      <c r="D819" s="3063" t="s">
        <v>3382</v>
      </c>
      <c r="E819" s="3279">
        <v>41.37</v>
      </c>
    </row>
    <row r="820" spans="1:5">
      <c r="A820" s="3063">
        <v>817</v>
      </c>
      <c r="B820" s="3063" t="s">
        <v>3897</v>
      </c>
      <c r="C820" s="3063" t="s">
        <v>3586</v>
      </c>
      <c r="D820" s="3063" t="s">
        <v>3382</v>
      </c>
      <c r="E820" s="3279">
        <v>41.37</v>
      </c>
    </row>
    <row r="821" spans="1:5">
      <c r="A821" s="3063">
        <v>818</v>
      </c>
      <c r="B821" s="3063" t="s">
        <v>3898</v>
      </c>
      <c r="C821" s="3063" t="s">
        <v>3586</v>
      </c>
      <c r="D821" s="3063" t="s">
        <v>3382</v>
      </c>
      <c r="E821" s="3279">
        <v>41.37</v>
      </c>
    </row>
    <row r="822" spans="1:5">
      <c r="A822" s="3063">
        <v>819</v>
      </c>
      <c r="B822" s="3063" t="s">
        <v>3899</v>
      </c>
      <c r="C822" s="3063" t="s">
        <v>3586</v>
      </c>
      <c r="D822" s="3063" t="s">
        <v>3382</v>
      </c>
      <c r="E822" s="3279">
        <v>41.37</v>
      </c>
    </row>
    <row r="823" spans="1:5">
      <c r="A823" s="3063">
        <v>820</v>
      </c>
      <c r="B823" s="3063" t="s">
        <v>3900</v>
      </c>
      <c r="C823" s="3063" t="s">
        <v>3586</v>
      </c>
      <c r="D823" s="3063" t="s">
        <v>3382</v>
      </c>
      <c r="E823" s="3279">
        <v>41.37</v>
      </c>
    </row>
    <row r="824" spans="1:5">
      <c r="A824" s="3063">
        <v>821</v>
      </c>
      <c r="B824" s="3063" t="s">
        <v>3901</v>
      </c>
      <c r="C824" s="3063" t="s">
        <v>3586</v>
      </c>
      <c r="D824" s="3063" t="s">
        <v>3382</v>
      </c>
      <c r="E824" s="3279">
        <v>41.37</v>
      </c>
    </row>
    <row r="825" spans="1:5">
      <c r="A825" s="3063">
        <v>822</v>
      </c>
      <c r="B825" s="3063" t="s">
        <v>3902</v>
      </c>
      <c r="C825" s="3063" t="s">
        <v>3586</v>
      </c>
      <c r="D825" s="3063" t="s">
        <v>3382</v>
      </c>
      <c r="E825" s="3279">
        <v>41.37</v>
      </c>
    </row>
    <row r="826" spans="1:5">
      <c r="A826" s="3063">
        <v>823</v>
      </c>
      <c r="B826" s="3063" t="s">
        <v>3903</v>
      </c>
      <c r="C826" s="3063" t="s">
        <v>3586</v>
      </c>
      <c r="D826" s="3063" t="s">
        <v>3382</v>
      </c>
      <c r="E826" s="3279">
        <v>41.37</v>
      </c>
    </row>
    <row r="827" spans="1:5">
      <c r="A827" s="3063">
        <v>824</v>
      </c>
      <c r="B827" s="3063" t="s">
        <v>3904</v>
      </c>
      <c r="C827" s="3063" t="s">
        <v>3586</v>
      </c>
      <c r="D827" s="3063" t="s">
        <v>3382</v>
      </c>
      <c r="E827" s="3279">
        <v>41.37</v>
      </c>
    </row>
    <row r="828" spans="1:5">
      <c r="A828" s="3063">
        <v>825</v>
      </c>
      <c r="B828" s="3063" t="s">
        <v>3905</v>
      </c>
      <c r="C828" s="3063" t="s">
        <v>3586</v>
      </c>
      <c r="D828" s="3063" t="s">
        <v>3382</v>
      </c>
      <c r="E828" s="3279">
        <v>41.37</v>
      </c>
    </row>
    <row r="829" spans="1:5">
      <c r="A829" s="3063">
        <v>826</v>
      </c>
      <c r="B829" s="3063" t="s">
        <v>3906</v>
      </c>
      <c r="C829" s="3063" t="s">
        <v>3586</v>
      </c>
      <c r="D829" s="3063" t="s">
        <v>3382</v>
      </c>
      <c r="E829" s="3279">
        <v>41.37</v>
      </c>
    </row>
    <row r="830" spans="1:5">
      <c r="A830" s="3063">
        <v>827</v>
      </c>
      <c r="B830" s="3063" t="s">
        <v>3907</v>
      </c>
      <c r="C830" s="3063" t="s">
        <v>3586</v>
      </c>
      <c r="D830" s="3063" t="s">
        <v>3382</v>
      </c>
      <c r="E830" s="3279">
        <v>41.37</v>
      </c>
    </row>
    <row r="831" spans="1:5">
      <c r="A831" s="3063">
        <v>828</v>
      </c>
      <c r="B831" s="3063" t="s">
        <v>3908</v>
      </c>
      <c r="C831" s="3063" t="s">
        <v>3586</v>
      </c>
      <c r="D831" s="3063" t="s">
        <v>3382</v>
      </c>
      <c r="E831" s="3279">
        <v>41.37</v>
      </c>
    </row>
    <row r="832" spans="1:5">
      <c r="A832" s="3063">
        <v>829</v>
      </c>
      <c r="B832" s="3063" t="s">
        <v>3909</v>
      </c>
      <c r="C832" s="3063" t="s">
        <v>3586</v>
      </c>
      <c r="D832" s="3063" t="s">
        <v>3382</v>
      </c>
      <c r="E832" s="3279">
        <v>41.37</v>
      </c>
    </row>
    <row r="833" spans="1:5">
      <c r="A833" s="3063">
        <v>830</v>
      </c>
      <c r="B833" s="3063" t="s">
        <v>3910</v>
      </c>
      <c r="C833" s="3063" t="s">
        <v>3586</v>
      </c>
      <c r="D833" s="3063" t="s">
        <v>3382</v>
      </c>
      <c r="E833" s="3279">
        <v>41.37</v>
      </c>
    </row>
    <row r="834" spans="1:5">
      <c r="A834" s="3063">
        <v>831</v>
      </c>
      <c r="B834" s="3063" t="s">
        <v>4235</v>
      </c>
      <c r="C834" s="3063" t="s">
        <v>3586</v>
      </c>
      <c r="D834" s="3063" t="s">
        <v>3382</v>
      </c>
      <c r="E834" s="3279">
        <v>41.37</v>
      </c>
    </row>
    <row r="835" spans="1:5">
      <c r="A835" s="3063">
        <v>832</v>
      </c>
      <c r="B835" s="3063" t="s">
        <v>3911</v>
      </c>
      <c r="C835" s="3063" t="s">
        <v>3586</v>
      </c>
      <c r="D835" s="3063" t="s">
        <v>3382</v>
      </c>
      <c r="E835" s="3279">
        <v>41.37</v>
      </c>
    </row>
    <row r="836" spans="1:5">
      <c r="A836" s="3063">
        <v>833</v>
      </c>
      <c r="B836" s="3063" t="s">
        <v>3912</v>
      </c>
      <c r="C836" s="3063" t="s">
        <v>3586</v>
      </c>
      <c r="D836" s="3063" t="s">
        <v>3382</v>
      </c>
      <c r="E836" s="3279">
        <v>41.37</v>
      </c>
    </row>
    <row r="837" spans="1:5">
      <c r="A837" s="3063">
        <v>834</v>
      </c>
      <c r="B837" s="3063" t="s">
        <v>3913</v>
      </c>
      <c r="C837" s="3063" t="s">
        <v>3586</v>
      </c>
      <c r="D837" s="3063" t="s">
        <v>3382</v>
      </c>
      <c r="E837" s="3279">
        <v>41.37</v>
      </c>
    </row>
    <row r="838" spans="1:5">
      <c r="A838" s="3063">
        <v>835</v>
      </c>
      <c r="B838" s="3063" t="s">
        <v>3914</v>
      </c>
      <c r="C838" s="3063" t="s">
        <v>3586</v>
      </c>
      <c r="D838" s="3063" t="s">
        <v>3382</v>
      </c>
      <c r="E838" s="3279">
        <v>41.37</v>
      </c>
    </row>
    <row r="839" spans="1:5">
      <c r="A839" s="3063">
        <v>836</v>
      </c>
      <c r="B839" s="3063" t="s">
        <v>3915</v>
      </c>
      <c r="C839" s="3063" t="s">
        <v>3586</v>
      </c>
      <c r="D839" s="3063" t="s">
        <v>3382</v>
      </c>
      <c r="E839" s="3279">
        <v>41.37</v>
      </c>
    </row>
    <row r="840" spans="1:5">
      <c r="A840" s="3063">
        <v>837</v>
      </c>
      <c r="B840" s="3063" t="s">
        <v>3916</v>
      </c>
      <c r="C840" s="3063" t="s">
        <v>3586</v>
      </c>
      <c r="D840" s="3063" t="s">
        <v>3382</v>
      </c>
      <c r="E840" s="3279">
        <v>41.37</v>
      </c>
    </row>
    <row r="841" spans="1:5">
      <c r="A841" s="3063">
        <v>838</v>
      </c>
      <c r="B841" s="3063" t="s">
        <v>3917</v>
      </c>
      <c r="C841" s="3063" t="s">
        <v>3586</v>
      </c>
      <c r="D841" s="3063" t="s">
        <v>3382</v>
      </c>
      <c r="E841" s="3279">
        <v>41.37</v>
      </c>
    </row>
    <row r="842" spans="1:5">
      <c r="A842" s="3063">
        <v>839</v>
      </c>
      <c r="B842" s="3063" t="s">
        <v>3918</v>
      </c>
      <c r="C842" s="3063" t="s">
        <v>3586</v>
      </c>
      <c r="D842" s="3063" t="s">
        <v>3382</v>
      </c>
      <c r="E842" s="3279">
        <v>41.37</v>
      </c>
    </row>
    <row r="843" spans="1:5">
      <c r="A843" s="3063">
        <v>840</v>
      </c>
      <c r="B843" s="3063" t="s">
        <v>3919</v>
      </c>
      <c r="C843" s="3063" t="s">
        <v>3586</v>
      </c>
      <c r="D843" s="3063" t="s">
        <v>3382</v>
      </c>
      <c r="E843" s="3279">
        <v>41.37</v>
      </c>
    </row>
    <row r="844" spans="1:5">
      <c r="A844" s="3063">
        <v>841</v>
      </c>
      <c r="B844" s="3063" t="s">
        <v>3920</v>
      </c>
      <c r="C844" s="3063" t="s">
        <v>3381</v>
      </c>
      <c r="D844" s="3063" t="s">
        <v>3382</v>
      </c>
      <c r="E844" s="3279">
        <v>41.37</v>
      </c>
    </row>
    <row r="845" spans="1:5">
      <c r="A845" s="3063">
        <v>842</v>
      </c>
      <c r="B845" s="3063" t="s">
        <v>3921</v>
      </c>
      <c r="C845" s="3063" t="s">
        <v>3381</v>
      </c>
      <c r="D845" s="3063" t="s">
        <v>3382</v>
      </c>
      <c r="E845" s="3279">
        <v>41.37</v>
      </c>
    </row>
    <row r="846" spans="1:5">
      <c r="A846" s="3063">
        <v>843</v>
      </c>
      <c r="B846" s="3063" t="s">
        <v>3922</v>
      </c>
      <c r="C846" s="3063" t="s">
        <v>3381</v>
      </c>
      <c r="D846" s="3063" t="s">
        <v>3382</v>
      </c>
      <c r="E846" s="3279">
        <v>41.37</v>
      </c>
    </row>
    <row r="847" spans="1:5">
      <c r="A847" s="3063">
        <v>844</v>
      </c>
      <c r="B847" s="3063" t="s">
        <v>3923</v>
      </c>
      <c r="C847" s="3063" t="s">
        <v>3381</v>
      </c>
      <c r="D847" s="3063" t="s">
        <v>3382</v>
      </c>
      <c r="E847" s="3279">
        <v>41.37</v>
      </c>
    </row>
    <row r="848" spans="1:5">
      <c r="A848" s="3063">
        <v>845</v>
      </c>
      <c r="B848" s="3063" t="s">
        <v>3924</v>
      </c>
      <c r="C848" s="3063" t="s">
        <v>3381</v>
      </c>
      <c r="D848" s="3063" t="s">
        <v>3382</v>
      </c>
      <c r="E848" s="3279">
        <v>41.37</v>
      </c>
    </row>
    <row r="849" spans="1:5">
      <c r="A849" s="3063">
        <v>846</v>
      </c>
      <c r="B849" s="3063" t="s">
        <v>3925</v>
      </c>
      <c r="C849" s="3063" t="s">
        <v>3381</v>
      </c>
      <c r="D849" s="3063" t="s">
        <v>3382</v>
      </c>
      <c r="E849" s="3279">
        <v>41.37</v>
      </c>
    </row>
    <row r="850" spans="1:5">
      <c r="A850" s="3065" t="s">
        <v>3926</v>
      </c>
      <c r="B850" s="3065"/>
      <c r="C850" s="3065"/>
      <c r="D850" s="3065"/>
      <c r="E850" s="3280">
        <v>21980.41</v>
      </c>
    </row>
    <row r="851" spans="1:5">
      <c r="A851" s="3066" t="s">
        <v>37</v>
      </c>
      <c r="B851" s="3066"/>
      <c r="C851" s="3066"/>
      <c r="D851" s="3066"/>
      <c r="E851" s="3281">
        <v>80197.850000000093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ROUND(H13/(55901.9+122451.5)*77024,2)</f>
        <v>34634.379999999997</v>
      </c>
      <c r="B3" s="14">
        <f>IF(C3="否",G5-AT5,G5)</f>
        <v>80197.850000000006</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80197.850000000006</v>
      </c>
      <c r="H5" s="16">
        <f t="shared" ref="H5:AT5" si="0">SUM(H13:H656)</f>
        <v>80197.850000000006</v>
      </c>
      <c r="I5" s="16">
        <f t="shared" si="0"/>
        <v>43580.39</v>
      </c>
      <c r="J5" s="16">
        <f t="shared" si="0"/>
        <v>0</v>
      </c>
      <c r="K5" s="16">
        <f t="shared" si="0"/>
        <v>14637.050000000001</v>
      </c>
      <c r="L5" s="16">
        <f t="shared" si="0"/>
        <v>0</v>
      </c>
      <c r="M5" s="16">
        <f t="shared" si="0"/>
        <v>21980.41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80197.850000000006</v>
      </c>
      <c r="BA5" s="18">
        <f t="shared" si="1"/>
        <v>80197.850000000006</v>
      </c>
      <c r="BB5" s="18">
        <f t="shared" si="1"/>
        <v>43580.39</v>
      </c>
      <c r="BC5" s="18">
        <f t="shared" si="1"/>
        <v>14637.050000000001</v>
      </c>
      <c r="BD5" s="18">
        <f t="shared" si="1"/>
        <v>21980.41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34634.380000000005</v>
      </c>
      <c r="F6" s="16" t="s">
        <v>1</v>
      </c>
      <c r="G6" s="16" t="s">
        <v>2</v>
      </c>
      <c r="H6" s="20">
        <f>SUMIF(I$12:AB$12,"总值",I6:AB6)</f>
        <v>34634.380000000005</v>
      </c>
      <c r="I6" s="16">
        <f t="shared" ref="I6:AB6" si="2">ROUND($A$3*I5/$B$3,2)</f>
        <v>18820.7</v>
      </c>
      <c r="J6" s="16">
        <f t="shared" si="2"/>
        <v>0</v>
      </c>
      <c r="K6" s="16">
        <f t="shared" si="2"/>
        <v>6321.18</v>
      </c>
      <c r="L6" s="16">
        <f t="shared" si="2"/>
        <v>0</v>
      </c>
      <c r="M6" s="16">
        <f t="shared" si="2"/>
        <v>9492.5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34634.379999999997</v>
      </c>
      <c r="AZ6" s="16" t="s">
        <v>3</v>
      </c>
      <c r="BA6" s="16">
        <f>ROUND($AY$6*BA5/$AZ$5,2)</f>
        <v>34634.379999999997</v>
      </c>
      <c r="BB6" s="16">
        <f>ROUND($AY$6*BB5/$AZ$5,2)</f>
        <v>18820.7</v>
      </c>
      <c r="BC6" s="16">
        <f t="shared" ref="BC6:BH6" si="4">ROUND($AY$6*BC5/$AZ$5,2)</f>
        <v>6321.18</v>
      </c>
      <c r="BD6" s="16">
        <f t="shared" si="4"/>
        <v>9492.5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3934</v>
      </c>
      <c r="J9" s="918"/>
      <c r="K9" s="1788" t="s">
        <v>3935</v>
      </c>
      <c r="L9" s="918"/>
      <c r="M9" s="1788" t="s">
        <v>3935</v>
      </c>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t="s">
        <v>3936</v>
      </c>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3937</v>
      </c>
      <c r="E13" s="16">
        <f>IF($C$3="是",ROUND($A$3*G13/$B$3,2),ROUND($A$3*(G13-AT13)/$B$3,2))</f>
        <v>34634.379999999997</v>
      </c>
      <c r="F13" s="32"/>
      <c r="G13" s="33">
        <f>H13+AC13+AT13</f>
        <v>80197.850000000006</v>
      </c>
      <c r="H13" s="20">
        <f>SUMIF(I$12:AB$12,"总值",I13:AB13)</f>
        <v>80197.850000000006</v>
      </c>
      <c r="I13" s="1811">
        <f>面积明细清单!H7-K13</f>
        <v>43580.39</v>
      </c>
      <c r="J13" s="1811"/>
      <c r="K13" s="1811">
        <f>面积明细清单!H6</f>
        <v>14637.050000000001</v>
      </c>
      <c r="L13" s="1811"/>
      <c r="M13" s="1811">
        <f>面积明细清单!H8</f>
        <v>21980.41</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34634.379999999997</v>
      </c>
      <c r="AZ13" s="16">
        <f>BA13+BL13</f>
        <v>80197.850000000006</v>
      </c>
      <c r="BA13" s="16">
        <f>SUM(BB13:BK13)</f>
        <v>80197.850000000006</v>
      </c>
      <c r="BB13" s="16">
        <f>IF($D13="是",I13-J13,0)</f>
        <v>43580.39</v>
      </c>
      <c r="BC13" s="16">
        <f>IF($D13="是",K13-L13,0)</f>
        <v>14637.050000000001</v>
      </c>
      <c r="BD13" s="16">
        <f>IF($D13="是",M13-N13,0)</f>
        <v>21980.41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5" t="s">
        <v>0</v>
      </c>
      <c r="B1" s="3355" t="s">
        <v>4</v>
      </c>
      <c r="C1" s="3355" t="s">
        <v>5</v>
      </c>
      <c r="D1" s="3356" t="s">
        <v>53</v>
      </c>
      <c r="E1" s="3356" t="s">
        <v>54</v>
      </c>
      <c r="F1" s="3356"/>
      <c r="G1" s="3356"/>
      <c r="H1" s="3356"/>
      <c r="I1" s="3356"/>
      <c r="J1" s="3356"/>
      <c r="K1" s="3356"/>
      <c r="L1" s="3356"/>
      <c r="M1" s="3356"/>
    </row>
    <row r="2" spans="1:13" ht="27" customHeight="1">
      <c r="A2" s="3355"/>
      <c r="B2" s="3355"/>
      <c r="C2" s="3355"/>
      <c r="D2" s="3356"/>
      <c r="E2" s="3356" t="s">
        <v>37</v>
      </c>
      <c r="F2" s="3356" t="s">
        <v>38</v>
      </c>
      <c r="G2" s="3356"/>
      <c r="H2" s="3356"/>
      <c r="I2" s="3356"/>
      <c r="J2" s="3356" t="s">
        <v>39</v>
      </c>
      <c r="K2" s="3356"/>
      <c r="L2" s="3356"/>
      <c r="M2" s="3356"/>
    </row>
    <row r="3" spans="1:13" ht="28.5">
      <c r="A3" s="3355"/>
      <c r="B3" s="3355"/>
      <c r="C3" s="3355"/>
      <c r="D3" s="3356"/>
      <c r="E3" s="33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6" t="s">
        <v>55</v>
      </c>
      <c r="B9" s="3356"/>
      <c r="C9" s="33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85" zoomScaleNormal="100" zoomScaleSheetLayoutView="85" workbookViewId="0">
      <selection activeCell="G20" sqref="G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366" t="s">
        <v>1817</v>
      </c>
      <c r="B2" s="3366"/>
      <c r="C2" s="3366"/>
      <c r="D2" s="904" t="s">
        <v>1793</v>
      </c>
      <c r="E2" s="1824" t="s">
        <v>1794</v>
      </c>
      <c r="F2" s="2886"/>
      <c r="G2" s="2877"/>
      <c r="H2" s="2878"/>
      <c r="I2" s="2548" t="s">
        <v>1818</v>
      </c>
      <c r="J2" s="2886"/>
      <c r="K2" s="2886"/>
      <c r="L2" s="2886"/>
      <c r="M2" s="2886"/>
      <c r="N2" s="2888"/>
      <c r="O2" s="2886"/>
      <c r="P2" s="2886"/>
    </row>
    <row r="3" spans="1:16" ht="15.75" thickBot="1">
      <c r="A3" s="3367" t="s">
        <v>1791</v>
      </c>
      <c r="B3" s="3367"/>
      <c r="C3" s="3367"/>
      <c r="D3" s="46">
        <f>'数据-基础表'!AY6</f>
        <v>34634.379999999997</v>
      </c>
      <c r="E3" s="46">
        <f>'数据-基础表'!AZ5</f>
        <v>80197.850000000006</v>
      </c>
      <c r="F3" s="2886"/>
      <c r="G3" s="1307"/>
      <c r="H3" s="1157" t="s">
        <v>1792</v>
      </c>
      <c r="I3" s="964">
        <f>ROUND('数据-基础表'!B3/'数据-基础表'!A3,2)</f>
        <v>2.3199999999999998</v>
      </c>
      <c r="J3" s="2886"/>
      <c r="K3" s="2886"/>
      <c r="L3" s="2886"/>
      <c r="M3" s="2886"/>
      <c r="N3" s="2888"/>
      <c r="O3" s="2886"/>
      <c r="P3" s="2886"/>
    </row>
    <row r="4" spans="1:16" ht="15">
      <c r="A4" s="3368"/>
      <c r="B4" s="3369"/>
      <c r="C4" s="3370"/>
      <c r="D4" s="1826" t="s">
        <v>1793</v>
      </c>
      <c r="E4" s="1827" t="s">
        <v>1794</v>
      </c>
      <c r="F4" s="2886"/>
      <c r="G4" s="2879" t="s">
        <v>1819</v>
      </c>
      <c r="H4" s="1157" t="s">
        <v>1799</v>
      </c>
      <c r="I4" s="964">
        <f>ROUND(SUMIF('数据-基础表'!I9:AS9,"地上",'数据-基础表'!I5:AS5)/'数据-基础表'!A3,2)</f>
        <v>1.26</v>
      </c>
      <c r="J4" s="2886"/>
      <c r="K4" s="2886"/>
      <c r="L4" s="2886"/>
      <c r="M4" s="2886"/>
      <c r="N4" s="2888"/>
      <c r="O4" s="2886"/>
      <c r="P4" s="2886"/>
    </row>
    <row r="5" spans="1:16">
      <c r="A5" s="47" t="s">
        <v>1795</v>
      </c>
      <c r="B5" s="3371" t="s">
        <v>1796</v>
      </c>
      <c r="C5" s="3371"/>
      <c r="D5" s="48">
        <f>ROUND($D$3*E5/$E$3,2)</f>
        <v>0</v>
      </c>
      <c r="E5" s="49">
        <f>SUMIF('数据-基础表'!$11:$11,"住宅",'数据-基础表'!$5:$5)</f>
        <v>0</v>
      </c>
      <c r="F5" s="2886"/>
      <c r="G5" s="1307"/>
      <c r="H5" s="1157" t="s">
        <v>1792</v>
      </c>
      <c r="I5" s="964">
        <f>ROUND(E31/D31,2)</f>
        <v>2.3199999999999998</v>
      </c>
      <c r="J5" s="2886"/>
      <c r="K5" s="2886"/>
      <c r="L5" s="2886"/>
      <c r="M5" s="2886"/>
      <c r="N5" s="2886"/>
      <c r="O5" s="2886"/>
      <c r="P5" s="2886"/>
    </row>
    <row r="6" spans="1:16" ht="15" thickBot="1">
      <c r="A6" s="1829"/>
      <c r="B6" s="3371" t="s">
        <v>1797</v>
      </c>
      <c r="C6" s="3371"/>
      <c r="D6" s="48">
        <f>ROUND($D$3*E6/$E$3,2)</f>
        <v>34634.379999999997</v>
      </c>
      <c r="E6" s="49">
        <f>E3-E5</f>
        <v>80197.850000000006</v>
      </c>
      <c r="F6" s="2886"/>
      <c r="G6" s="2880" t="s">
        <v>1798</v>
      </c>
      <c r="H6" s="1308" t="s">
        <v>1799</v>
      </c>
      <c r="I6" s="2881">
        <f>ROUND(F31/D31,2)</f>
        <v>1.26</v>
      </c>
      <c r="J6" s="2886"/>
      <c r="K6" s="2886"/>
      <c r="L6" s="2886"/>
      <c r="M6" s="2886"/>
      <c r="N6" s="2886"/>
      <c r="O6" s="2886"/>
      <c r="P6" s="2886"/>
    </row>
    <row r="7" spans="1:16" ht="15.75" thickBot="1">
      <c r="A7" s="3363"/>
      <c r="B7" s="3364"/>
      <c r="C7" s="3365"/>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18820.7</v>
      </c>
      <c r="E8" s="51">
        <f>SUMIF('数据-基础表'!BB10:BK10,"地上",'数据-基础表'!BB5:BK5)</f>
        <v>43580.39</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6321.18</v>
      </c>
      <c r="E10" s="51">
        <f>SUMPRODUCT(('数据-基础表'!BB10:BK10="地下")*('数据-基础表'!BB11:BK11="商业")*('数据-基础表'!BB5:BK5))</f>
        <v>14637.050000000001</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9492.5</v>
      </c>
      <c r="E13" s="51">
        <f>SUMPRODUCT(('数据-基础表'!BB10:BK10="地下")*('数据-基础表'!BB11:BK11="车库")*('数据-基础表'!BB5:BK5))</f>
        <v>21980.41</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34634.380000000005</v>
      </c>
      <c r="E16" s="53">
        <f>SUM(E8:E15)</f>
        <v>80197.850000000006</v>
      </c>
      <c r="F16" s="2886"/>
      <c r="G16" s="2887"/>
      <c r="H16" s="1833" t="s">
        <v>1821</v>
      </c>
      <c r="I16" s="1834"/>
      <c r="J16" s="1301"/>
      <c r="K16" s="3360" t="s">
        <v>1821</v>
      </c>
      <c r="L16" s="3361"/>
      <c r="M16" s="3361"/>
      <c r="N16" s="3361"/>
      <c r="O16" s="3361"/>
      <c r="P16" s="3362"/>
    </row>
    <row r="17" spans="1:19" ht="15">
      <c r="A17" s="1835" t="s">
        <v>1822</v>
      </c>
      <c r="B17" s="1836" t="s">
        <v>1823</v>
      </c>
      <c r="C17" s="1837" t="s">
        <v>1824</v>
      </c>
      <c r="D17" s="1838" t="s">
        <v>1812</v>
      </c>
      <c r="E17" s="1839" t="s">
        <v>1813</v>
      </c>
      <c r="F17" s="1840"/>
      <c r="G17" s="1841"/>
      <c r="H17" s="1842" t="s">
        <v>1825</v>
      </c>
      <c r="I17" s="1843" t="s">
        <v>1810</v>
      </c>
      <c r="J17" s="1301"/>
      <c r="K17" s="3357" t="s">
        <v>1826</v>
      </c>
      <c r="L17" s="3358"/>
      <c r="M17" s="3359"/>
      <c r="N17" s="3357" t="s">
        <v>1827</v>
      </c>
      <c r="O17" s="3358"/>
      <c r="P17" s="335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7" t="s">
        <v>3938</v>
      </c>
      <c r="D19" s="48">
        <f>ROUND($D$3*E19/$E$3,2)</f>
        <v>34634.379999999997</v>
      </c>
      <c r="E19" s="56">
        <f t="shared" ref="E19:E26" si="1">SUM(F19:G19)</f>
        <v>80197.850000000006</v>
      </c>
      <c r="F19" s="3026">
        <f>'数据-基础表'!I13</f>
        <v>43580.39</v>
      </c>
      <c r="G19" s="3027">
        <f>'数据-基础表'!K13+'数据-基础表'!M13</f>
        <v>36617.46</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34634.379999999997</v>
      </c>
      <c r="S19" s="1158">
        <f t="shared" si="5"/>
        <v>80197.850000000006</v>
      </c>
    </row>
    <row r="20" spans="1:19">
      <c r="A20" s="1856"/>
      <c r="B20" s="50" t="s">
        <v>1839</v>
      </c>
      <c r="C20" s="3067"/>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34634.379999999997</v>
      </c>
      <c r="E27" s="1303">
        <f>IF(SUM(E19:E26)='数据-基础表'!BA5,SUM(E19:E26),IF(F27="地上面积有误","面积有误","地下面积有误"))</f>
        <v>80197.850000000006</v>
      </c>
      <c r="F27" s="1302">
        <f>IF(SUM(F19:F26)=E8,SUM(F19:F26),"地上面积有误")</f>
        <v>43580.39</v>
      </c>
      <c r="G27" s="1304">
        <f>SUM(G19:G26)</f>
        <v>36617.46</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34634.379999999997</v>
      </c>
      <c r="S27" s="1157">
        <f>IF(SUM(S19:S26)=$E$3,SUM(S19:S26),SUM(S19:S26)&amp;"误差"&amp;ROUND(SUM(S19:S26)-E3,2))</f>
        <v>80197.850000000006</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34634.379999999997</v>
      </c>
      <c r="E31" s="685">
        <f>E27+E30</f>
        <v>80197.850000000006</v>
      </c>
      <c r="F31" s="686">
        <f>F27+F30</f>
        <v>43580.39</v>
      </c>
      <c r="G31" s="687">
        <f>G27+G30</f>
        <v>36617.46</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D27" sqref="D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44548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3952</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56640</v>
      </c>
      <c r="F6" s="68">
        <f>SUMIF(项目基本情况!D$12:I$12,C6,项目基本情况!D$15:I$15)</f>
        <v>33.119999999999997</v>
      </c>
      <c r="G6" s="69">
        <f>IF(ISERROR(ROUND(POWER(1+H6,D6-F6)*(POWER(1+H6,F6)-1)/(POWER(1+H6,D6)-1),3)),0,ROUND(POWER(1+H6,D6-F6)*(POWER(1+H6,F6)-1)/(POWER(1+H6,D6)-1),3))</f>
        <v>0.93400000000000005</v>
      </c>
      <c r="H6" s="741">
        <v>0.05</v>
      </c>
      <c r="I6" s="741">
        <v>5.5E-2</v>
      </c>
      <c r="J6" s="70">
        <v>7.4999999999999997E-2</v>
      </c>
      <c r="K6" s="1161">
        <f>SUMIF('数据-汇总表'!C$19:C$33,A6,'数据-汇总表'!E$19:E$33)</f>
        <v>80197.850000000006</v>
      </c>
      <c r="L6" s="742">
        <v>4000</v>
      </c>
      <c r="M6" s="71">
        <f t="shared" ref="M6:M14" si="0">ROUND(K6*L6/10000,0)</f>
        <v>32079</v>
      </c>
      <c r="N6" s="740">
        <f>ROUND(1-(2021-2017)/60,2)</f>
        <v>0.93</v>
      </c>
      <c r="O6" s="71" t="str">
        <f>IF($N$5="成新度","——",ROUND(M6*N6,0))</f>
        <v>——</v>
      </c>
      <c r="P6" s="72" t="str">
        <f>IF($N$5="成新度","——",M6-O6)</f>
        <v>——</v>
      </c>
      <c r="Q6" s="743">
        <v>0.15</v>
      </c>
      <c r="R6" s="73">
        <f ca="1">SUMIF('数据-汇总表'!C$19:C$33,A6,'数据-汇总表'!R$19:R$27)</f>
        <v>34634.379999999997</v>
      </c>
      <c r="S6" s="54">
        <f>IF('数据-汇总表'!$I$17="按面积比例",SUMIF('数据-汇总表'!C$19:C$33,A6,'数据-汇总表'!K$19:K$33),SUMIF('数据-汇总表'!C$19:C$33,A6,'数据-汇总表'!N$19:N$33))</f>
        <v>0</v>
      </c>
      <c r="T6" s="1334">
        <f>ROUND($L$14*S6/10000,0)</f>
        <v>0</v>
      </c>
      <c r="U6" s="74">
        <v>1.5</v>
      </c>
      <c r="V6" s="75">
        <v>0.02</v>
      </c>
      <c r="W6" s="75">
        <v>0.1</v>
      </c>
      <c r="X6" s="1171"/>
      <c r="Y6" s="76">
        <f>N6</f>
        <v>0.93</v>
      </c>
      <c r="Z6" s="77"/>
      <c r="AA6" s="70"/>
      <c r="AB6" s="70"/>
      <c r="AC6" s="1171"/>
      <c r="AD6" s="78"/>
      <c r="AE6" s="1172">
        <f ca="1">IF(AN6="",0,SUMIF(INDIRECT("'"&amp;AN6&amp;"'"&amp;"!E:E"),$AE$5,INDIRECT("'"&amp;AN6&amp;"'"&amp;"!F:F")))</f>
        <v>33.119999999999997</v>
      </c>
      <c r="AF6" s="1532"/>
      <c r="AG6" s="143">
        <f>IF(AF6="",0,AE6-AF6)</f>
        <v>0</v>
      </c>
      <c r="AH6" s="79"/>
      <c r="AI6" s="81">
        <v>365</v>
      </c>
      <c r="AJ6" s="82"/>
      <c r="AK6" s="83">
        <v>0.02</v>
      </c>
      <c r="AL6" s="84">
        <v>1.5E-3</v>
      </c>
      <c r="AM6" s="85">
        <v>1.4999999999999999E-2</v>
      </c>
      <c r="AN6" s="1901" t="s">
        <v>3953</v>
      </c>
      <c r="AO6" s="55">
        <f ca="1">SUMIF(INDIRECT("'"&amp;AN6&amp;"'"&amp;"!A:A"),"总价",INDIRECT("'"&amp;AN6&amp;"'"&amp;"!B:B"))</f>
        <v>44387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0.93400000000000005</v>
      </c>
      <c r="H16" s="95">
        <f>ROUND(SUMPRODUCT(H6:H13,K6:K13)/SUMPRODUCT((H6:H13&gt;0)*(K6:K13)),3)</f>
        <v>0.05</v>
      </c>
      <c r="I16" s="96"/>
      <c r="J16" s="96"/>
      <c r="K16" s="97">
        <f>SUM(K6:K15)</f>
        <v>80197.850000000006</v>
      </c>
      <c r="L16" s="98">
        <f>ROUND(M16*10000/SUM(K6:K14),0)</f>
        <v>4000</v>
      </c>
      <c r="M16" s="98">
        <f>SUM(M6:M14)</f>
        <v>32079</v>
      </c>
      <c r="N16" s="99">
        <f>ROUND(SUMPRODUCT(M6:M14,N6:N14)/M16,3)</f>
        <v>0.93</v>
      </c>
      <c r="O16" s="98">
        <f>SUM(O6:O14)</f>
        <v>0</v>
      </c>
      <c r="P16" s="98">
        <f>SUM(P6:P14)</f>
        <v>0</v>
      </c>
      <c r="Q16" s="100">
        <f>ROUND(SUMPRODUCT(Q6:Q13,K6:K13)/SUMPRODUCT((Q6:Q13&gt;0)*(K6:K13)),2)</f>
        <v>0.15</v>
      </c>
      <c r="R16" s="1165">
        <f ca="1">SUM(R6:R13)</f>
        <v>34634.379999999997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1" customHeight="1">
      <c r="A27" s="1913" t="s">
        <v>1906</v>
      </c>
      <c r="B27" s="112">
        <v>190</v>
      </c>
      <c r="C27" s="3032" t="s">
        <v>3054</v>
      </c>
      <c r="D27" s="3269" t="s">
        <v>4236</v>
      </c>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1524</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4228</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8</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269</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v>8</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372" t="s">
        <v>3033</v>
      </c>
      <c r="B1" s="3373"/>
      <c r="C1" s="3373"/>
      <c r="D1" s="3373"/>
      <c r="E1" s="3373"/>
      <c r="F1" s="3373"/>
      <c r="G1" s="337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1" sqref="H21"/>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80197.850000000006</v>
      </c>
      <c r="C1" s="2915"/>
      <c r="D1" s="2915"/>
      <c r="E1" s="2915"/>
      <c r="F1" s="2915"/>
      <c r="G1" s="2916"/>
      <c r="H1" s="2917"/>
      <c r="I1" s="2917"/>
      <c r="J1" s="2917"/>
      <c r="K1" s="2917"/>
    </row>
    <row r="2" spans="1:11" ht="16.5">
      <c r="A2" s="2738" t="s">
        <v>1319</v>
      </c>
      <c r="B2" s="2738">
        <f>SUM(C14:C23)</f>
        <v>34634.379999999997</v>
      </c>
      <c r="C2" s="2915"/>
      <c r="D2" s="2915"/>
      <c r="E2" s="2915"/>
      <c r="F2" s="2915"/>
      <c r="G2" s="2916"/>
      <c r="H2" s="2917"/>
      <c r="I2" s="2917"/>
      <c r="J2" s="2917"/>
      <c r="K2" s="2917"/>
    </row>
    <row r="3" spans="1:11" ht="16.5">
      <c r="A3" s="2738" t="s">
        <v>1328</v>
      </c>
      <c r="B3" s="2740">
        <f>项目基本情况!D3</f>
        <v>44548</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48501</v>
      </c>
      <c r="C5" s="2738">
        <f ca="1">ROUND(B5*10000/$B$1,0)</f>
        <v>6048</v>
      </c>
      <c r="D5" s="2738">
        <f ca="1">ROUND(B5*10000/$B$2,0)</f>
        <v>14004</v>
      </c>
      <c r="E5" s="2915"/>
      <c r="F5" s="2916"/>
      <c r="G5" s="2916"/>
      <c r="H5" s="2917"/>
      <c r="I5" s="2917"/>
      <c r="J5" s="2917"/>
      <c r="K5" s="2917"/>
    </row>
    <row r="6" spans="1:11" ht="16.5">
      <c r="A6" s="2738" t="s">
        <v>1322</v>
      </c>
      <c r="B6" s="2738">
        <f ca="1">SUM(G14:G23)</f>
        <v>48501</v>
      </c>
      <c r="C6" s="2738">
        <f ca="1">ROUND(B6*10000/$B$1,0)</f>
        <v>6048</v>
      </c>
      <c r="D6" s="2738">
        <f ca="1">ROUND(B6*10000/$B$2,0)</f>
        <v>14004</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80197.850000000006</v>
      </c>
      <c r="C14" s="2744">
        <f>结果表!C118</f>
        <v>34634.379999999997</v>
      </c>
      <c r="D14" s="2744">
        <f ca="1">结果表!G19</f>
        <v>48501</v>
      </c>
      <c r="E14" s="2744">
        <f ca="1">ROUND(D14*10000/B14,0)</f>
        <v>6048</v>
      </c>
      <c r="F14" s="2744">
        <f ca="1">ROUND(D14*10000/C14,0)</f>
        <v>14004</v>
      </c>
      <c r="G14" s="2744">
        <f ca="1">D14</f>
        <v>48501</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19" sqref="J1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408" t="str">
        <f>项目基本情况!S2</f>
        <v>房地产</v>
      </c>
      <c r="B2" s="3409"/>
      <c r="C2" s="3409"/>
      <c r="D2" s="3409"/>
      <c r="E2" s="3409"/>
      <c r="F2" s="3409"/>
      <c r="G2" s="3409"/>
      <c r="H2" s="3409"/>
      <c r="I2" s="3410"/>
    </row>
    <row r="3" spans="1:12" ht="12.75">
      <c r="A3" s="3412" t="s">
        <v>1950</v>
      </c>
      <c r="B3" s="3413"/>
      <c r="C3" s="3413"/>
      <c r="D3" s="3413"/>
      <c r="E3" s="3413"/>
      <c r="F3" s="3413"/>
      <c r="G3" s="3413"/>
      <c r="H3" s="3413"/>
      <c r="I3" s="3413"/>
    </row>
    <row r="4" spans="1:12" ht="14.25">
      <c r="A4" s="1940" t="s">
        <v>1951</v>
      </c>
      <c r="B4" s="1941" t="s">
        <v>1952</v>
      </c>
      <c r="C4" s="1942" t="s">
        <v>4077</v>
      </c>
      <c r="D4" s="1942" t="s">
        <v>3953</v>
      </c>
      <c r="E4" s="3414" t="s">
        <v>1953</v>
      </c>
      <c r="F4" s="3415"/>
      <c r="G4" s="3415"/>
      <c r="H4" s="3415"/>
      <c r="I4" s="341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8" t="s">
        <v>1954</v>
      </c>
      <c r="B5" s="3375">
        <v>25</v>
      </c>
      <c r="C5" s="3391"/>
      <c r="D5" s="3411"/>
      <c r="E5" s="136" t="s">
        <v>1955</v>
      </c>
      <c r="F5" s="1943"/>
      <c r="G5" s="1943"/>
      <c r="H5" s="1943"/>
      <c r="I5" s="1557"/>
    </row>
    <row r="6" spans="1:12" ht="12.75">
      <c r="A6" s="3388"/>
      <c r="B6" s="3375"/>
      <c r="C6" s="3392"/>
      <c r="D6" s="3411"/>
      <c r="E6" s="136" t="s">
        <v>1956</v>
      </c>
      <c r="F6" s="1943"/>
      <c r="G6" s="1943"/>
      <c r="H6" s="1943"/>
      <c r="I6" s="1557"/>
    </row>
    <row r="7" spans="1:12" ht="12.75">
      <c r="A7" s="3388"/>
      <c r="B7" s="3375"/>
      <c r="C7" s="3393"/>
      <c r="D7" s="3411"/>
      <c r="E7" s="136" t="s">
        <v>1957</v>
      </c>
      <c r="F7" s="1943"/>
      <c r="G7" s="1943"/>
      <c r="H7" s="1943"/>
      <c r="I7" s="1557"/>
    </row>
    <row r="8" spans="1:12" ht="12.75">
      <c r="A8" s="3388" t="s">
        <v>1958</v>
      </c>
      <c r="B8" s="3375">
        <v>15</v>
      </c>
      <c r="C8" s="3391"/>
      <c r="D8" s="3411"/>
      <c r="E8" s="136" t="s">
        <v>1959</v>
      </c>
      <c r="F8" s="1943"/>
      <c r="G8" s="1943"/>
      <c r="H8" s="1943"/>
      <c r="I8" s="1557"/>
    </row>
    <row r="9" spans="1:12" ht="12.75">
      <c r="A9" s="3388"/>
      <c r="B9" s="3375"/>
      <c r="C9" s="3393"/>
      <c r="D9" s="3411"/>
      <c r="E9" s="136" t="s">
        <v>1960</v>
      </c>
      <c r="F9" s="1943"/>
      <c r="G9" s="1943"/>
      <c r="H9" s="1943"/>
      <c r="I9" s="1557"/>
    </row>
    <row r="10" spans="1:12" ht="12.75">
      <c r="A10" s="3388" t="s">
        <v>1961</v>
      </c>
      <c r="B10" s="3375">
        <v>15</v>
      </c>
      <c r="C10" s="3391"/>
      <c r="D10" s="3411"/>
      <c r="E10" s="136" t="s">
        <v>1962</v>
      </c>
      <c r="F10" s="1943"/>
      <c r="G10" s="1943"/>
      <c r="H10" s="1943"/>
      <c r="I10" s="1557"/>
    </row>
    <row r="11" spans="1:12" ht="12.75">
      <c r="A11" s="3388"/>
      <c r="B11" s="3375"/>
      <c r="C11" s="3393"/>
      <c r="D11" s="3411"/>
      <c r="E11" s="136" t="s">
        <v>1963</v>
      </c>
      <c r="F11" s="1943"/>
      <c r="G11" s="1943"/>
      <c r="H11" s="1943"/>
      <c r="I11" s="1557"/>
    </row>
    <row r="12" spans="1:12" ht="12.75">
      <c r="A12" s="3388" t="s">
        <v>1964</v>
      </c>
      <c r="B12" s="3375">
        <v>15</v>
      </c>
      <c r="C12" s="3391"/>
      <c r="D12" s="3411"/>
      <c r="E12" s="136" t="s">
        <v>1965</v>
      </c>
      <c r="F12" s="1943"/>
      <c r="G12" s="1943"/>
      <c r="H12" s="1943"/>
      <c r="I12" s="1557"/>
    </row>
    <row r="13" spans="1:12" ht="12.75">
      <c r="A13" s="3388"/>
      <c r="B13" s="3375"/>
      <c r="C13" s="3393"/>
      <c r="D13" s="3411"/>
      <c r="E13" s="136" t="s">
        <v>1966</v>
      </c>
      <c r="F13" s="1943"/>
      <c r="G13" s="1943"/>
      <c r="H13" s="1943"/>
      <c r="I13" s="1557"/>
    </row>
    <row r="14" spans="1:12" ht="12.75">
      <c r="A14" s="3388" t="s">
        <v>1967</v>
      </c>
      <c r="B14" s="3375">
        <v>30</v>
      </c>
      <c r="C14" s="3391">
        <v>5</v>
      </c>
      <c r="D14" s="3411">
        <v>5</v>
      </c>
      <c r="E14" s="136" t="s">
        <v>1968</v>
      </c>
      <c r="F14" s="1943"/>
      <c r="G14" s="1943"/>
      <c r="H14" s="1943"/>
      <c r="I14" s="1557"/>
    </row>
    <row r="15" spans="1:12" ht="12.75">
      <c r="A15" s="3388"/>
      <c r="B15" s="3375"/>
      <c r="C15" s="3392"/>
      <c r="D15" s="3411"/>
      <c r="E15" s="136" t="s">
        <v>1969</v>
      </c>
      <c r="F15" s="1943"/>
      <c r="G15" s="1943"/>
      <c r="H15" s="1943"/>
      <c r="I15" s="1557"/>
    </row>
    <row r="16" spans="1:12" ht="12.75">
      <c r="A16" s="3388"/>
      <c r="B16" s="3375"/>
      <c r="C16" s="3393"/>
      <c r="D16" s="3411"/>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398" t="s">
        <v>2874</v>
      </c>
      <c r="F18" s="3399"/>
      <c r="G18" s="3399"/>
      <c r="H18" s="3399"/>
      <c r="I18" s="3399"/>
      <c r="K18" s="308" t="s">
        <v>1975</v>
      </c>
      <c r="L18" s="308">
        <f>IF(C1="",'数据-汇总表'!E3,SUMIF(项目类型,C1,'数据-汇总表'!E17:E26)+SUMIF(项目类型,C1,'数据-汇总表'!I17:I26))</f>
        <v>80197.850000000006</v>
      </c>
      <c r="M18" s="308">
        <f>IF(C1="",'数据-汇总表'!E3,SUMIF(项目类型,C1,'数据-汇总表'!E17:E26))</f>
        <v>80197.850000000006</v>
      </c>
    </row>
    <row r="19" spans="1:36" ht="15">
      <c r="A19" s="1947" t="s">
        <v>1976</v>
      </c>
      <c r="B19" s="1948" t="s">
        <v>1977</v>
      </c>
      <c r="C19" s="139">
        <f ca="1">SUMIF(INDIRECT("'"&amp;C4&amp;"'"&amp;"!A:A"),结果表!B19,INDIRECT("'"&amp;C4&amp;"'"&amp;"!B:B"))</f>
        <v>52615</v>
      </c>
      <c r="D19" s="140">
        <f ca="1">SUMIF(INDIRECT("'"&amp;D4&amp;"'"&amp;"!A:A"),结果表!B19,INDIRECT("'"&amp;D4&amp;"'"&amp;"!B:B"))</f>
        <v>44387</v>
      </c>
      <c r="E19" s="1947" t="s">
        <v>1978</v>
      </c>
      <c r="F19" s="1948" t="s">
        <v>1977</v>
      </c>
      <c r="G19" s="141">
        <f ca="1">ROUND(C19*$C$18+D19*$D$18,0)</f>
        <v>48501</v>
      </c>
      <c r="H19" s="1949" t="s">
        <v>1979</v>
      </c>
      <c r="I19" s="134"/>
      <c r="K19" s="308" t="s">
        <v>1980</v>
      </c>
      <c r="L19" s="308">
        <f>IF(C1="",'数据-汇总表'!D3,SUMIF(项目类型,C1,'数据-汇总表'!D17:D26)+SUMIF(项目类型,C1,'数据-汇总表'!H17:H27))</f>
        <v>34634.379999999997</v>
      </c>
      <c r="M19" s="308">
        <f>IF(C1="",'数据-汇总表'!D3,SUMIF(项目类型,C1,'数据-汇总表'!D17:D26))</f>
        <v>34634.379999999997</v>
      </c>
    </row>
    <row r="20" spans="1:36" ht="15">
      <c r="A20" s="1950"/>
      <c r="B20" s="1157" t="s">
        <v>1981</v>
      </c>
      <c r="C20" s="142">
        <f ca="1">SUMIF(INDIRECT("'"&amp;C4&amp;"'"&amp;"!A:A"),结果表!B20,INDIRECT("'"&amp;C4&amp;"'"&amp;"!B:B"))</f>
        <v>6561</v>
      </c>
      <c r="D20" s="143">
        <f ca="1">SUMIF(INDIRECT("'"&amp;D4&amp;"'"&amp;"!A:A"),结果表!B20,INDIRECT("'"&amp;D4&amp;"'"&amp;"!B:B"))</f>
        <v>5535</v>
      </c>
      <c r="E20" s="1950"/>
      <c r="F20" s="1157" t="s">
        <v>1981</v>
      </c>
      <c r="G20" s="144">
        <f ca="1">ROUND(C20*$C$18+D20*$D$18,0)</f>
        <v>6048</v>
      </c>
      <c r="H20" s="917" t="s">
        <v>1982</v>
      </c>
      <c r="I20" s="134"/>
    </row>
    <row r="21" spans="1:36" ht="15" customHeight="1" thickBot="1">
      <c r="A21" s="937"/>
      <c r="B21" s="1951" t="s">
        <v>1983</v>
      </c>
      <c r="C21" s="728">
        <f ca="1">ROUND(C19*10000/L19,0)</f>
        <v>15192</v>
      </c>
      <c r="D21" s="729">
        <f ca="1">ROUND(D19*10000/L19,0)</f>
        <v>12816</v>
      </c>
      <c r="E21" s="937"/>
      <c r="F21" s="1951" t="s">
        <v>1983</v>
      </c>
      <c r="G21" s="145">
        <f ca="1">ROUND(G19*10000/L19,0)</f>
        <v>14004</v>
      </c>
      <c r="H21" s="1952" t="s">
        <v>1982</v>
      </c>
      <c r="I21" s="134"/>
    </row>
    <row r="22" spans="1:36" ht="15" thickBot="1">
      <c r="A22" s="1874" t="s">
        <v>1984</v>
      </c>
      <c r="B22" s="1953"/>
      <c r="C22" s="1954"/>
      <c r="D22" s="730">
        <f ca="1">IF(C19&lt;D19,D19/C19-1,C19/D19-1)</f>
        <v>0.18536959019532739</v>
      </c>
      <c r="E22" s="134"/>
      <c r="F22" s="134"/>
      <c r="G22" s="134"/>
      <c r="H22" s="134"/>
      <c r="I22" s="134"/>
    </row>
    <row r="23" spans="1:36" ht="13.5" thickBot="1">
      <c r="A23" s="1933"/>
      <c r="B23" s="1933"/>
      <c r="C23" s="1933"/>
      <c r="D23" s="1933"/>
      <c r="E23" s="134"/>
      <c r="F23" s="134"/>
      <c r="G23" s="134"/>
      <c r="H23" s="134"/>
      <c r="I23" s="134"/>
    </row>
    <row r="24" spans="1:36" ht="14.25">
      <c r="A24" s="3382" t="s">
        <v>1985</v>
      </c>
      <c r="B24" s="1948" t="s">
        <v>1977</v>
      </c>
      <c r="C24" s="141">
        <f>IF(B30=0,0,D30)</f>
        <v>0</v>
      </c>
      <c r="D24" s="1955"/>
      <c r="E24" s="134"/>
      <c r="F24" s="134"/>
      <c r="G24" s="134"/>
      <c r="H24" s="134"/>
      <c r="I24" s="134"/>
    </row>
    <row r="25" spans="1:36" ht="14.25">
      <c r="A25" s="338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48501</v>
      </c>
      <c r="D32" s="1961" t="s">
        <v>4230</v>
      </c>
      <c r="E32" s="134"/>
      <c r="F32" s="134"/>
      <c r="G32" s="134"/>
      <c r="H32" s="134"/>
      <c r="I32" s="134"/>
    </row>
    <row r="33" spans="1:15" ht="15">
      <c r="A33" s="894" t="s">
        <v>1992</v>
      </c>
      <c r="B33" s="1962"/>
      <c r="C33" s="1963" t="s">
        <v>4231</v>
      </c>
      <c r="D33" s="1964" t="s">
        <v>4077</v>
      </c>
      <c r="E33" s="1965" t="s">
        <v>1993</v>
      </c>
      <c r="F33" s="1966" t="str">
        <f>IF(D32="楼面单价","取值（单价）","取值（总价）")</f>
        <v>取值（总价）</v>
      </c>
      <c r="G33" s="134"/>
      <c r="H33" s="134"/>
      <c r="I33" s="134"/>
    </row>
    <row r="34" spans="1:15" ht="15">
      <c r="A34" s="1967"/>
      <c r="B34" s="1968" t="s">
        <v>1994</v>
      </c>
      <c r="C34" s="153">
        <f ca="1">IF(C33="自定义",F34,C32-C35)</f>
        <v>8827</v>
      </c>
      <c r="D34" s="970">
        <f ca="1">IF(C33="自定义",ROUND(C34/C32,3),IF(C33="收益比率",SUMIF(INDIRECT("'"&amp;D33&amp;"'"&amp;"!b:b"),"土地收益比率",INDIRECT("'"&amp;D33&amp;"'"&amp;"!c:c")),SUMIF(INDIRECT("'"&amp;D33&amp;"'"&amp;"!b:b"),"土地成本比率",INDIRECT("'"&amp;D33&amp;"'"&amp;"!c:c"))))</f>
        <v>0.18200000000000005</v>
      </c>
      <c r="E34" s="1969" t="s">
        <v>1995</v>
      </c>
      <c r="F34" s="1498"/>
      <c r="G34" s="134"/>
      <c r="H34" s="134"/>
      <c r="I34" s="134"/>
    </row>
    <row r="35" spans="1:15" ht="15.75" thickBot="1">
      <c r="A35" s="1970"/>
      <c r="B35" s="1971" t="s">
        <v>1996</v>
      </c>
      <c r="C35" s="1332">
        <f ca="1">IF(C33="自定义",F35,ROUND(C32*D35,0))</f>
        <v>39674</v>
      </c>
      <c r="D35" s="1333">
        <f ca="1">IF(C33="自定义",ROUND(C35/C32,3),IF(C33="收益比率",SUMIF(INDIRECT("'"&amp;D33&amp;"'"&amp;"!b:b"),"建筑物收益比率",INDIRECT("'"&amp;D33&amp;"'"&amp;"!c:c")),SUMIF(INDIRECT("'"&amp;D33&amp;"'"&amp;"!b:b"),"建筑物成本比率",INDIRECT("'"&amp;D33&amp;"'"&amp;"!c:c"))))</f>
        <v>0.81799999999999995</v>
      </c>
      <c r="E35" s="1972" t="s">
        <v>1997</v>
      </c>
      <c r="F35" s="159"/>
      <c r="G35" s="134"/>
      <c r="H35" s="134"/>
      <c r="I35" s="134"/>
    </row>
    <row r="36" spans="1:15" ht="15.75" thickBot="1">
      <c r="A36" s="3402" t="s">
        <v>1998</v>
      </c>
      <c r="B36" s="1973" t="s">
        <v>1999</v>
      </c>
      <c r="C36" s="150"/>
      <c r="D36" s="1974"/>
      <c r="E36" s="1975"/>
      <c r="F36" s="1976"/>
      <c r="G36" s="134"/>
      <c r="H36" s="134"/>
      <c r="I36" s="134"/>
    </row>
    <row r="37" spans="1:15" ht="15.75" thickBot="1">
      <c r="A37" s="3403"/>
      <c r="B37" s="1860" t="s">
        <v>2000</v>
      </c>
      <c r="C37" s="152"/>
      <c r="D37" s="1301"/>
      <c r="E37" s="1301"/>
      <c r="F37" s="1976"/>
      <c r="G37" s="134"/>
      <c r="H37" s="134"/>
      <c r="I37" s="134"/>
    </row>
    <row r="38" spans="1:15" ht="15.75" thickBot="1">
      <c r="A38" s="3404"/>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79" t="s">
        <v>2012</v>
      </c>
      <c r="B45" s="3380"/>
      <c r="C45" s="3381"/>
      <c r="D45" s="160">
        <f ca="1">ROUND(H101*F45,0)</f>
        <v>48501</v>
      </c>
      <c r="E45" s="161" t="s">
        <v>2013</v>
      </c>
      <c r="F45" s="162">
        <v>1</v>
      </c>
      <c r="G45" s="163" t="s">
        <v>2014</v>
      </c>
      <c r="H45" s="134"/>
      <c r="I45" s="134"/>
      <c r="J45" s="3460" t="s">
        <v>2015</v>
      </c>
      <c r="K45" s="3460"/>
      <c r="L45" s="3460"/>
      <c r="M45" s="3460"/>
      <c r="N45" s="3460"/>
      <c r="O45" s="3460"/>
    </row>
    <row r="46" spans="1:15" ht="14.25" customHeight="1">
      <c r="A46" s="3376" t="s">
        <v>2016</v>
      </c>
      <c r="B46" s="3377"/>
      <c r="C46" s="3377"/>
      <c r="D46" s="3377"/>
      <c r="E46" s="3377"/>
      <c r="F46" s="3377"/>
      <c r="G46" s="3378"/>
      <c r="H46" s="1992"/>
      <c r="I46" s="164"/>
      <c r="J46" s="2749">
        <v>1</v>
      </c>
      <c r="K46" s="3441" t="s">
        <v>2017</v>
      </c>
      <c r="L46" s="3441"/>
      <c r="M46" s="3461"/>
      <c r="N46" s="3461"/>
      <c r="O46" s="3461"/>
    </row>
    <row r="47" spans="1:15" ht="12" customHeight="1">
      <c r="A47" s="165" t="s">
        <v>2018</v>
      </c>
      <c r="B47" s="166"/>
      <c r="C47" s="167"/>
      <c r="D47" s="1247" t="s">
        <v>2019</v>
      </c>
      <c r="E47" s="308" t="s">
        <v>2020</v>
      </c>
      <c r="F47" s="168" t="s">
        <v>2021</v>
      </c>
      <c r="G47" s="2772" t="s">
        <v>2022</v>
      </c>
      <c r="H47" s="2773"/>
      <c r="I47" s="164"/>
      <c r="J47" s="2749">
        <v>2</v>
      </c>
      <c r="K47" s="3441" t="s">
        <v>2023</v>
      </c>
      <c r="L47" s="3441"/>
      <c r="M47" s="3462">
        <f>'数据-取费表'!B2</f>
        <v>44548</v>
      </c>
      <c r="N47" s="3462"/>
      <c r="O47" s="3462"/>
    </row>
    <row r="48" spans="1:15" ht="25.5">
      <c r="A48" s="3407" t="s">
        <v>2024</v>
      </c>
      <c r="B48" s="3390"/>
      <c r="C48" s="3390"/>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441" t="s">
        <v>2026</v>
      </c>
      <c r="L48" s="3441"/>
      <c r="M48" s="3463">
        <f ca="1">H101</f>
        <v>48501</v>
      </c>
      <c r="N48" s="3463"/>
      <c r="O48" s="3463"/>
    </row>
    <row r="49" spans="1:35" ht="25.5" customHeight="1">
      <c r="A49" s="2556" t="s">
        <v>2027</v>
      </c>
      <c r="B49" s="3374" t="s">
        <v>2028</v>
      </c>
      <c r="C49" s="3374"/>
      <c r="D49" s="1775">
        <v>0</v>
      </c>
      <c r="E49" s="330" t="s">
        <v>2029</v>
      </c>
      <c r="F49" s="2650" t="s">
        <v>34</v>
      </c>
      <c r="G49" s="3447"/>
      <c r="H49" s="2528" t="s">
        <v>2877</v>
      </c>
      <c r="I49" s="2529"/>
      <c r="J49" s="2749">
        <v>4</v>
      </c>
      <c r="K49" s="3441" t="str">
        <f>IF(项目基本情况!E8="房地产抵押价值","房地产抵押价值","抵押担保权已注销时的房地产抵押价值")</f>
        <v>房地产抵押价值</v>
      </c>
      <c r="L49" s="3441"/>
      <c r="M49" s="3463">
        <f ca="1">IF(项目基本情况!E8="房地产抵押价值",H107,H109)</f>
        <v>48501</v>
      </c>
      <c r="N49" s="3463"/>
      <c r="O49" s="3463"/>
    </row>
    <row r="50" spans="1:35" ht="25.5" customHeight="1">
      <c r="A50" s="2777"/>
      <c r="B50" s="3374" t="s">
        <v>2030</v>
      </c>
      <c r="C50" s="3374"/>
      <c r="D50" s="2778"/>
      <c r="E50" s="338"/>
      <c r="F50" s="2650"/>
      <c r="G50" s="3448"/>
      <c r="H50" s="2530" t="s">
        <v>2878</v>
      </c>
      <c r="I50" s="2529"/>
      <c r="J50" s="3460" t="s">
        <v>2031</v>
      </c>
      <c r="K50" s="3460"/>
      <c r="L50" s="3460"/>
      <c r="M50" s="3460"/>
      <c r="N50" s="3460"/>
      <c r="O50" s="3460"/>
    </row>
    <row r="51" spans="1:35" ht="20.45" customHeight="1">
      <c r="A51" s="2779"/>
      <c r="B51" s="3374" t="s">
        <v>2032</v>
      </c>
      <c r="C51" s="3374"/>
      <c r="D51" s="1247"/>
      <c r="E51" s="333"/>
      <c r="F51" s="2650"/>
      <c r="G51" s="3449"/>
      <c r="H51" s="2530" t="s">
        <v>2879</v>
      </c>
      <c r="I51" s="2529"/>
      <c r="J51" s="2750" t="s">
        <v>2033</v>
      </c>
      <c r="K51" s="3441" t="s">
        <v>2034</v>
      </c>
      <c r="L51" s="3441"/>
      <c r="M51" s="2750" t="s">
        <v>2035</v>
      </c>
      <c r="N51" s="2750" t="s">
        <v>2036</v>
      </c>
      <c r="O51" s="2750" t="s">
        <v>2037</v>
      </c>
    </row>
    <row r="52" spans="1:35" ht="24" customHeight="1">
      <c r="A52" s="2558" t="s">
        <v>2038</v>
      </c>
      <c r="B52" s="3374" t="s">
        <v>2039</v>
      </c>
      <c r="C52" s="3374"/>
      <c r="D52" s="1247">
        <f ca="1">ROUND(D45*'数据-取费表'!B41/(1+'数据-取费表'!C42),0)</f>
        <v>2541</v>
      </c>
      <c r="E52" s="2557" t="s">
        <v>2040</v>
      </c>
      <c r="F52" s="2780">
        <f>'数据-取费表'!B41</f>
        <v>5.5000000000000007E-2</v>
      </c>
      <c r="G52" s="2781"/>
      <c r="H52" s="2770"/>
      <c r="I52" s="1993"/>
      <c r="J52" s="2749">
        <v>1</v>
      </c>
      <c r="K52" s="3442" t="s">
        <v>2041</v>
      </c>
      <c r="L52" s="3442"/>
      <c r="M52" s="2751" t="b">
        <f>D48</f>
        <v>0</v>
      </c>
      <c r="N52" s="2749" t="str">
        <f>E48</f>
        <v>销售额×税（费）率</v>
      </c>
      <c r="O52" s="2752">
        <f>F48</f>
        <v>5.5000000000000007E-2</v>
      </c>
    </row>
    <row r="53" spans="1:35" ht="12" customHeight="1">
      <c r="A53" s="2558" t="s">
        <v>2042</v>
      </c>
      <c r="B53" s="3400" t="s">
        <v>3038</v>
      </c>
      <c r="C53" s="3401"/>
      <c r="D53" s="1247">
        <f ca="1">ROUND(D45*'数据-取费表'!B41/(1+'数据-取费表'!C42),0)</f>
        <v>2541</v>
      </c>
      <c r="E53" s="2557" t="s">
        <v>2040</v>
      </c>
      <c r="F53" s="2780">
        <f>'数据-取费表'!B41</f>
        <v>5.5000000000000007E-2</v>
      </c>
      <c r="G53" s="2781"/>
      <c r="H53" s="2770"/>
      <c r="I53" s="1993"/>
      <c r="J53" s="2749">
        <v>2</v>
      </c>
      <c r="K53" s="3442" t="s">
        <v>2043</v>
      </c>
      <c r="L53" s="3442"/>
      <c r="M53" s="2751">
        <f t="shared" ref="M53:O54" ca="1" si="0">D55</f>
        <v>24</v>
      </c>
      <c r="N53" s="2749" t="str">
        <f t="shared" si="0"/>
        <v>销售额×税（费）率</v>
      </c>
      <c r="O53" s="2752" t="str">
        <f t="shared" si="0"/>
        <v>免征</v>
      </c>
    </row>
    <row r="54" spans="1:35" ht="12" customHeight="1">
      <c r="A54" s="2558" t="s">
        <v>2044</v>
      </c>
      <c r="B54" s="3400" t="s">
        <v>3039</v>
      </c>
      <c r="C54" s="3401"/>
      <c r="D54" s="1247">
        <f ca="1">C68</f>
        <v>2541</v>
      </c>
      <c r="E54" s="333" t="s">
        <v>2045</v>
      </c>
      <c r="F54" s="2780">
        <f>'数据-取费表'!B41</f>
        <v>5.5000000000000007E-2</v>
      </c>
      <c r="G54" s="2781"/>
      <c r="H54" s="2782"/>
      <c r="I54" s="1993"/>
      <c r="J54" s="2749">
        <v>3</v>
      </c>
      <c r="K54" s="3442" t="s">
        <v>2046</v>
      </c>
      <c r="L54" s="3442"/>
      <c r="M54" s="2751">
        <f t="shared" ca="1" si="0"/>
        <v>27495</v>
      </c>
      <c r="N54" s="2749" t="str">
        <f t="shared" si="0"/>
        <v>增值额×税（费）率</v>
      </c>
      <c r="O54" s="2753" t="str">
        <f t="shared" si="0"/>
        <v>免征</v>
      </c>
    </row>
    <row r="55" spans="1:35" ht="24" customHeight="1">
      <c r="A55" s="3389" t="s">
        <v>2047</v>
      </c>
      <c r="B55" s="3390"/>
      <c r="C55" s="3390"/>
      <c r="D55" s="2547">
        <f ca="1">IF(H55="个人住宅",0,ROUND(D45*I55,0))</f>
        <v>24</v>
      </c>
      <c r="E55" s="2557" t="s">
        <v>2048</v>
      </c>
      <c r="F55" s="2780" t="str">
        <f>IF(H55="正常",I55,"免征")</f>
        <v>免征</v>
      </c>
      <c r="G55" s="2781"/>
      <c r="H55" s="2776"/>
      <c r="I55" s="170">
        <f>'数据-取费表'!B49</f>
        <v>5.0000000000000001E-4</v>
      </c>
      <c r="J55" s="2749">
        <f>IF(H59="非个人房产","",4)</f>
        <v>4</v>
      </c>
      <c r="K55" s="3442" t="str">
        <f>IF(H59="非个人房产","——","个人所得税")</f>
        <v>个人所得税</v>
      </c>
      <c r="L55" s="3442"/>
      <c r="M55" s="2754">
        <f ca="1">D59</f>
        <v>462</v>
      </c>
      <c r="N55" s="2228" t="str">
        <f>E59</f>
        <v>差额计税</v>
      </c>
      <c r="O55" s="2755">
        <f>F59</f>
        <v>0.01</v>
      </c>
    </row>
    <row r="56" spans="1:35" ht="24.75">
      <c r="A56" s="3389" t="s">
        <v>2049</v>
      </c>
      <c r="B56" s="3390"/>
      <c r="C56" s="3390"/>
      <c r="D56" s="2547">
        <f ca="1">IF(H56="个人住宅",D57,D58)</f>
        <v>27495</v>
      </c>
      <c r="E56" s="2557" t="s">
        <v>2050</v>
      </c>
      <c r="F56" s="2780" t="str">
        <f>IF(H56="正常",F58,"免征")</f>
        <v>免征</v>
      </c>
      <c r="G56" s="2783" t="s">
        <v>2051</v>
      </c>
      <c r="H56" s="2784"/>
      <c r="I56" s="1994"/>
      <c r="J56" s="2749" t="str">
        <f>IF(项目基本情况!K6="上海银行",IF(J55="",4,J55+1),"")</f>
        <v/>
      </c>
      <c r="K56" s="3465" t="str">
        <f>IF(项目基本情况!K6="上海银行","其他处置费用","")</f>
        <v/>
      </c>
      <c r="L56" s="3466"/>
      <c r="M56" s="2751" t="str">
        <f>IF(项目基本情况!K6="上海银行",M69,"")</f>
        <v/>
      </c>
      <c r="N56" s="3465" t="str">
        <f>IF(项目基本情况!K6="上海银行","包含处置中涉及的律师、诉讼、拍卖、评估等费用","")</f>
        <v/>
      </c>
      <c r="O56" s="3468"/>
    </row>
    <row r="57" spans="1:35" ht="12.75">
      <c r="A57" s="2558" t="s">
        <v>2027</v>
      </c>
      <c r="B57" s="3400" t="s">
        <v>2052</v>
      </c>
      <c r="C57" s="3401"/>
      <c r="D57" s="1775">
        <v>0</v>
      </c>
      <c r="E57" s="330" t="s">
        <v>2029</v>
      </c>
      <c r="F57" s="308"/>
      <c r="G57" s="2781"/>
      <c r="H57" s="2785"/>
      <c r="I57" s="1994"/>
      <c r="J57" s="3442">
        <f>IF(AND(J55="",J56=""),4,IF(项目基本情况!K6="上海银行",结果表!J56+1,结果表!J55+1))</f>
        <v>5</v>
      </c>
      <c r="K57" s="3442" t="s">
        <v>2053</v>
      </c>
      <c r="L57" s="2756" t="s">
        <v>2054</v>
      </c>
      <c r="M57" s="2757"/>
      <c r="N57" s="2758">
        <f ca="1">SUMIF(M52:M56,"&lt;9e307")</f>
        <v>27981</v>
      </c>
      <c r="O57" s="2759"/>
      <c r="P57" s="2919">
        <f ca="1">N57/M49</f>
        <v>0.57691593987752832</v>
      </c>
    </row>
    <row r="58" spans="1:35" ht="24.75">
      <c r="A58" s="2558" t="s">
        <v>2038</v>
      </c>
      <c r="B58" s="3400" t="s">
        <v>2055</v>
      </c>
      <c r="C58" s="3374"/>
      <c r="D58" s="2547">
        <f ca="1">IF(H58="转让取得",C81,C97)</f>
        <v>27495</v>
      </c>
      <c r="E58" s="2557" t="s">
        <v>2050</v>
      </c>
      <c r="F58" s="308" t="s">
        <v>34</v>
      </c>
      <c r="G58" s="2781"/>
      <c r="H58" s="2784"/>
      <c r="I58" s="1994"/>
      <c r="J58" s="3442"/>
      <c r="K58" s="3442"/>
      <c r="L58" s="2756" t="s">
        <v>2056</v>
      </c>
      <c r="M58" s="2760"/>
      <c r="N58" s="2761" t="str">
        <f ca="1">NUMBERSTRING(INT(N57*10000),2)&amp;"元整"</f>
        <v>贰亿柒仟玖佰捌拾壹万元整</v>
      </c>
      <c r="O58" s="2762"/>
    </row>
    <row r="59" spans="1:35" ht="24.75" thickBot="1">
      <c r="A59" s="3445" t="s">
        <v>2057</v>
      </c>
      <c r="B59" s="3446"/>
      <c r="C59" s="3446"/>
      <c r="D59" s="2786">
        <f ca="1">IF(H59="非个人房产","——",IF(H59="个人住宅（满五唯一有凭证）",0,IF(H59="个人其他（无凭证）",ROUND(D45*F59,0),ROUND(C67*F59,0))))</f>
        <v>462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443">
        <f>J57+1</f>
        <v>6</v>
      </c>
      <c r="K59" s="3442" t="s">
        <v>2058</v>
      </c>
      <c r="L59" s="2749" t="s">
        <v>2054</v>
      </c>
      <c r="M59" s="2763"/>
      <c r="N59" s="2764">
        <f ca="1">M49-N57</f>
        <v>20520</v>
      </c>
      <c r="O59" s="2765"/>
    </row>
    <row r="60" spans="1:35" ht="12" customHeight="1">
      <c r="A60" s="1995"/>
      <c r="B60" s="1933"/>
      <c r="C60" s="1933"/>
      <c r="D60" s="1933"/>
      <c r="E60" s="1763"/>
      <c r="F60" s="1994"/>
      <c r="G60" s="1994"/>
      <c r="H60" s="1996"/>
      <c r="I60" s="134"/>
      <c r="J60" s="3444"/>
      <c r="K60" s="3442"/>
      <c r="L60" s="2756" t="s">
        <v>2056</v>
      </c>
      <c r="M60" s="2760"/>
      <c r="N60" s="2761" t="str">
        <f ca="1">NUMBERSTRING(INT(N59*10000),2)&amp;"元整"</f>
        <v>贰亿零伍佰贰拾万元整</v>
      </c>
      <c r="O60" s="2762"/>
    </row>
    <row r="61" spans="1:35" ht="13.5" thickBot="1">
      <c r="A61" s="3387" t="s">
        <v>2059</v>
      </c>
      <c r="B61" s="3387"/>
      <c r="C61" s="3387"/>
      <c r="D61" s="3387"/>
      <c r="E61" s="3387"/>
      <c r="F61" s="1994"/>
      <c r="G61" s="1994"/>
      <c r="H61" s="1996"/>
      <c r="I61" s="134"/>
      <c r="J61" s="2749">
        <f>J59+1</f>
        <v>7</v>
      </c>
      <c r="K61" s="3442" t="s">
        <v>2060</v>
      </c>
      <c r="L61" s="3442"/>
      <c r="M61" s="2766"/>
      <c r="N61" s="2767">
        <f ca="1">ROUND(N59*10000/'数据-汇总表'!E3,0)</f>
        <v>2559</v>
      </c>
      <c r="O61" s="2768"/>
    </row>
    <row r="62" spans="1:35" ht="12.75">
      <c r="A62" s="3405" t="s">
        <v>2061</v>
      </c>
      <c r="B62" s="3406"/>
      <c r="C62" s="2209"/>
      <c r="D62" s="2209" t="s">
        <v>2062</v>
      </c>
      <c r="E62" s="171" t="s">
        <v>2063</v>
      </c>
      <c r="F62" s="1994"/>
      <c r="G62" s="1994"/>
      <c r="H62" s="1996"/>
      <c r="I62" s="134"/>
    </row>
    <row r="63" spans="1:35" ht="12.75">
      <c r="A63" s="178" t="s">
        <v>775</v>
      </c>
      <c r="B63" s="172" t="s">
        <v>2064</v>
      </c>
      <c r="C63" s="2790">
        <f ca="1">ROUND((C64+C65)/(1+'数据-取费表'!C42),0)</f>
        <v>46191</v>
      </c>
      <c r="D63" s="172"/>
      <c r="E63" s="173"/>
      <c r="F63" s="1994"/>
      <c r="G63" s="1994"/>
      <c r="H63" s="1996"/>
      <c r="I63" s="134"/>
      <c r="J63" s="3467" t="s">
        <v>2065</v>
      </c>
      <c r="K63" s="1501" t="s">
        <v>2066</v>
      </c>
      <c r="L63" s="1501">
        <f ca="1">IF(M49&gt;10000,M49*0.5%,IF(AND(M49&gt;1000,M49&lt;=10000),M49*1%,IF(AND(M49&gt;100,M49&lt;=1000),M49*3%,IF(AND(M49&gt;10,M49&lt;=100),M49*5%,M49*8%))))</f>
        <v>242.505</v>
      </c>
      <c r="M63" s="308">
        <f ca="1">ROUND(L63,1)</f>
        <v>242.5</v>
      </c>
      <c r="N63" s="2769"/>
      <c r="Z63" s="1938"/>
      <c r="AI63" s="1939"/>
    </row>
    <row r="64" spans="1:35" ht="14.25" customHeight="1">
      <c r="A64" s="174" t="s">
        <v>770</v>
      </c>
      <c r="B64" s="175" t="s">
        <v>2067</v>
      </c>
      <c r="C64" s="2791">
        <f ca="1">D45</f>
        <v>48501</v>
      </c>
      <c r="D64" s="175" t="s">
        <v>32</v>
      </c>
      <c r="E64" s="177"/>
      <c r="F64" s="1994"/>
      <c r="G64" s="1994"/>
      <c r="H64" s="1996"/>
      <c r="I64" s="134"/>
      <c r="J64" s="3467"/>
      <c r="K64" s="1501" t="s">
        <v>2068</v>
      </c>
      <c r="L64" s="1501">
        <f ca="1">IF(M49&gt;2000,M49*0.5%,IF(AND(M49&gt;1000,M49&lt;=2000),M49*0.6%,IF(AND(M49&gt;500,M49&lt;=1000),M49*0.7%,IF(AND(M49&gt;200,M49&lt;=500),M49*0.8%,IF(AND(M49&gt;100,M49&lt;=200),M49*0.9%,IF(AND(M49&gt;50,M49&lt;=100),M49*1%,IF(AND(M49&gt;20,M49&lt;=50),M49*1.5%,IF(AND(M49&gt;10,M49&lt;=20),M49*2%,IF(AND(M49&gt;1,M49&lt;=10),M49*2.5%)))))))))</f>
        <v>242.505</v>
      </c>
      <c r="M64" s="308">
        <f t="shared" ref="M64:M65" ca="1" si="1">ROUND(L64,1)</f>
        <v>242.5</v>
      </c>
      <c r="N64" s="2770" t="s">
        <v>2069</v>
      </c>
      <c r="Z64" s="1938"/>
      <c r="AI64" s="1939"/>
    </row>
    <row r="65" spans="1:35" ht="14.25" customHeight="1">
      <c r="A65" s="174" t="s">
        <v>771</v>
      </c>
      <c r="B65" s="175" t="s">
        <v>2070</v>
      </c>
      <c r="C65" s="2792"/>
      <c r="D65" s="175"/>
      <c r="E65" s="177"/>
      <c r="F65" s="1994"/>
      <c r="G65" s="1994"/>
      <c r="H65" s="1996"/>
      <c r="I65" s="134"/>
      <c r="J65" s="3467"/>
      <c r="K65" s="1501" t="s">
        <v>2071</v>
      </c>
      <c r="L65" s="1501">
        <f ca="1">IF(M49&gt;1000,M49*0.1%,IF(AND(M49&gt;500,M49&lt;=1000),M49*0.5%,IF(AND(M49&gt;50,M49&lt;=500),M49*1%,IF(AND(M49&gt;1,M49&lt;=50),M49*1.5%))))</f>
        <v>48.500999999999998</v>
      </c>
      <c r="M65" s="308">
        <f t="shared" ca="1" si="1"/>
        <v>48.5</v>
      </c>
      <c r="N65" s="2770" t="s">
        <v>2069</v>
      </c>
      <c r="Z65" s="1938"/>
      <c r="AI65" s="1939"/>
    </row>
    <row r="66" spans="1:35" ht="14.25" customHeight="1">
      <c r="A66" s="178" t="s">
        <v>772</v>
      </c>
      <c r="B66" s="179" t="s">
        <v>2072</v>
      </c>
      <c r="C66" s="2793"/>
      <c r="D66" s="179" t="s">
        <v>32</v>
      </c>
      <c r="E66" s="1509" t="s">
        <v>1337</v>
      </c>
      <c r="F66" s="1994"/>
      <c r="G66" s="1994"/>
      <c r="H66" s="1996"/>
      <c r="I66" s="134"/>
      <c r="J66" s="3467"/>
      <c r="K66" s="1501" t="s">
        <v>2073</v>
      </c>
      <c r="L66" s="1501">
        <f ca="1">M49*0.5%</f>
        <v>242.505</v>
      </c>
      <c r="M66" s="308">
        <f ca="1">IF(L66&gt;0.5,0.5,ROUND(L66,0))</f>
        <v>0.5</v>
      </c>
      <c r="N66" s="2770" t="s">
        <v>2074</v>
      </c>
      <c r="Z66" s="1938"/>
      <c r="AI66" s="1939"/>
    </row>
    <row r="67" spans="1:35" ht="14.25" customHeight="1">
      <c r="A67" s="178" t="s">
        <v>773</v>
      </c>
      <c r="B67" s="179" t="s">
        <v>2075</v>
      </c>
      <c r="C67" s="2794">
        <f ca="1">C63-C66</f>
        <v>46191</v>
      </c>
      <c r="D67" s="175" t="s">
        <v>32</v>
      </c>
      <c r="E67" s="177"/>
      <c r="F67" s="1994"/>
      <c r="G67" s="1994"/>
      <c r="H67" s="1996"/>
      <c r="I67" s="134"/>
      <c r="J67" s="3467"/>
      <c r="K67" s="1501" t="s">
        <v>2076</v>
      </c>
      <c r="L67" s="1501">
        <f ca="1">IF(M49&gt;=10000,(8.25+(M49-10000)*0.01%),IF(AND(M49&gt;=8000,M49&lt;10000),(7.85+(M49-8000)*0.02%),IF(AND(M49&gt;=5000,M49&lt;8000),(6.65+(M49-5000)*0.04%),IF(AND(M49&gt;=2000,M49&lt;5000),(4.25+(PM49-2000)*0.08%),IF(AND(M49&gt;=1000,M49&lt;2000),(2.75+(M49-1000)*0.15%),IF(AND(M49&gt;=100,M49&lt;1000),(0.5+(M49-100)*0.25%),IF(AND(M49&gt;0,M49&lt;100),M49*0.5%)))))))</f>
        <v>12.100100000000001</v>
      </c>
      <c r="M67" s="308">
        <f ca="1">ROUND(L67*0.9,1)</f>
        <v>10.9</v>
      </c>
      <c r="N67" s="2769"/>
      <c r="Z67" s="1938"/>
      <c r="AI67" s="1939"/>
    </row>
    <row r="68" spans="1:35" ht="14.25" customHeight="1" thickBot="1">
      <c r="A68" s="181" t="s">
        <v>774</v>
      </c>
      <c r="B68" s="182" t="s">
        <v>2077</v>
      </c>
      <c r="C68" s="2795">
        <f ca="1">IF(C67&lt;=0,0,ROUND(C67*D68,0))</f>
        <v>2541</v>
      </c>
      <c r="D68" s="2796">
        <f>'数据-取费表'!B41</f>
        <v>5.5000000000000007E-2</v>
      </c>
      <c r="E68" s="184"/>
      <c r="F68" s="1994"/>
      <c r="G68" s="1994"/>
      <c r="H68" s="1996"/>
      <c r="I68" s="134"/>
      <c r="J68" s="3467"/>
      <c r="K68" s="1501" t="s">
        <v>2078</v>
      </c>
      <c r="L68" s="1501">
        <f ca="1">IF(M49&gt;10000,M49*0.5%,IF(AND(M49&gt;5000,M49&lt;=10000),M49*1%,IF(AND(M49&gt;1000,M49&lt;=5000),M49*2%,IF(AND(M49&gt;200,M49&lt;=1000),M49*3%,M49*5%))))</f>
        <v>242.505</v>
      </c>
      <c r="M68" s="308">
        <f ca="1">ROUND(L68,1)</f>
        <v>242.5</v>
      </c>
      <c r="N68" s="2769"/>
      <c r="Z68" s="1938"/>
      <c r="AI68" s="1939"/>
    </row>
    <row r="69" spans="1:35" s="1958" customFormat="1" ht="16.5" customHeight="1">
      <c r="A69" s="1997"/>
      <c r="B69" s="1998"/>
      <c r="C69" s="1999"/>
      <c r="D69" s="2000"/>
      <c r="E69" s="2001"/>
      <c r="F69" s="1763"/>
      <c r="G69" s="1763"/>
      <c r="H69" s="1762"/>
      <c r="I69" s="1933"/>
      <c r="J69" s="3467"/>
      <c r="K69" s="1501" t="s">
        <v>2079</v>
      </c>
      <c r="L69" s="1501"/>
      <c r="M69" s="308">
        <f ca="1">ROUND(SUM(M63:M68),0)</f>
        <v>787</v>
      </c>
      <c r="N69" s="2771">
        <f ca="1">M69/M49</f>
        <v>1.6226469557328715E-2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426" t="s">
        <v>2080</v>
      </c>
      <c r="B70" s="3427"/>
      <c r="C70" s="3427"/>
      <c r="D70" s="3427"/>
      <c r="E70" s="3427"/>
      <c r="F70" s="3427"/>
      <c r="G70" s="3427"/>
      <c r="H70" s="342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405" t="s">
        <v>2061</v>
      </c>
      <c r="B71" s="3406"/>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46191</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231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400" t="s">
        <v>2088</v>
      </c>
      <c r="F76" s="3374"/>
      <c r="G76" s="3374"/>
      <c r="H76" s="342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231</v>
      </c>
      <c r="D78" s="2803">
        <f>'数据-取费表'!B43</f>
        <v>5.000000000000001E-3</v>
      </c>
      <c r="E78" s="3384" t="s">
        <v>2092</v>
      </c>
      <c r="F78" s="3385"/>
      <c r="G78" s="3385"/>
      <c r="H78" s="339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45960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198.96103896103895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27495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426" t="s">
        <v>2096</v>
      </c>
      <c r="B83" s="3427"/>
      <c r="C83" s="3427"/>
      <c r="D83" s="3427"/>
      <c r="E83" s="3427"/>
      <c r="F83" s="3427"/>
      <c r="G83" s="3427"/>
      <c r="H83" s="342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405" t="s">
        <v>2061</v>
      </c>
      <c r="B84" s="3406"/>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46191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231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469" t="s">
        <v>2872</v>
      </c>
      <c r="H90" s="3470"/>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384" t="s">
        <v>2105</v>
      </c>
      <c r="F91" s="3385"/>
      <c r="G91" s="338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384" t="s">
        <v>2108</v>
      </c>
      <c r="F92" s="3385"/>
      <c r="G92" s="3385"/>
      <c r="H92" s="3394"/>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231</v>
      </c>
      <c r="D93" s="2803">
        <f>'数据-取费表'!B43</f>
        <v>5.000000000000001E-3</v>
      </c>
      <c r="E93" s="3384" t="s">
        <v>2092</v>
      </c>
      <c r="F93" s="3385"/>
      <c r="G93" s="3385"/>
      <c r="H93" s="339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395" t="s">
        <v>2112</v>
      </c>
      <c r="F94" s="3396"/>
      <c r="G94" s="3396"/>
      <c r="H94" s="339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45960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198.96103896103895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27495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368" t="s">
        <v>2114</v>
      </c>
      <c r="B100" s="3369"/>
      <c r="C100" s="3369"/>
      <c r="D100" s="3386"/>
      <c r="E100" s="3369" t="s">
        <v>2115</v>
      </c>
      <c r="F100" s="3369"/>
      <c r="G100" s="3369"/>
      <c r="H100" s="3386"/>
      <c r="I100" s="134"/>
    </row>
    <row r="101" spans="1:35" ht="18.75" customHeight="1">
      <c r="A101" s="3450" t="s">
        <v>2116</v>
      </c>
      <c r="B101" s="3451"/>
      <c r="C101" s="2811" t="str">
        <f>C4</f>
        <v>成本法</v>
      </c>
      <c r="D101" s="2812" t="str">
        <f>D4</f>
        <v>收益法</v>
      </c>
      <c r="E101" s="3464" t="s">
        <v>2117</v>
      </c>
      <c r="F101" s="3418"/>
      <c r="G101" s="2013" t="s">
        <v>2118</v>
      </c>
      <c r="H101" s="2821">
        <f ca="1">H118</f>
        <v>48501</v>
      </c>
      <c r="I101" s="134"/>
    </row>
    <row r="102" spans="1:35" ht="18.75" customHeight="1">
      <c r="A102" s="3420" t="s">
        <v>2119</v>
      </c>
      <c r="B102" s="2810" t="s">
        <v>2118</v>
      </c>
      <c r="C102" s="2811">
        <f ca="1">C19</f>
        <v>52615</v>
      </c>
      <c r="D102" s="2812">
        <f ca="1">D19</f>
        <v>44387</v>
      </c>
      <c r="E102" s="3464"/>
      <c r="F102" s="3418"/>
      <c r="G102" s="2013" t="s">
        <v>2120</v>
      </c>
      <c r="H102" s="2781">
        <f ca="1">I118</f>
        <v>6048</v>
      </c>
      <c r="I102" s="134"/>
    </row>
    <row r="103" spans="1:35" ht="42.75" customHeight="1">
      <c r="A103" s="3420"/>
      <c r="B103" s="2810" t="s">
        <v>2120</v>
      </c>
      <c r="C103" s="2813">
        <f ca="1">C20</f>
        <v>6561</v>
      </c>
      <c r="D103" s="2814">
        <f ca="1">D20</f>
        <v>5535</v>
      </c>
      <c r="E103" s="3458" t="s">
        <v>2121</v>
      </c>
      <c r="F103" s="3459"/>
      <c r="G103" s="2014" t="s">
        <v>2122</v>
      </c>
      <c r="H103" s="2821">
        <f>IF(D36="正常操作",H104+H105+H106,H105+H106)</f>
        <v>0</v>
      </c>
      <c r="I103" s="134"/>
    </row>
    <row r="104" spans="1:35" ht="18.75" customHeight="1">
      <c r="A104" s="3420" t="s">
        <v>2123</v>
      </c>
      <c r="B104" s="2815" t="s">
        <v>2118</v>
      </c>
      <c r="C104" s="2816">
        <f ca="1">H118</f>
        <v>48501</v>
      </c>
      <c r="D104" s="2817"/>
      <c r="E104" s="1860" t="s">
        <v>2124</v>
      </c>
      <c r="F104" s="1851"/>
      <c r="G104" s="2014" t="s">
        <v>2122</v>
      </c>
      <c r="H104" s="2822">
        <f>IF(D36="同一抵押权人同一抵押物续贷",C36&amp;"（续贷，未扣减，详见特别提示）",C36)</f>
        <v>0</v>
      </c>
      <c r="I104" s="134"/>
    </row>
    <row r="105" spans="1:35" ht="18.75" customHeight="1" thickBot="1">
      <c r="A105" s="3421"/>
      <c r="B105" s="2818" t="s">
        <v>2120</v>
      </c>
      <c r="C105" s="2819">
        <f ca="1">I118</f>
        <v>6048</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417" t="str">
        <f>IF(项目基本情况!E8="已注销","——","3.房地产抵押价值")</f>
        <v>3.房地产抵押价值</v>
      </c>
      <c r="F107" s="3418"/>
      <c r="G107" s="2013" t="s">
        <v>2118</v>
      </c>
      <c r="H107" s="2821">
        <f ca="1">IF(E107="——","——",H101-H103)</f>
        <v>48501</v>
      </c>
      <c r="I107" s="134"/>
    </row>
    <row r="108" spans="1:35" ht="18.75" customHeight="1">
      <c r="A108" s="134"/>
      <c r="B108" s="134"/>
      <c r="C108" s="134"/>
      <c r="D108" s="134"/>
      <c r="E108" s="3417"/>
      <c r="F108" s="3418"/>
      <c r="G108" s="2013" t="s">
        <v>2120</v>
      </c>
      <c r="H108" s="2781">
        <f ca="1">ROUND(H107*10000/'数据-汇总表'!E3,0)</f>
        <v>6048</v>
      </c>
      <c r="I108" s="134"/>
    </row>
    <row r="109" spans="1:35" ht="18.75" customHeight="1">
      <c r="A109" s="134"/>
      <c r="B109" s="134"/>
      <c r="C109" s="134"/>
      <c r="D109" s="134"/>
      <c r="E109" s="3417" t="str">
        <f>IF(项目基本情况!E8="已注销及未注销","4.抵押担保权已注销时的房地产抵押价值",IF(项目基本情况!E8="已注销","3.抵押担保权已注销时的房地产抵押价值","——"))</f>
        <v>——</v>
      </c>
      <c r="F109" s="3418"/>
      <c r="G109" s="2013" t="s">
        <v>2118</v>
      </c>
      <c r="H109" s="2824" t="str">
        <f>IF(E109="——","——",H101-H105-H106)</f>
        <v>——</v>
      </c>
      <c r="I109" s="134"/>
    </row>
    <row r="110" spans="1:35" ht="18.75" customHeight="1">
      <c r="A110" s="134"/>
      <c r="B110" s="134"/>
      <c r="C110" s="134"/>
      <c r="D110" s="134"/>
      <c r="E110" s="3417"/>
      <c r="F110" s="3418"/>
      <c r="G110" s="2013" t="s">
        <v>2120</v>
      </c>
      <c r="H110" s="2781" t="str">
        <f>IF(H109="——","——",ROUND(H109*10000/'数据-汇总表'!E3,0))</f>
        <v>——</v>
      </c>
      <c r="I110" s="134"/>
    </row>
    <row r="111" spans="1:35" ht="18.75" customHeight="1">
      <c r="A111" s="134"/>
      <c r="B111" s="134"/>
      <c r="C111" s="134"/>
      <c r="D111" s="134"/>
      <c r="E111" s="3452" t="str">
        <f>IF(项目基本情况!E9="抵押净值",IF(OR(项目基本情况!E8="已注销",项目基本情况!E8="房地产抵押价值"),"4.抵押净值","5.抵押净值"),"——")</f>
        <v>——</v>
      </c>
      <c r="F111" s="3419"/>
      <c r="G111" s="2013" t="s">
        <v>2118</v>
      </c>
      <c r="H111" s="2821" t="str">
        <f>IF(E111="——","——",N59)</f>
        <v>——</v>
      </c>
      <c r="I111" s="134"/>
    </row>
    <row r="112" spans="1:35" ht="18.75" customHeight="1" thickBot="1">
      <c r="A112" s="134"/>
      <c r="B112" s="134"/>
      <c r="C112" s="134"/>
      <c r="D112" s="134"/>
      <c r="E112" s="3453"/>
      <c r="F112" s="3454"/>
      <c r="G112" s="2016" t="s">
        <v>2120</v>
      </c>
      <c r="H112" s="2825" t="str">
        <f>IF(E111="——","——",N61)</f>
        <v>——</v>
      </c>
      <c r="I112" s="134"/>
    </row>
    <row r="113" spans="1:27" ht="18.75" customHeight="1">
      <c r="A113" s="134"/>
      <c r="B113" s="134"/>
      <c r="C113" s="134"/>
      <c r="D113" s="134"/>
      <c r="E113" s="3422" t="s">
        <v>2126</v>
      </c>
      <c r="F113" s="3422"/>
      <c r="G113" s="3422"/>
      <c r="H113" s="3422"/>
      <c r="I113" s="134"/>
    </row>
    <row r="114" spans="1:27" ht="3.75" customHeight="1">
      <c r="A114" s="1933"/>
      <c r="B114" s="1933"/>
      <c r="C114" s="1933"/>
      <c r="D114" s="1933"/>
      <c r="E114" s="1995"/>
      <c r="F114" s="1995"/>
      <c r="G114" s="1995"/>
      <c r="H114" s="1995"/>
      <c r="I114" s="1933"/>
    </row>
    <row r="115" spans="1:27" ht="18.75" customHeight="1">
      <c r="A115" s="3435" t="s">
        <v>2128</v>
      </c>
      <c r="B115" s="3436"/>
      <c r="C115" s="3436"/>
      <c r="D115" s="3436"/>
      <c r="E115" s="3436"/>
      <c r="F115" s="3436"/>
      <c r="G115" s="3436"/>
      <c r="H115" s="3436"/>
      <c r="I115" s="3437"/>
    </row>
    <row r="116" spans="1:27" ht="27" customHeight="1">
      <c r="A116" s="3388" t="s">
        <v>2129</v>
      </c>
      <c r="B116" s="3423" t="s">
        <v>2130</v>
      </c>
      <c r="C116" s="3423" t="s">
        <v>2131</v>
      </c>
      <c r="D116" s="3439" t="s">
        <v>2132</v>
      </c>
      <c r="E116" s="3440"/>
      <c r="F116" s="3431" t="s">
        <v>2133</v>
      </c>
      <c r="G116" s="3431"/>
      <c r="H116" s="3388" t="s">
        <v>2134</v>
      </c>
      <c r="I116" s="3388"/>
    </row>
    <row r="117" spans="1:27" ht="18.75" customHeight="1">
      <c r="A117" s="3388"/>
      <c r="B117" s="3424"/>
      <c r="C117" s="3424"/>
      <c r="D117" s="2552" t="s">
        <v>2135</v>
      </c>
      <c r="E117" s="2552" t="s">
        <v>2136</v>
      </c>
      <c r="F117" s="2552" t="s">
        <v>2135</v>
      </c>
      <c r="G117" s="2552" t="s">
        <v>2137</v>
      </c>
      <c r="H117" s="2552" t="s">
        <v>2135</v>
      </c>
      <c r="I117" s="2552" t="s">
        <v>2137</v>
      </c>
    </row>
    <row r="118" spans="1:27" ht="24.75" customHeight="1">
      <c r="A118" s="2826" t="str">
        <f>项目基本情况!S2</f>
        <v>房地产</v>
      </c>
      <c r="B118" s="2552">
        <f>M18</f>
        <v>80197.850000000006</v>
      </c>
      <c r="C118" s="2552">
        <f>M19</f>
        <v>34634.379999999997</v>
      </c>
      <c r="D118" s="2552">
        <f ca="1">ROUND(IF(D32="总价",C34,E118*B118/10000),0)</f>
        <v>8827</v>
      </c>
      <c r="E118" s="2552">
        <f ca="1">ROUND(IF(C33="自定义",IF(D32="楼面单价",C34,D118*10000/B118),I118-G118),0)</f>
        <v>1101</v>
      </c>
      <c r="F118" s="2552">
        <f ca="1">ROUND(IF(D32="总价",C35,G118*B118/10000),0)</f>
        <v>39674</v>
      </c>
      <c r="G118" s="2552">
        <f ca="1">ROUND(IF(D32="楼面单价",C35,F118*10000/B118),0)</f>
        <v>4947</v>
      </c>
      <c r="H118" s="2552">
        <f ca="1">ROUND(IF(D32="总价",C32,I118*B118/10000),0)</f>
        <v>48501</v>
      </c>
      <c r="I118" s="2552">
        <f ca="1">ROUND(IF(D32="楼面单价",C32,H118*10000/B118),0)</f>
        <v>6048</v>
      </c>
    </row>
    <row r="119" spans="1:27" ht="18.75" customHeight="1">
      <c r="A119" s="3388" t="s">
        <v>2138</v>
      </c>
      <c r="B119" s="3388"/>
      <c r="C119" s="3388"/>
      <c r="D119" s="3428" t="str">
        <f ca="1">NUMBERSTRING(INT(D118*10000),2)&amp;"元整"</f>
        <v>捌仟捌佰贰拾柒万元整</v>
      </c>
      <c r="E119" s="3430"/>
      <c r="F119" s="3428" t="str">
        <f ca="1">NUMBERSTRING(INT(F118*10000),2)&amp;"元整"</f>
        <v>叁亿玖仟陆佰柒拾肆万元整</v>
      </c>
      <c r="G119" s="3430"/>
      <c r="H119" s="3428" t="str">
        <f ca="1">NUMBERSTRING(INT(H118*10000),2)&amp;"元整"</f>
        <v>肆亿捌仟伍佰零壹万元整</v>
      </c>
      <c r="I119" s="3430"/>
    </row>
    <row r="120" spans="1:27" ht="18.75" customHeight="1">
      <c r="A120" s="3455" t="str">
        <f>IF(项目基本情况!B9="房地产市场价值","",MID(E103,3,LEN(E103)-2))</f>
        <v>估价师知悉的法定优先受偿款</v>
      </c>
      <c r="B120" s="3456"/>
      <c r="C120" s="3457"/>
      <c r="D120" s="3455">
        <f>H103</f>
        <v>0</v>
      </c>
      <c r="E120" s="3456"/>
      <c r="F120" s="3456"/>
      <c r="G120" s="3456"/>
      <c r="H120" s="3456"/>
      <c r="I120" s="345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432" t="s">
        <v>2138</v>
      </c>
      <c r="B121" s="3433"/>
      <c r="C121" s="3434"/>
      <c r="D121" s="3428" t="str">
        <f>IF(D120=0,"零元整",NUMBERSTRING(INT(D120*10000),2)&amp;"元整")</f>
        <v>零元整</v>
      </c>
      <c r="E121" s="3429"/>
      <c r="F121" s="3429"/>
      <c r="G121" s="3429"/>
      <c r="H121" s="3429"/>
      <c r="I121" s="3430"/>
      <c r="AA121" s="734"/>
    </row>
    <row r="122" spans="1:27" ht="18.75" customHeight="1">
      <c r="A122" s="3419" t="str">
        <f>IF(项目基本情况!B9="房地产市场价值","",MID(E107,3,LEN(E107)-2))</f>
        <v>房地产抵押价值</v>
      </c>
      <c r="B122" s="3419"/>
      <c r="C122" s="3419"/>
      <c r="D122" s="3455">
        <f ca="1">H107</f>
        <v>48501</v>
      </c>
      <c r="E122" s="3456"/>
      <c r="F122" s="3456"/>
      <c r="G122" s="3456"/>
      <c r="H122" s="3456"/>
      <c r="I122" s="3457"/>
      <c r="AA122" s="734"/>
    </row>
    <row r="123" spans="1:27" ht="18.75" customHeight="1">
      <c r="A123" s="3388" t="s">
        <v>2138</v>
      </c>
      <c r="B123" s="3388"/>
      <c r="C123" s="3388"/>
      <c r="D123" s="3428" t="str">
        <f ca="1">NUMBERSTRING(INT(D122*10000),2)&amp;"元整"</f>
        <v>肆亿捌仟伍佰零壹万元整</v>
      </c>
      <c r="E123" s="3429"/>
      <c r="F123" s="3429"/>
      <c r="G123" s="3429"/>
      <c r="H123" s="3429"/>
      <c r="I123" s="3430"/>
      <c r="AA123" s="734"/>
    </row>
    <row r="124" spans="1:27" ht="18.75" customHeight="1">
      <c r="A124" s="3419" t="str">
        <f>IF(项目基本情况!B9="房地产市场价值","",MID(E109,3,LEN(E109)-2))</f>
        <v/>
      </c>
      <c r="B124" s="3419"/>
      <c r="C124" s="3419"/>
      <c r="D124" s="3455" t="str">
        <f>H109</f>
        <v>——</v>
      </c>
      <c r="E124" s="3456"/>
      <c r="F124" s="3456"/>
      <c r="G124" s="3456"/>
      <c r="H124" s="3456"/>
      <c r="I124" s="3457"/>
      <c r="AA124" s="734"/>
    </row>
    <row r="125" spans="1:27" ht="18.75" customHeight="1">
      <c r="A125" s="3388" t="s">
        <v>2138</v>
      </c>
      <c r="B125" s="3388"/>
      <c r="C125" s="3388"/>
      <c r="D125" s="3428" t="e">
        <f>NUMBERSTRING(INT(D124*10000),2)&amp;"元整"</f>
        <v>#VALUE!</v>
      </c>
      <c r="E125" s="3429"/>
      <c r="F125" s="3429"/>
      <c r="G125" s="3429"/>
      <c r="H125" s="3429"/>
      <c r="I125" s="3430"/>
      <c r="AA125" s="734"/>
    </row>
    <row r="126" spans="1:27" ht="18.75" customHeight="1">
      <c r="A126" s="3419" t="str">
        <f>IF(项目基本情况!B9="房地产市场价值","",MID(E111,3,LEN(E111)-2))</f>
        <v/>
      </c>
      <c r="B126" s="3419"/>
      <c r="C126" s="3419"/>
      <c r="D126" s="3455" t="str">
        <f>H111</f>
        <v>——</v>
      </c>
      <c r="E126" s="3456"/>
      <c r="F126" s="3456"/>
      <c r="G126" s="3456"/>
      <c r="H126" s="3456"/>
      <c r="I126" s="3457"/>
      <c r="AA126" s="734"/>
    </row>
    <row r="127" spans="1:27" ht="18.75" customHeight="1">
      <c r="A127" s="3388" t="s">
        <v>2138</v>
      </c>
      <c r="B127" s="3388"/>
      <c r="C127" s="3388"/>
      <c r="D127" s="3428" t="e">
        <f>NUMBERSTRING(INT(D126*10000),2)&amp;"元整"</f>
        <v>#VALUE!</v>
      </c>
      <c r="E127" s="3429"/>
      <c r="F127" s="3429"/>
      <c r="G127" s="3429"/>
      <c r="H127" s="3429"/>
      <c r="I127" s="3430"/>
      <c r="AA127" s="734"/>
    </row>
    <row r="128" spans="1:27" ht="21.75" customHeight="1">
      <c r="A128" s="3438" t="s">
        <v>2139</v>
      </c>
      <c r="B128" s="3438"/>
      <c r="C128" s="3438"/>
      <c r="D128" s="3438"/>
      <c r="E128" s="3438"/>
      <c r="F128" s="3438"/>
      <c r="G128" s="3438"/>
      <c r="H128" s="3438"/>
      <c r="I128" s="343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82" t="str">
        <f>项目基本情况!B1</f>
        <v>房地产抵押价值预评估</v>
      </c>
      <c r="C37" s="3282"/>
      <c r="D37" s="3282"/>
      <c r="E37" s="3282"/>
      <c r="F37" s="3282"/>
      <c r="G37" s="3282"/>
      <c r="H37" s="3282"/>
      <c r="I37" s="328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D28" sqref="D2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52615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6561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6994</v>
      </c>
      <c r="D5" s="217" t="s">
        <v>2155</v>
      </c>
      <c r="E5" s="218" t="s">
        <v>2156</v>
      </c>
      <c r="F5" s="218" t="s">
        <v>2157</v>
      </c>
      <c r="G5" s="219"/>
    </row>
    <row r="6" spans="1:9" s="220" customFormat="1" ht="13.5" customHeight="1">
      <c r="A6" s="886" t="s">
        <v>2158</v>
      </c>
      <c r="B6" s="221" t="s">
        <v>2159</v>
      </c>
      <c r="C6" s="222">
        <f>'土地比较法-住宅、综合'!F56</f>
        <v>5308</v>
      </c>
      <c r="D6" s="223"/>
      <c r="E6" s="224"/>
      <c r="F6" s="224"/>
      <c r="G6" s="225"/>
    </row>
    <row r="7" spans="1:9" s="220" customFormat="1" ht="13.5" customHeight="1">
      <c r="A7" s="886" t="s">
        <v>2160</v>
      </c>
      <c r="B7" s="221" t="s">
        <v>2161</v>
      </c>
      <c r="C7" s="226">
        <f>ROUND(C6*F7,0)</f>
        <v>162</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1524</v>
      </c>
      <c r="D8" s="228"/>
      <c r="E8" s="226"/>
      <c r="F8" s="227"/>
      <c r="G8" s="2042" t="s">
        <v>4071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190</v>
      </c>
      <c r="F9" s="227"/>
      <c r="G9" s="2043"/>
      <c r="H9" s="1299"/>
      <c r="I9" s="2044" t="s">
        <v>2165</v>
      </c>
    </row>
    <row r="10" spans="1:9" s="220" customFormat="1" ht="13.5" customHeight="1">
      <c r="A10" s="887" t="s">
        <v>801</v>
      </c>
      <c r="B10" s="230" t="s">
        <v>2166</v>
      </c>
      <c r="C10" s="231">
        <f ca="1">ROUND(D10*E10/10000,0)</f>
        <v>1524</v>
      </c>
      <c r="D10" s="954">
        <f ca="1">IF(B1="",'数据-汇总表'!E6,IF(INDIRECT("'数据-取费表'!c"&amp;$G$1)="住宅",INDIRECT("'数据-取费表'!s"&amp;$G$1),INDIRECT("'数据-取费表'!k"&amp;$G$1)+INDIRECT("'数据-取费表'!s"&amp;$G$1)))</f>
        <v>80197.850000000006</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80197.850000000006</v>
      </c>
      <c r="E19" s="217">
        <f>'数据-取费表'!B31</f>
        <v>200</v>
      </c>
      <c r="F19" s="237"/>
      <c r="G19" s="2042" t="s">
        <v>4072</v>
      </c>
    </row>
    <row r="20" spans="1:7" s="220" customFormat="1" ht="13.5" customHeight="1">
      <c r="A20" s="261" t="s">
        <v>2179</v>
      </c>
      <c r="B20" s="216" t="s">
        <v>2180</v>
      </c>
      <c r="C20" s="238">
        <f ca="1">ROUND((C5+C19)*F20,0)</f>
        <v>140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628</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622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1070</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1070</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9562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35126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32079</v>
      </c>
      <c r="D34" s="223"/>
      <c r="E34" s="226"/>
      <c r="F34" s="263">
        <f ca="1">IF('数据-取费表'!B24=0,1,IF(B1="",'数据-取费表'!N16,INDIRECT("'数据-取费表'!n"&amp;$G$1)))</f>
        <v>1</v>
      </c>
      <c r="G34" s="225" t="s">
        <v>2212</v>
      </c>
    </row>
    <row r="35" spans="1:7" ht="13.5" customHeight="1">
      <c r="A35" s="888" t="s">
        <v>796</v>
      </c>
      <c r="B35" s="221" t="s">
        <v>2213</v>
      </c>
      <c r="C35" s="226">
        <f ca="1">ROUND(C34*F35,0)</f>
        <v>962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1604</v>
      </c>
      <c r="D37" s="223">
        <f ca="1">D19</f>
        <v>80197.850000000006</v>
      </c>
      <c r="E37" s="255">
        <f>'数据-取费表'!B35</f>
        <v>200</v>
      </c>
      <c r="F37" s="265"/>
      <c r="G37" s="267" t="s">
        <v>2218</v>
      </c>
    </row>
    <row r="38" spans="1:7" ht="13.5" customHeight="1">
      <c r="A38" s="888" t="s">
        <v>799</v>
      </c>
      <c r="B38" s="221" t="s">
        <v>2219</v>
      </c>
      <c r="C38" s="226">
        <f ca="1">ROUND(C34*F38,0)</f>
        <v>481</v>
      </c>
      <c r="D38" s="226"/>
      <c r="E38" s="226"/>
      <c r="F38" s="265">
        <f>'数据-取费表'!B36</f>
        <v>1.4999999999999999E-2</v>
      </c>
      <c r="G38" s="225" t="s">
        <v>2214</v>
      </c>
    </row>
    <row r="39" spans="1:7" s="220" customFormat="1" ht="13.5" customHeight="1">
      <c r="A39" s="261" t="s">
        <v>2220</v>
      </c>
      <c r="B39" s="216" t="s">
        <v>2221</v>
      </c>
      <c r="C39" s="238">
        <f ca="1">ROUND(C33*F20,0)</f>
        <v>703</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1559</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1528</v>
      </c>
      <c r="D42" s="244"/>
      <c r="E42" s="244"/>
      <c r="F42" s="245"/>
      <c r="G42" s="3471" t="s">
        <v>2230</v>
      </c>
    </row>
    <row r="43" spans="1:7" ht="13.5" customHeight="1">
      <c r="A43" s="888" t="s">
        <v>792</v>
      </c>
      <c r="B43" s="221" t="s">
        <v>2231</v>
      </c>
      <c r="C43" s="244">
        <f ca="1">ROUND(IF('数据-取费表'!B22&lt;=1,C39*F22*'数据-取费表'!B21/2,C39*(POWER((1+F22),'数据-取费表'!B21/2)-1)),0)</f>
        <v>31</v>
      </c>
      <c r="D43" s="244"/>
      <c r="E43" s="244"/>
      <c r="F43" s="245"/>
      <c r="G43" s="3472"/>
    </row>
    <row r="44" spans="1:7" ht="13.5" customHeight="1">
      <c r="A44" s="888" t="s">
        <v>793</v>
      </c>
      <c r="B44" s="221" t="s">
        <v>2232</v>
      </c>
      <c r="C44" s="244">
        <f ca="1">ROUND(IF('数据-取费表'!B22&lt;=1,C40*F22*'数据-取费表'!B21/2,C40*(POWER((1+F22),'数据-取费表'!B21/2)-1)),4)</f>
        <v>8.9999999999999998E-4</v>
      </c>
      <c r="D44" s="244"/>
      <c r="E44" s="244"/>
      <c r="F44" s="245"/>
      <c r="G44" s="3473"/>
    </row>
    <row r="45" spans="1:7" s="220" customFormat="1" ht="13.5" customHeight="1">
      <c r="A45" s="261" t="s">
        <v>2233</v>
      </c>
      <c r="B45" s="250" t="s">
        <v>2199</v>
      </c>
      <c r="C45" s="251">
        <f ca="1">C46</f>
        <v>5374</v>
      </c>
      <c r="D45" s="241">
        <f ca="1">C47</f>
        <v>3.0000000000000001E-3</v>
      </c>
      <c r="E45" s="242" t="s">
        <v>2225</v>
      </c>
      <c r="F45" s="2537">
        <f ca="1">F27</f>
        <v>0.15</v>
      </c>
      <c r="G45" s="253" t="s">
        <v>2234</v>
      </c>
    </row>
    <row r="46" spans="1:7" s="220" customFormat="1" ht="13.5" customHeight="1">
      <c r="A46" s="888" t="s">
        <v>791</v>
      </c>
      <c r="B46" s="254" t="s">
        <v>2235</v>
      </c>
      <c r="C46" s="255">
        <f ca="1">ROUND((C33+C39)*F27,0)</f>
        <v>5374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46294</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43053</v>
      </c>
      <c r="D51" s="238"/>
      <c r="E51" s="238"/>
      <c r="F51" s="270"/>
      <c r="G51" s="240" t="s">
        <v>2246</v>
      </c>
    </row>
    <row r="52" spans="1:7" s="214" customFormat="1" ht="16.5" thickBot="1">
      <c r="A52" s="271" t="s">
        <v>2247</v>
      </c>
      <c r="B52" s="272"/>
      <c r="C52" s="273">
        <f ca="1">C31+C51</f>
        <v>52615</v>
      </c>
      <c r="D52" s="272"/>
      <c r="E52" s="272"/>
      <c r="F52" s="272"/>
      <c r="G52" s="274"/>
    </row>
    <row r="55" spans="1:7" ht="15">
      <c r="B55" s="276" t="s">
        <v>2248</v>
      </c>
      <c r="C55" s="277"/>
    </row>
    <row r="56" spans="1:7">
      <c r="B56" s="279" t="s">
        <v>1478</v>
      </c>
      <c r="C56" s="281">
        <f ca="1">1-C57</f>
        <v>0.18200000000000005</v>
      </c>
    </row>
    <row r="57" spans="1:7">
      <c r="B57" s="279" t="s">
        <v>1479</v>
      </c>
      <c r="C57" s="280">
        <f ca="1">ROUND(C51/C52,3)</f>
        <v>0.81799999999999995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47330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5902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15237592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15237592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190</v>
      </c>
      <c r="F9" s="227"/>
      <c r="G9" s="232"/>
    </row>
    <row r="10" spans="1:8" s="220" customFormat="1" ht="13.5" customHeight="1">
      <c r="A10" s="887" t="s">
        <v>801</v>
      </c>
      <c r="B10" s="230" t="s">
        <v>2166</v>
      </c>
      <c r="C10" s="231">
        <f ca="1">ROUND(D10*E10,0)</f>
        <v>15237592</v>
      </c>
      <c r="D10" s="954">
        <f ca="1">IF(B1="",'数据-汇总表'!E6,IF(INDIRECT("'数据-取费表'!c"&amp;$G$1)="住宅",INDIRECT("'数据-取费表'!s"&amp;$G$1),INDIRECT("'数据-取费表'!k"&amp;$G$1)+INDIRECT("'数据-取费表'!s"&amp;$G$1)))</f>
        <v>80197.850000000006</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16039570</v>
      </c>
      <c r="D19" s="958">
        <f ca="1">D9+D10</f>
        <v>80197.850000000006</v>
      </c>
      <c r="E19" s="217">
        <f>'数据-取费表'!B31</f>
        <v>200</v>
      </c>
      <c r="F19" s="237"/>
      <c r="G19" s="2042"/>
    </row>
    <row r="20" spans="1:7" s="220" customFormat="1" ht="13.5" customHeight="1">
      <c r="A20" s="261" t="s">
        <v>2260</v>
      </c>
      <c r="B20" s="216" t="s">
        <v>2261</v>
      </c>
      <c r="C20" s="238">
        <f ca="1">ROUND((C5+C19)*F20,0)</f>
        <v>625543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2807508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1354504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1425793</v>
      </c>
      <c r="D24" s="244"/>
      <c r="E24" s="244"/>
      <c r="F24" s="245"/>
      <c r="G24" s="246" t="s">
        <v>2272</v>
      </c>
    </row>
    <row r="25" spans="1:7" s="220" customFormat="1" ht="24">
      <c r="A25" s="888" t="s">
        <v>2162</v>
      </c>
      <c r="B25" s="221" t="s">
        <v>2273</v>
      </c>
      <c r="C25" s="1290">
        <f ca="1">ROUND(IF('数据-取费表'!B22&lt;=1,C20*F22*'数据-取费表'!B22/2,C20*(POWER((1+F22),'数据-取费表'!B22/2)-1)),0)</f>
        <v>27211</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4785406</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4785406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42758059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351266583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320791400</v>
      </c>
      <c r="D34" s="223"/>
      <c r="E34" s="226"/>
      <c r="F34" s="263"/>
      <c r="G34" s="225"/>
    </row>
    <row r="35" spans="1:7" ht="13.5" customHeight="1">
      <c r="A35" s="888" t="s">
        <v>796</v>
      </c>
      <c r="B35" s="221" t="s">
        <v>2213</v>
      </c>
      <c r="C35" s="226">
        <f ca="1">ROUND(C34*F35,0)</f>
        <v>9623742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16039570</v>
      </c>
      <c r="D37" s="223">
        <f ca="1">D19</f>
        <v>80197.850000000006</v>
      </c>
      <c r="E37" s="255">
        <f>'数据-取费表'!B35</f>
        <v>200</v>
      </c>
      <c r="F37" s="265"/>
      <c r="G37" s="267"/>
    </row>
    <row r="38" spans="1:7" ht="13.5" customHeight="1">
      <c r="A38" s="888" t="s">
        <v>799</v>
      </c>
      <c r="B38" s="221" t="s">
        <v>2219</v>
      </c>
      <c r="C38" s="226">
        <f ca="1">ROUND(C34*F38,0)</f>
        <v>4811871</v>
      </c>
      <c r="D38" s="226"/>
      <c r="E38" s="226"/>
      <c r="F38" s="265">
        <f>'数据-取费表'!B36</f>
        <v>1.4999999999999999E-2</v>
      </c>
      <c r="G38" s="225" t="s">
        <v>2214</v>
      </c>
    </row>
    <row r="39" spans="1:7" s="220" customFormat="1" ht="13.5" customHeight="1">
      <c r="A39" s="261" t="s">
        <v>2220</v>
      </c>
      <c r="B39" s="216" t="s">
        <v>2221</v>
      </c>
      <c r="C39" s="238">
        <f ca="1">ROUND(C33*F20,0)</f>
        <v>7025332</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15585698</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15280096</v>
      </c>
      <c r="D42" s="244"/>
      <c r="E42" s="244"/>
      <c r="F42" s="245"/>
      <c r="G42" s="3471" t="s">
        <v>2277</v>
      </c>
    </row>
    <row r="43" spans="1:7" ht="13.5" customHeight="1">
      <c r="A43" s="888" t="s">
        <v>792</v>
      </c>
      <c r="B43" s="221" t="s">
        <v>2231</v>
      </c>
      <c r="C43" s="244">
        <f ca="1">ROUND(IF('数据-取费表'!B22&lt;=1,C39*F22*'数据-取费表'!B20/2,C39*(POWER((1+F22),'数据-取费表'!B20/2)-1)),0)</f>
        <v>305602</v>
      </c>
      <c r="D43" s="244"/>
      <c r="E43" s="244"/>
      <c r="F43" s="245"/>
      <c r="G43" s="3472"/>
    </row>
    <row r="44" spans="1:7" ht="13.5" customHeight="1">
      <c r="A44" s="888" t="s">
        <v>793</v>
      </c>
      <c r="B44" s="221" t="s">
        <v>2232</v>
      </c>
      <c r="C44" s="244">
        <f ca="1">ROUND(IF('数据-取费表'!B22&lt;=1,C40*F22*'数据-取费表'!B20/2,C40*(POWER((1+F22),'数据-取费表'!B20/2)-1)),4)</f>
        <v>8.9999999999999998E-4</v>
      </c>
      <c r="D44" s="244"/>
      <c r="E44" s="244"/>
      <c r="F44" s="245"/>
      <c r="G44" s="3473"/>
    </row>
    <row r="45" spans="1:7" s="220" customFormat="1" ht="13.5" customHeight="1">
      <c r="A45" s="261" t="s">
        <v>2233</v>
      </c>
      <c r="B45" s="250" t="s">
        <v>2199</v>
      </c>
      <c r="C45" s="251">
        <f ca="1">C46</f>
        <v>53743787</v>
      </c>
      <c r="D45" s="241">
        <f ca="1">C47</f>
        <v>3.0000000000000001E-3</v>
      </c>
      <c r="E45" s="242" t="s">
        <v>2225</v>
      </c>
      <c r="F45" s="2537">
        <f ca="1">F27</f>
        <v>0.15</v>
      </c>
      <c r="G45" s="253" t="s">
        <v>2234</v>
      </c>
    </row>
    <row r="46" spans="1:7" s="220" customFormat="1" ht="13.5" customHeight="1">
      <c r="A46" s="888" t="s">
        <v>791</v>
      </c>
      <c r="B46" s="254" t="s">
        <v>2235</v>
      </c>
      <c r="C46" s="255">
        <f ca="1">ROUND((C33+C39)*F27,0)</f>
        <v>53743787</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462944029</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430537947</v>
      </c>
      <c r="D51" s="238"/>
      <c r="E51" s="238"/>
      <c r="F51" s="270"/>
      <c r="G51" s="240" t="s">
        <v>2246</v>
      </c>
    </row>
    <row r="52" spans="1:7" s="214" customFormat="1" ht="16.5" thickBot="1">
      <c r="A52" s="271" t="s">
        <v>2247</v>
      </c>
      <c r="B52" s="272"/>
      <c r="C52" s="273">
        <f ca="1">C31+C51</f>
        <v>473296006</v>
      </c>
      <c r="D52" s="272"/>
      <c r="E52" s="272"/>
      <c r="F52" s="272"/>
      <c r="G52" s="274"/>
    </row>
    <row r="55" spans="1:7" ht="15">
      <c r="B55" s="276" t="s">
        <v>2248</v>
      </c>
      <c r="C55" s="277"/>
    </row>
    <row r="56" spans="1:7">
      <c r="B56" s="279" t="s">
        <v>1478</v>
      </c>
      <c r="C56" s="281">
        <f ca="1">1-C57</f>
        <v>8.9999999999999969E-2</v>
      </c>
    </row>
    <row r="57" spans="1:7">
      <c r="B57" s="279" t="s">
        <v>1479</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80197.850000000006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80197.850000000006</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190</v>
      </c>
      <c r="F19" s="913"/>
      <c r="G19" s="15"/>
      <c r="H19" s="1351"/>
      <c r="I19" s="918"/>
      <c r="J19" s="918"/>
      <c r="K19" s="919"/>
    </row>
    <row r="20" spans="1:33" s="912" customFormat="1" ht="13.5" customHeight="1">
      <c r="A20" s="908" t="s">
        <v>806</v>
      </c>
      <c r="B20" s="909" t="s">
        <v>2316</v>
      </c>
      <c r="C20" s="24">
        <f ca="1">ROUND(D20*E20/10000,0)</f>
        <v>1524</v>
      </c>
      <c r="D20" s="955">
        <f ca="1">IF(C1="",'数据-汇总表'!E6,IF(INDIRECT("'数据-取费表'!c"&amp;$K$1)="住宅",INDIRECT("'数据-取费表'!s"&amp;$K$1),INDIRECT("'数据-取费表'!k"&amp;$K$1)+INDIRECT("'数据-取费表'!s"&amp;$K$1)))</f>
        <v>80197.850000000006</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21" zoomScaleNormal="60" zoomScaleSheetLayoutView="100" workbookViewId="0">
      <selection activeCell="A63" sqref="A6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5308</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662</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78" t="s">
        <v>2467</v>
      </c>
      <c r="D4" s="3491"/>
      <c r="E4" s="3492" t="s">
        <v>2468</v>
      </c>
      <c r="F4" s="3493"/>
      <c r="G4" s="3478" t="s">
        <v>2469</v>
      </c>
      <c r="H4" s="3491"/>
      <c r="I4" s="3478" t="s">
        <v>2470</v>
      </c>
      <c r="J4" s="3491"/>
      <c r="K4" s="567" t="s">
        <v>2471</v>
      </c>
      <c r="L4" s="2944"/>
      <c r="M4" s="2945"/>
      <c r="N4" s="2945"/>
      <c r="O4" s="2945"/>
      <c r="P4" s="3494" t="s">
        <v>2472</v>
      </c>
      <c r="Q4" s="3495"/>
      <c r="R4" s="3500" t="s">
        <v>2468</v>
      </c>
      <c r="S4" s="3501"/>
      <c r="T4" s="3500" t="s">
        <v>2469</v>
      </c>
      <c r="U4" s="3501"/>
      <c r="V4" s="3487" t="s">
        <v>2470</v>
      </c>
      <c r="W4" s="3487"/>
      <c r="X4" s="1539"/>
      <c r="Y4" s="3500" t="s">
        <v>2472</v>
      </c>
      <c r="Z4" s="3501"/>
      <c r="AA4" s="3488" t="s">
        <v>2468</v>
      </c>
      <c r="AB4" s="3489" t="s">
        <v>2469</v>
      </c>
      <c r="AC4" s="3488" t="s">
        <v>2470</v>
      </c>
    </row>
    <row r="5" spans="1:30" ht="15">
      <c r="A5" s="364"/>
      <c r="B5" s="365"/>
      <c r="C5" s="3508" t="s">
        <v>2363</v>
      </c>
      <c r="D5" s="3509"/>
      <c r="E5" s="3515" t="str">
        <f>土地案例!A5</f>
        <v xml:space="preserve">涪陵区江东街道群沱子居委二组江东组团B分区07-14/02地块    </v>
      </c>
      <c r="F5" s="3516"/>
      <c r="G5" s="3508" t="str">
        <f>土地案例!A12</f>
        <v xml:space="preserve">涪陵区崇义街道红光居委三组    </v>
      </c>
      <c r="H5" s="3509"/>
      <c r="I5" s="3508" t="str">
        <f>土地案例!A13</f>
        <v xml:space="preserve">涪陵区敦仁街道望栏桥社区(八角井)    </v>
      </c>
      <c r="J5" s="3509"/>
      <c r="K5" s="567"/>
      <c r="L5" s="2944"/>
      <c r="M5" s="2945"/>
      <c r="N5" s="2945"/>
      <c r="O5" s="2945"/>
      <c r="P5" s="3496"/>
      <c r="Q5" s="3497"/>
      <c r="R5" s="3502"/>
      <c r="S5" s="3503"/>
      <c r="T5" s="3502"/>
      <c r="U5" s="3503"/>
      <c r="V5" s="3487"/>
      <c r="W5" s="3487"/>
      <c r="X5" s="1539"/>
      <c r="Y5" s="3502"/>
      <c r="Z5" s="3503"/>
      <c r="AA5" s="3489"/>
      <c r="AB5" s="3489"/>
      <c r="AC5" s="3489"/>
    </row>
    <row r="6" spans="1:30" ht="15.75" thickBot="1">
      <c r="A6" s="366"/>
      <c r="B6" s="367"/>
      <c r="C6" s="3506" t="s">
        <v>2367</v>
      </c>
      <c r="D6" s="3507"/>
      <c r="E6" s="3513" t="s">
        <v>2367</v>
      </c>
      <c r="F6" s="3514"/>
      <c r="G6" s="3506" t="s">
        <v>2367</v>
      </c>
      <c r="H6" s="3507"/>
      <c r="I6" s="3506" t="s">
        <v>2367</v>
      </c>
      <c r="J6" s="3507"/>
      <c r="K6" s="567" t="s">
        <v>2368</v>
      </c>
      <c r="L6" s="2944"/>
      <c r="M6" s="2945"/>
      <c r="N6" s="2945"/>
      <c r="O6" s="2945"/>
      <c r="P6" s="3498"/>
      <c r="Q6" s="3499"/>
      <c r="R6" s="3502"/>
      <c r="S6" s="3503"/>
      <c r="T6" s="3504"/>
      <c r="U6" s="3505"/>
      <c r="V6" s="3487"/>
      <c r="W6" s="3487"/>
      <c r="X6" s="1539"/>
      <c r="Y6" s="3504"/>
      <c r="Z6" s="3505"/>
      <c r="AA6" s="3490"/>
      <c r="AB6" s="3490"/>
      <c r="AC6" s="3490"/>
    </row>
    <row r="7" spans="1:30" s="113" customFormat="1" ht="15.75" thickBot="1">
      <c r="A7" s="368" t="s">
        <v>2369</v>
      </c>
      <c r="B7" s="369"/>
      <c r="C7" s="370">
        <f>'数据-取费表'!B2</f>
        <v>44548</v>
      </c>
      <c r="D7" s="371">
        <v>100</v>
      </c>
      <c r="E7" s="372">
        <f>土地案例!K5</f>
        <v>44483</v>
      </c>
      <c r="F7" s="373">
        <f>SUMIF(70:70,YEAR(E7)&amp;"-"&amp;INT((MONTH(E7)+2)/3),71:71)</f>
        <v>100</v>
      </c>
      <c r="G7" s="2160">
        <f>土地案例!K12</f>
        <v>44043</v>
      </c>
      <c r="H7" s="371">
        <f>SUMIF(70:70,YEAR(G7)&amp;"-"&amp;INT((MONTH(G7)+2)/3),71:71)</f>
        <v>99</v>
      </c>
      <c r="I7" s="2160">
        <f>土地案例!K13</f>
        <v>43812</v>
      </c>
      <c r="J7" s="371">
        <f>SUMIF(70:70,YEAR(I7)&amp;"-"&amp;INT((MONTH(I7)+2)/3),71:71)</f>
        <v>98</v>
      </c>
      <c r="K7" s="568"/>
      <c r="L7" s="2946"/>
      <c r="M7" s="2947"/>
      <c r="N7" s="2947"/>
      <c r="O7" s="2947"/>
      <c r="P7" s="3510" t="s">
        <v>2370</v>
      </c>
      <c r="Q7" s="3512"/>
      <c r="R7" s="710" t="s">
        <v>17</v>
      </c>
      <c r="S7" s="711">
        <f t="shared" ref="S7:S15" si="0">F7</f>
        <v>100</v>
      </c>
      <c r="T7" s="710" t="s">
        <v>17</v>
      </c>
      <c r="U7" s="711">
        <f t="shared" ref="U7:U15" si="1">H7</f>
        <v>99</v>
      </c>
      <c r="V7" s="710" t="s">
        <v>17</v>
      </c>
      <c r="W7" s="711">
        <f t="shared" ref="W7:W15" si="2">J7</f>
        <v>98</v>
      </c>
      <c r="X7" s="712"/>
      <c r="Y7" s="3510" t="s">
        <v>2370</v>
      </c>
      <c r="Z7" s="3511"/>
      <c r="AA7" s="713">
        <f>D7/F7</f>
        <v>1</v>
      </c>
      <c r="AB7" s="713">
        <f>D7/H7</f>
        <v>1.0101010101010102</v>
      </c>
      <c r="AC7" s="713">
        <f>D7/J7</f>
        <v>1.0204081632653061</v>
      </c>
    </row>
    <row r="8" spans="1:30" s="113" customFormat="1" ht="15.75" thickBot="1">
      <c r="A8" s="368" t="s">
        <v>2371</v>
      </c>
      <c r="B8" s="369"/>
      <c r="C8" s="374" t="s">
        <v>2372</v>
      </c>
      <c r="D8" s="371">
        <v>100</v>
      </c>
      <c r="E8" s="374" t="s">
        <v>4064</v>
      </c>
      <c r="F8" s="373">
        <f>SUMIF(73:73,E8,74:74)-SUMIF(73:73,C8,74:74)+100</f>
        <v>100</v>
      </c>
      <c r="G8" s="374" t="s">
        <v>4064</v>
      </c>
      <c r="H8" s="371">
        <f>SUMIF(73:73,G8,74:74)-SUMIF(73:73,C8,74:74)+100</f>
        <v>100</v>
      </c>
      <c r="I8" s="374" t="s">
        <v>4064</v>
      </c>
      <c r="J8" s="371">
        <f>SUMIF(73:73,I8,74:74)-SUMIF(73:73,C8,74:74)+100</f>
        <v>100</v>
      </c>
      <c r="K8" s="568"/>
      <c r="L8" s="2946"/>
      <c r="M8" s="2947"/>
      <c r="N8" s="2947"/>
      <c r="O8" s="2947"/>
      <c r="P8" s="3510" t="s">
        <v>2373</v>
      </c>
      <c r="Q8" s="3511"/>
      <c r="R8" s="710" t="s">
        <v>17</v>
      </c>
      <c r="S8" s="711">
        <f t="shared" si="0"/>
        <v>100</v>
      </c>
      <c r="T8" s="710" t="s">
        <v>17</v>
      </c>
      <c r="U8" s="711">
        <f t="shared" si="1"/>
        <v>100</v>
      </c>
      <c r="V8" s="710" t="s">
        <v>17</v>
      </c>
      <c r="W8" s="711">
        <f t="shared" si="2"/>
        <v>100</v>
      </c>
      <c r="X8" s="712"/>
      <c r="Y8" s="3510" t="s">
        <v>2373</v>
      </c>
      <c r="Z8" s="3511"/>
      <c r="AA8" s="713">
        <f t="shared" ref="AA8:AA45" si="3">D8/F8</f>
        <v>1</v>
      </c>
      <c r="AB8" s="713">
        <f t="shared" ref="AB8:AB45" si="4">D8/H8</f>
        <v>1</v>
      </c>
      <c r="AC8" s="713">
        <f t="shared" ref="AC8:AC45" si="5">D8/J8</f>
        <v>1</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481" t="s">
        <v>2376</v>
      </c>
      <c r="Q9" s="1527" t="str">
        <f t="shared" ref="Q9:Q15" si="6">B9</f>
        <v>用途</v>
      </c>
      <c r="R9" s="710" t="s">
        <v>17</v>
      </c>
      <c r="S9" s="711">
        <f t="shared" si="0"/>
        <v>100</v>
      </c>
      <c r="T9" s="710" t="s">
        <v>17</v>
      </c>
      <c r="U9" s="711">
        <f t="shared" si="1"/>
        <v>100</v>
      </c>
      <c r="V9" s="710" t="s">
        <v>17</v>
      </c>
      <c r="W9" s="711">
        <f t="shared" si="2"/>
        <v>100</v>
      </c>
      <c r="X9" s="712"/>
      <c r="Y9" s="337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107</v>
      </c>
      <c r="G10" s="422"/>
      <c r="H10" s="132">
        <f>ROUND(100/'数据-取费表'!G16,0)</f>
        <v>107</v>
      </c>
      <c r="I10" s="422"/>
      <c r="J10" s="132">
        <f>ROUND(100/'数据-取费表'!G16,0)</f>
        <v>107</v>
      </c>
      <c r="K10" s="628"/>
      <c r="L10" s="2948"/>
      <c r="M10" s="2949"/>
      <c r="N10" s="2949"/>
      <c r="O10" s="3002"/>
      <c r="P10" s="3481"/>
      <c r="Q10" s="1527" t="str">
        <f t="shared" si="6"/>
        <v>土地使用年限（年）</v>
      </c>
      <c r="R10" s="710" t="s">
        <v>17</v>
      </c>
      <c r="S10" s="711">
        <f t="shared" si="0"/>
        <v>107</v>
      </c>
      <c r="T10" s="710" t="s">
        <v>17</v>
      </c>
      <c r="U10" s="711">
        <f t="shared" si="1"/>
        <v>107</v>
      </c>
      <c r="V10" s="710" t="s">
        <v>17</v>
      </c>
      <c r="W10" s="711">
        <f t="shared" si="2"/>
        <v>107</v>
      </c>
      <c r="X10" s="712"/>
      <c r="Y10" s="3375"/>
      <c r="Z10" s="55" t="str">
        <f t="shared" si="7"/>
        <v>土地使用年限（年）</v>
      </c>
      <c r="AA10" s="713">
        <f t="shared" si="3"/>
        <v>0.93457943925233644</v>
      </c>
      <c r="AB10" s="713">
        <f t="shared" si="4"/>
        <v>0.93457943925233644</v>
      </c>
      <c r="AC10" s="713">
        <f t="shared" si="5"/>
        <v>0.93457943925233644</v>
      </c>
    </row>
    <row r="11" spans="1:30" ht="15">
      <c r="A11" s="387"/>
      <c r="B11" s="381" t="s">
        <v>2379</v>
      </c>
      <c r="C11" s="388">
        <f>'数据-汇总表'!I6</f>
        <v>1.26</v>
      </c>
      <c r="D11" s="132">
        <v>100</v>
      </c>
      <c r="E11" s="388">
        <v>1.2</v>
      </c>
      <c r="F11" s="132">
        <f>LOOKUP(E11,80:80,81:81)-LOOKUP(C11,80:80,81:81)+100</f>
        <v>100</v>
      </c>
      <c r="G11" s="389">
        <v>1.8</v>
      </c>
      <c r="H11" s="132">
        <f>LOOKUP(G11,80:80,81:81)-LOOKUP(C11,80:80,81:81)+100</f>
        <v>100</v>
      </c>
      <c r="I11" s="388">
        <v>1.4</v>
      </c>
      <c r="J11" s="132">
        <f>LOOKUP(I11,80:80,81:81)-LOOKUP(C11,80:80,81:81)+100</f>
        <v>100</v>
      </c>
      <c r="K11" s="629">
        <v>3</v>
      </c>
      <c r="L11" s="2950"/>
      <c r="M11" s="2945"/>
      <c r="N11" s="2945"/>
      <c r="O11" s="3003"/>
      <c r="P11" s="3481"/>
      <c r="Q11" s="1527" t="str">
        <f t="shared" si="6"/>
        <v>容积率</v>
      </c>
      <c r="R11" s="710" t="s">
        <v>17</v>
      </c>
      <c r="S11" s="711">
        <f t="shared" si="0"/>
        <v>100</v>
      </c>
      <c r="T11" s="710" t="s">
        <v>17</v>
      </c>
      <c r="U11" s="711">
        <f t="shared" si="1"/>
        <v>100</v>
      </c>
      <c r="V11" s="710" t="s">
        <v>17</v>
      </c>
      <c r="W11" s="711">
        <f t="shared" si="2"/>
        <v>100</v>
      </c>
      <c r="X11" s="712"/>
      <c r="Y11" s="3375"/>
      <c r="Z11" s="55" t="str">
        <f t="shared" si="7"/>
        <v>容积率</v>
      </c>
      <c r="AA11" s="713">
        <f t="shared" si="3"/>
        <v>1</v>
      </c>
      <c r="AB11" s="713">
        <f t="shared" si="4"/>
        <v>1</v>
      </c>
      <c r="AC11" s="713">
        <f t="shared" si="5"/>
        <v>1</v>
      </c>
    </row>
    <row r="12" spans="1:30" s="113" customFormat="1" ht="15" hidden="1">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81"/>
      <c r="Q12" s="1527" t="str">
        <f t="shared" si="6"/>
        <v>配建</v>
      </c>
      <c r="R12" s="710" t="s">
        <v>17</v>
      </c>
      <c r="S12" s="711">
        <f t="shared" si="0"/>
        <v>100</v>
      </c>
      <c r="T12" s="710" t="s">
        <v>17</v>
      </c>
      <c r="U12" s="711">
        <f t="shared" si="1"/>
        <v>100</v>
      </c>
      <c r="V12" s="710" t="s">
        <v>17</v>
      </c>
      <c r="W12" s="711">
        <f t="shared" si="2"/>
        <v>100</v>
      </c>
      <c r="X12" s="712"/>
      <c r="Y12" s="3375"/>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81"/>
      <c r="Q13" s="1527">
        <f t="shared" si="6"/>
        <v>111</v>
      </c>
      <c r="R13" s="710" t="s">
        <v>17</v>
      </c>
      <c r="S13" s="711">
        <f t="shared" si="0"/>
        <v>100</v>
      </c>
      <c r="T13" s="710" t="s">
        <v>17</v>
      </c>
      <c r="U13" s="711">
        <f t="shared" si="1"/>
        <v>100</v>
      </c>
      <c r="V13" s="710" t="s">
        <v>17</v>
      </c>
      <c r="W13" s="711">
        <f t="shared" si="2"/>
        <v>100</v>
      </c>
      <c r="X13" s="712"/>
      <c r="Y13" s="3375"/>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81"/>
      <c r="Q14" s="1527">
        <f t="shared" si="6"/>
        <v>111</v>
      </c>
      <c r="R14" s="710" t="s">
        <v>17</v>
      </c>
      <c r="S14" s="711">
        <f t="shared" si="0"/>
        <v>100</v>
      </c>
      <c r="T14" s="710" t="s">
        <v>17</v>
      </c>
      <c r="U14" s="711">
        <f t="shared" si="1"/>
        <v>100</v>
      </c>
      <c r="V14" s="710" t="s">
        <v>17</v>
      </c>
      <c r="W14" s="711">
        <f t="shared" si="2"/>
        <v>100</v>
      </c>
      <c r="X14" s="712"/>
      <c r="Y14" s="3375"/>
      <c r="Z14" s="55">
        <f t="shared" si="7"/>
        <v>111</v>
      </c>
      <c r="AA14" s="713">
        <f>D14/F14</f>
        <v>1</v>
      </c>
      <c r="AB14" s="713">
        <f>D14/H14</f>
        <v>1</v>
      </c>
      <c r="AC14" s="713">
        <f>D14/J14</f>
        <v>1</v>
      </c>
    </row>
    <row r="15" spans="1:30" ht="99.75" hidden="1">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83" t="s">
        <v>2381</v>
      </c>
      <c r="Q15" s="1536" t="str">
        <f t="shared" si="6"/>
        <v>居住社区成熟度</v>
      </c>
      <c r="R15" s="714" t="s">
        <v>17</v>
      </c>
      <c r="S15" s="715">
        <f t="shared" si="0"/>
        <v>100</v>
      </c>
      <c r="T15" s="714" t="s">
        <v>17</v>
      </c>
      <c r="U15" s="715">
        <f t="shared" si="1"/>
        <v>100</v>
      </c>
      <c r="V15" s="714" t="s">
        <v>17</v>
      </c>
      <c r="W15" s="715">
        <f t="shared" si="2"/>
        <v>100</v>
      </c>
      <c r="X15" s="1539"/>
      <c r="Y15" s="3483" t="s">
        <v>2381</v>
      </c>
      <c r="Z15" s="1540" t="str">
        <f t="shared" si="7"/>
        <v>居住社区成熟度</v>
      </c>
      <c r="AA15" s="1537">
        <f t="shared" si="3"/>
        <v>1</v>
      </c>
      <c r="AB15" s="1537">
        <f t="shared" si="4"/>
        <v>1</v>
      </c>
      <c r="AC15" s="1537">
        <f t="shared" si="5"/>
        <v>1</v>
      </c>
    </row>
    <row r="16" spans="1:30" ht="15" hidden="1">
      <c r="A16" s="387"/>
      <c r="B16" s="405"/>
      <c r="C16" s="406"/>
      <c r="D16" s="407"/>
      <c r="E16" s="2084"/>
      <c r="F16" s="407"/>
      <c r="G16" s="2084"/>
      <c r="H16" s="409"/>
      <c r="I16" s="2083"/>
      <c r="J16" s="407"/>
      <c r="K16" s="628"/>
      <c r="L16" s="2951"/>
      <c r="M16" s="2945"/>
      <c r="N16" s="2945"/>
      <c r="O16" s="3003"/>
      <c r="P16" s="3484"/>
      <c r="Q16" s="1536"/>
      <c r="R16" s="714"/>
      <c r="S16" s="715"/>
      <c r="T16" s="714"/>
      <c r="U16" s="715"/>
      <c r="V16" s="714"/>
      <c r="W16" s="715"/>
      <c r="X16" s="1539"/>
      <c r="Y16" s="3484"/>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98</v>
      </c>
      <c r="G17" s="411"/>
      <c r="H17" s="414">
        <f>SUMIF(90:90,G18,91:91)-SUMIF(90:90,C18,91:91)+100</f>
        <v>100</v>
      </c>
      <c r="I17" s="413"/>
      <c r="J17" s="414">
        <f>SUMIF(90:90,I18,91:91)-SUMIF(90:90,C18,91:91)+100</f>
        <v>102</v>
      </c>
      <c r="K17" s="629">
        <v>2</v>
      </c>
      <c r="L17" s="2951"/>
      <c r="M17" s="2945"/>
      <c r="N17" s="2945"/>
      <c r="O17" s="3003"/>
      <c r="P17" s="3484"/>
      <c r="Q17" s="1536" t="str">
        <f>B17</f>
        <v>商业繁华度</v>
      </c>
      <c r="R17" s="714" t="s">
        <v>17</v>
      </c>
      <c r="S17" s="715">
        <f>F17</f>
        <v>98</v>
      </c>
      <c r="T17" s="714" t="s">
        <v>17</v>
      </c>
      <c r="U17" s="715">
        <f>H17</f>
        <v>100</v>
      </c>
      <c r="V17" s="714" t="s">
        <v>17</v>
      </c>
      <c r="W17" s="715">
        <f>J17</f>
        <v>102</v>
      </c>
      <c r="X17" s="1539"/>
      <c r="Y17" s="3484"/>
      <c r="Z17" s="1540" t="str">
        <f>Q17</f>
        <v>商业繁华度</v>
      </c>
      <c r="AA17" s="1537">
        <f t="shared" si="3"/>
        <v>1.0204081632653061</v>
      </c>
      <c r="AB17" s="1537">
        <f t="shared" si="4"/>
        <v>1</v>
      </c>
      <c r="AC17" s="1537">
        <f t="shared" si="5"/>
        <v>0.98039215686274506</v>
      </c>
    </row>
    <row r="18" spans="1:29" ht="15">
      <c r="A18" s="387"/>
      <c r="B18" s="415"/>
      <c r="C18" s="2087" t="s">
        <v>4065</v>
      </c>
      <c r="D18" s="409"/>
      <c r="E18" s="2089" t="s">
        <v>4067</v>
      </c>
      <c r="F18" s="409"/>
      <c r="G18" s="2089" t="s">
        <v>4065</v>
      </c>
      <c r="H18" s="407"/>
      <c r="I18" s="2088" t="s">
        <v>4066</v>
      </c>
      <c r="J18" s="407"/>
      <c r="K18" s="628"/>
      <c r="L18" s="2951"/>
      <c r="M18" s="2945"/>
      <c r="N18" s="2945"/>
      <c r="O18" s="3003"/>
      <c r="P18" s="3484"/>
      <c r="Q18" s="1536"/>
      <c r="R18" s="714"/>
      <c r="S18" s="715"/>
      <c r="T18" s="714"/>
      <c r="U18" s="715"/>
      <c r="V18" s="714"/>
      <c r="W18" s="715"/>
      <c r="X18" s="1539"/>
      <c r="Y18" s="3484"/>
      <c r="Z18" s="1540"/>
      <c r="AA18" s="1537">
        <v>1</v>
      </c>
      <c r="AB18" s="1537">
        <v>1</v>
      </c>
      <c r="AC18" s="1537">
        <v>1</v>
      </c>
    </row>
    <row r="19" spans="1:29" ht="71.25" hidden="1">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84"/>
      <c r="Q19" s="1536" t="str">
        <f>B19</f>
        <v>办公集聚程度</v>
      </c>
      <c r="R19" s="714" t="s">
        <v>17</v>
      </c>
      <c r="S19" s="715">
        <f>F19</f>
        <v>100</v>
      </c>
      <c r="T19" s="714" t="s">
        <v>17</v>
      </c>
      <c r="U19" s="715">
        <f>H19</f>
        <v>100</v>
      </c>
      <c r="V19" s="714" t="s">
        <v>17</v>
      </c>
      <c r="W19" s="715">
        <f>J19</f>
        <v>100</v>
      </c>
      <c r="X19" s="1539"/>
      <c r="Y19" s="3484"/>
      <c r="Z19" s="1540" t="str">
        <f>Q19</f>
        <v>办公集聚程度</v>
      </c>
      <c r="AA19" s="1537">
        <f t="shared" si="3"/>
        <v>1</v>
      </c>
      <c r="AB19" s="1537">
        <f t="shared" si="4"/>
        <v>1</v>
      </c>
      <c r="AC19" s="1537">
        <f t="shared" si="5"/>
        <v>1</v>
      </c>
    </row>
    <row r="20" spans="1:29" ht="15" hidden="1">
      <c r="A20" s="387"/>
      <c r="B20" s="415"/>
      <c r="C20" s="406"/>
      <c r="D20" s="407"/>
      <c r="E20" s="2084"/>
      <c r="F20" s="407"/>
      <c r="G20" s="2084"/>
      <c r="H20" s="407"/>
      <c r="I20" s="2083"/>
      <c r="J20" s="407"/>
      <c r="K20" s="628"/>
      <c r="L20" s="2951"/>
      <c r="M20" s="2945"/>
      <c r="N20" s="2945"/>
      <c r="O20" s="3003"/>
      <c r="P20" s="3484"/>
      <c r="Q20" s="1536"/>
      <c r="R20" s="714"/>
      <c r="S20" s="715"/>
      <c r="T20" s="714"/>
      <c r="U20" s="715"/>
      <c r="V20" s="714"/>
      <c r="W20" s="715"/>
      <c r="X20" s="1539"/>
      <c r="Y20" s="3484"/>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102</v>
      </c>
      <c r="K21" s="629">
        <v>2</v>
      </c>
      <c r="L21" s="2951"/>
      <c r="M21" s="2945"/>
      <c r="N21" s="2945"/>
      <c r="O21" s="3003"/>
      <c r="P21" s="3484"/>
      <c r="Q21" s="1536" t="str">
        <f>B21</f>
        <v>交通便捷度</v>
      </c>
      <c r="R21" s="714" t="s">
        <v>17</v>
      </c>
      <c r="S21" s="715">
        <f>F21</f>
        <v>98</v>
      </c>
      <c r="T21" s="714" t="s">
        <v>17</v>
      </c>
      <c r="U21" s="715">
        <f>H21</f>
        <v>100</v>
      </c>
      <c r="V21" s="714" t="s">
        <v>17</v>
      </c>
      <c r="W21" s="715">
        <f>J21</f>
        <v>102</v>
      </c>
      <c r="X21" s="1539"/>
      <c r="Y21" s="3484"/>
      <c r="Z21" s="1540" t="str">
        <f>Q21</f>
        <v>交通便捷度</v>
      </c>
      <c r="AA21" s="1537">
        <f t="shared" si="3"/>
        <v>1.0204081632653061</v>
      </c>
      <c r="AB21" s="1537">
        <f t="shared" si="4"/>
        <v>1</v>
      </c>
      <c r="AC21" s="1537">
        <f t="shared" si="5"/>
        <v>0.98039215686274506</v>
      </c>
    </row>
    <row r="22" spans="1:29" ht="15">
      <c r="A22" s="387"/>
      <c r="B22" s="1293"/>
      <c r="C22" s="406" t="s">
        <v>4065</v>
      </c>
      <c r="D22" s="409"/>
      <c r="E22" s="2084" t="s">
        <v>4067</v>
      </c>
      <c r="F22" s="407"/>
      <c r="G22" s="2084" t="s">
        <v>4065</v>
      </c>
      <c r="H22" s="407"/>
      <c r="I22" s="2083" t="s">
        <v>4066</v>
      </c>
      <c r="J22" s="407"/>
      <c r="K22" s="628"/>
      <c r="L22" s="2951"/>
      <c r="M22" s="2945"/>
      <c r="N22" s="2945"/>
      <c r="O22" s="3003"/>
      <c r="P22" s="3484"/>
      <c r="Q22" s="1536"/>
      <c r="R22" s="714"/>
      <c r="S22" s="715"/>
      <c r="T22" s="714"/>
      <c r="U22" s="715"/>
      <c r="V22" s="714"/>
      <c r="W22" s="715"/>
      <c r="X22" s="1539"/>
      <c r="Y22" s="3484"/>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84"/>
      <c r="Q23" s="1536" t="str">
        <f t="shared" ref="Q23:Q37" si="8">B23</f>
        <v>区域土地利用方向</v>
      </c>
      <c r="R23" s="714" t="s">
        <v>17</v>
      </c>
      <c r="S23" s="715">
        <f>F23</f>
        <v>100</v>
      </c>
      <c r="T23" s="714" t="s">
        <v>17</v>
      </c>
      <c r="U23" s="715">
        <f>H23</f>
        <v>100</v>
      </c>
      <c r="V23" s="714" t="s">
        <v>17</v>
      </c>
      <c r="W23" s="715">
        <f>J23</f>
        <v>100</v>
      </c>
      <c r="X23" s="1539"/>
      <c r="Y23" s="348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484"/>
      <c r="Q24" s="1536"/>
      <c r="R24" s="714"/>
      <c r="S24" s="715"/>
      <c r="T24" s="714"/>
      <c r="U24" s="715"/>
      <c r="V24" s="714"/>
      <c r="W24" s="715"/>
      <c r="X24" s="1539"/>
      <c r="Y24" s="3484"/>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1"/>
      <c r="M25" s="2945"/>
      <c r="N25" s="2945"/>
      <c r="O25" s="3003"/>
      <c r="P25" s="3484"/>
      <c r="Q25" s="1536" t="str">
        <f t="shared" si="8"/>
        <v>自然及人文环境状况</v>
      </c>
      <c r="R25" s="714" t="s">
        <v>17</v>
      </c>
      <c r="S25" s="715">
        <f>F25</f>
        <v>100</v>
      </c>
      <c r="T25" s="714" t="s">
        <v>17</v>
      </c>
      <c r="U25" s="715">
        <f>H25</f>
        <v>100</v>
      </c>
      <c r="V25" s="714" t="s">
        <v>17</v>
      </c>
      <c r="W25" s="715">
        <f>J25</f>
        <v>100</v>
      </c>
      <c r="X25" s="1539"/>
      <c r="Y25" s="3484"/>
      <c r="Z25" s="1540" t="str">
        <f>Q25</f>
        <v>自然及人文环境状况</v>
      </c>
      <c r="AA25" s="1537">
        <f t="shared" si="3"/>
        <v>1</v>
      </c>
      <c r="AB25" s="1537">
        <f t="shared" si="4"/>
        <v>1</v>
      </c>
      <c r="AC25" s="1537">
        <f t="shared" si="5"/>
        <v>1</v>
      </c>
    </row>
    <row r="26" spans="1:29" ht="15">
      <c r="A26" s="364"/>
      <c r="B26" s="415"/>
      <c r="C26" s="406" t="s">
        <v>4066</v>
      </c>
      <c r="D26" s="407"/>
      <c r="E26" s="406" t="s">
        <v>4066</v>
      </c>
      <c r="F26" s="407"/>
      <c r="G26" s="406" t="s">
        <v>4066</v>
      </c>
      <c r="H26" s="407"/>
      <c r="I26" s="406" t="s">
        <v>4066</v>
      </c>
      <c r="J26" s="407"/>
      <c r="K26" s="628"/>
      <c r="L26" s="2951"/>
      <c r="M26" s="2945"/>
      <c r="N26" s="2945"/>
      <c r="O26" s="3003"/>
      <c r="P26" s="3484"/>
      <c r="Q26" s="1536"/>
      <c r="R26" s="714"/>
      <c r="S26" s="715"/>
      <c r="T26" s="714"/>
      <c r="U26" s="715"/>
      <c r="V26" s="714"/>
      <c r="W26" s="715"/>
      <c r="X26" s="1539"/>
      <c r="Y26" s="3484"/>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98</v>
      </c>
      <c r="G27" s="411"/>
      <c r="H27" s="409">
        <f>SUMIF(100:100,G28,101:101)-SUMIF(100:100,C28,101:101)+100</f>
        <v>100</v>
      </c>
      <c r="I27" s="413"/>
      <c r="J27" s="409">
        <f>SUMIF(100:100,I28,101:101)-SUMIF(100:100,C28,101:101)+100</f>
        <v>102</v>
      </c>
      <c r="K27" s="629">
        <v>2</v>
      </c>
      <c r="L27" s="2946"/>
      <c r="M27" s="2947"/>
      <c r="N27" s="2947"/>
      <c r="O27" s="3001"/>
      <c r="P27" s="3484"/>
      <c r="Q27" s="1527" t="str">
        <f t="shared" si="8"/>
        <v>公共配套设施</v>
      </c>
      <c r="R27" s="710" t="s">
        <v>17</v>
      </c>
      <c r="S27" s="711">
        <f>F27</f>
        <v>98</v>
      </c>
      <c r="T27" s="710" t="s">
        <v>17</v>
      </c>
      <c r="U27" s="711">
        <f>H27</f>
        <v>100</v>
      </c>
      <c r="V27" s="710" t="s">
        <v>17</v>
      </c>
      <c r="W27" s="711">
        <f>J27</f>
        <v>102</v>
      </c>
      <c r="X27" s="712"/>
      <c r="Y27" s="3484"/>
      <c r="Z27" s="55" t="str">
        <f>Q27</f>
        <v>公共配套设施</v>
      </c>
      <c r="AA27" s="1537">
        <f>D27/F27</f>
        <v>1.0204081632653061</v>
      </c>
      <c r="AB27" s="1537">
        <f>D27/H27</f>
        <v>1</v>
      </c>
      <c r="AC27" s="1537">
        <f>D27/J27</f>
        <v>0.98039215686274506</v>
      </c>
    </row>
    <row r="28" spans="1:29" s="113" customFormat="1" ht="15">
      <c r="A28" s="605"/>
      <c r="B28" s="415"/>
      <c r="C28" s="2164" t="s">
        <v>4065</v>
      </c>
      <c r="D28" s="407"/>
      <c r="E28" s="2090" t="s">
        <v>4067</v>
      </c>
      <c r="F28" s="407"/>
      <c r="G28" s="2090" t="s">
        <v>4065</v>
      </c>
      <c r="H28" s="407"/>
      <c r="I28" s="406" t="s">
        <v>4066</v>
      </c>
      <c r="J28" s="407"/>
      <c r="K28" s="628"/>
      <c r="L28" s="2946"/>
      <c r="M28" s="2947"/>
      <c r="N28" s="2947"/>
      <c r="O28" s="3001"/>
      <c r="P28" s="3484"/>
      <c r="Q28" s="1527"/>
      <c r="R28" s="710"/>
      <c r="S28" s="711"/>
      <c r="T28" s="710"/>
      <c r="U28" s="711"/>
      <c r="V28" s="710"/>
      <c r="W28" s="711"/>
      <c r="X28" s="712"/>
      <c r="Y28" s="3484"/>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6"/>
      <c r="M29" s="2947"/>
      <c r="N29" s="2947"/>
      <c r="O29" s="3001"/>
      <c r="P29" s="3484"/>
      <c r="Q29" s="1527" t="str">
        <f t="shared" ref="Q29" si="9">B29</f>
        <v>基础设施水平</v>
      </c>
      <c r="R29" s="710" t="s">
        <v>17</v>
      </c>
      <c r="S29" s="711">
        <f>F29</f>
        <v>100</v>
      </c>
      <c r="T29" s="710" t="s">
        <v>17</v>
      </c>
      <c r="U29" s="711">
        <f>H29</f>
        <v>100</v>
      </c>
      <c r="V29" s="710" t="s">
        <v>17</v>
      </c>
      <c r="W29" s="711">
        <f>J29</f>
        <v>100</v>
      </c>
      <c r="X29" s="712"/>
      <c r="Y29" s="3484"/>
      <c r="Z29" s="55" t="str">
        <f>Q29</f>
        <v>基础设施水平</v>
      </c>
      <c r="AA29" s="1537">
        <f>D29/F29</f>
        <v>1</v>
      </c>
      <c r="AB29" s="1537">
        <f>D29/H29</f>
        <v>1</v>
      </c>
      <c r="AC29" s="1537">
        <f>D29/J29</f>
        <v>1</v>
      </c>
    </row>
    <row r="30" spans="1:29" s="113" customFormat="1" ht="15.75" thickBot="1">
      <c r="A30" s="605"/>
      <c r="B30" s="415"/>
      <c r="C30" s="2164" t="s">
        <v>4068</v>
      </c>
      <c r="D30" s="407"/>
      <c r="E30" s="2164" t="s">
        <v>4068</v>
      </c>
      <c r="F30" s="407"/>
      <c r="G30" s="2164" t="s">
        <v>4068</v>
      </c>
      <c r="H30" s="407"/>
      <c r="I30" s="2164" t="s">
        <v>4068</v>
      </c>
      <c r="J30" s="407"/>
      <c r="K30" s="628"/>
      <c r="L30" s="2946"/>
      <c r="M30" s="2947"/>
      <c r="N30" s="2947"/>
      <c r="O30" s="3001"/>
      <c r="P30" s="3484"/>
      <c r="Q30" s="1527"/>
      <c r="R30" s="710"/>
      <c r="S30" s="711"/>
      <c r="T30" s="710"/>
      <c r="U30" s="711"/>
      <c r="V30" s="710"/>
      <c r="W30" s="711"/>
      <c r="X30" s="712"/>
      <c r="Y30" s="3484"/>
      <c r="Z30" s="55"/>
      <c r="AA30" s="1537">
        <v>1</v>
      </c>
      <c r="AB30" s="1537">
        <v>1</v>
      </c>
      <c r="AC30" s="1537">
        <v>1</v>
      </c>
    </row>
    <row r="31" spans="1:29" ht="15" hidden="1">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8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84"/>
      <c r="Z31" s="1540" t="str">
        <f t="shared" ref="Z31:Z45" si="13">Q31</f>
        <v>临街状况</v>
      </c>
      <c r="AA31" s="1537">
        <f t="shared" si="3"/>
        <v>1</v>
      </c>
      <c r="AB31" s="1537">
        <f t="shared" si="4"/>
        <v>1</v>
      </c>
      <c r="AC31" s="1537">
        <f t="shared" si="5"/>
        <v>1</v>
      </c>
    </row>
    <row r="32" spans="1:29" ht="27" hidden="1">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84"/>
      <c r="Q32" s="1536" t="str">
        <f t="shared" si="8"/>
        <v>毗邻道路的类型与等级</v>
      </c>
      <c r="R32" s="714" t="s">
        <v>17</v>
      </c>
      <c r="S32" s="715">
        <f t="shared" si="10"/>
        <v>100</v>
      </c>
      <c r="T32" s="714" t="s">
        <v>17</v>
      </c>
      <c r="U32" s="715">
        <f t="shared" si="11"/>
        <v>100</v>
      </c>
      <c r="V32" s="714" t="s">
        <v>17</v>
      </c>
      <c r="W32" s="715">
        <f t="shared" si="12"/>
        <v>100</v>
      </c>
      <c r="X32" s="1539"/>
      <c r="Y32" s="3484"/>
      <c r="Z32" s="1540" t="str">
        <f t="shared" si="13"/>
        <v>毗邻道路的类型与等级</v>
      </c>
      <c r="AA32" s="1537">
        <f t="shared" si="3"/>
        <v>1</v>
      </c>
      <c r="AB32" s="1537">
        <f t="shared" si="4"/>
        <v>1</v>
      </c>
      <c r="AC32" s="1537">
        <f t="shared" si="5"/>
        <v>1</v>
      </c>
    </row>
    <row r="33" spans="1:29" ht="15" hidden="1">
      <c r="A33" s="387"/>
      <c r="B33" s="415"/>
      <c r="C33" s="406"/>
      <c r="D33" s="407"/>
      <c r="E33" s="2090"/>
      <c r="F33" s="407"/>
      <c r="G33" s="2090"/>
      <c r="H33" s="407"/>
      <c r="I33" s="406"/>
      <c r="J33" s="407"/>
      <c r="K33" s="570"/>
      <c r="L33" s="2951"/>
      <c r="M33" s="2945"/>
      <c r="N33" s="2945"/>
      <c r="O33" s="3003"/>
      <c r="P33" s="3484"/>
      <c r="Q33" s="1536"/>
      <c r="R33" s="714"/>
      <c r="S33" s="715"/>
      <c r="T33" s="714"/>
      <c r="U33" s="715"/>
      <c r="V33" s="714"/>
      <c r="W33" s="715"/>
      <c r="X33" s="1539"/>
      <c r="Y33" s="3484"/>
      <c r="Z33" s="1540"/>
      <c r="AA33" s="1537">
        <v>1</v>
      </c>
      <c r="AB33" s="1537">
        <v>1</v>
      </c>
      <c r="AC33" s="1537">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84"/>
      <c r="Q34" s="1536" t="str">
        <f t="shared" si="8"/>
        <v>土地级别</v>
      </c>
      <c r="R34" s="714" t="s">
        <v>17</v>
      </c>
      <c r="S34" s="715">
        <f t="shared" si="10"/>
        <v>100</v>
      </c>
      <c r="T34" s="714" t="s">
        <v>17</v>
      </c>
      <c r="U34" s="715">
        <f t="shared" si="11"/>
        <v>100</v>
      </c>
      <c r="V34" s="714" t="s">
        <v>17</v>
      </c>
      <c r="W34" s="715">
        <f t="shared" si="12"/>
        <v>100</v>
      </c>
      <c r="X34" s="1539"/>
      <c r="Y34" s="3484"/>
      <c r="Z34" s="1540" t="str">
        <f t="shared" si="13"/>
        <v>土地级别</v>
      </c>
      <c r="AA34" s="1537">
        <f t="shared" si="3"/>
        <v>1</v>
      </c>
      <c r="AB34" s="1537">
        <f t="shared" si="4"/>
        <v>1</v>
      </c>
      <c r="AC34" s="1537">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84"/>
      <c r="Q35" s="1536">
        <f t="shared" si="8"/>
        <v>111</v>
      </c>
      <c r="R35" s="714" t="s">
        <v>17</v>
      </c>
      <c r="S35" s="715">
        <f t="shared" si="10"/>
        <v>100</v>
      </c>
      <c r="T35" s="714" t="s">
        <v>17</v>
      </c>
      <c r="U35" s="715">
        <f t="shared" si="11"/>
        <v>100</v>
      </c>
      <c r="V35" s="714" t="s">
        <v>17</v>
      </c>
      <c r="W35" s="715">
        <f t="shared" si="12"/>
        <v>100</v>
      </c>
      <c r="X35" s="1539"/>
      <c r="Y35" s="3484"/>
      <c r="Z35" s="1540">
        <f t="shared" si="13"/>
        <v>111</v>
      </c>
      <c r="AA35" s="1537">
        <f t="shared" si="3"/>
        <v>1</v>
      </c>
      <c r="AB35" s="1537">
        <f t="shared" si="4"/>
        <v>1</v>
      </c>
      <c r="AC35" s="1537">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85" t="s">
        <v>2386</v>
      </c>
      <c r="Q36" s="1536">
        <f t="shared" si="8"/>
        <v>111</v>
      </c>
      <c r="R36" s="714" t="s">
        <v>17</v>
      </c>
      <c r="S36" s="715">
        <f t="shared" si="10"/>
        <v>100</v>
      </c>
      <c r="T36" s="714" t="s">
        <v>17</v>
      </c>
      <c r="U36" s="715">
        <f t="shared" si="11"/>
        <v>100</v>
      </c>
      <c r="V36" s="714" t="s">
        <v>17</v>
      </c>
      <c r="W36" s="715">
        <f t="shared" si="12"/>
        <v>100</v>
      </c>
      <c r="X36" s="1539"/>
      <c r="Y36" s="3486" t="s">
        <v>2386</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86"/>
      <c r="Q37" s="1536">
        <f t="shared" si="8"/>
        <v>111</v>
      </c>
      <c r="R37" s="717" t="s">
        <v>17</v>
      </c>
      <c r="S37" s="718">
        <f t="shared" si="10"/>
        <v>100</v>
      </c>
      <c r="T37" s="717" t="s">
        <v>17</v>
      </c>
      <c r="U37" s="718">
        <f t="shared" si="11"/>
        <v>100</v>
      </c>
      <c r="V37" s="717" t="s">
        <v>17</v>
      </c>
      <c r="W37" s="718">
        <f t="shared" si="12"/>
        <v>100</v>
      </c>
      <c r="X37" s="719"/>
      <c r="Y37" s="3486"/>
      <c r="Z37" s="720">
        <f t="shared" si="13"/>
        <v>111</v>
      </c>
      <c r="AA37" s="1537">
        <f t="shared" si="3"/>
        <v>1</v>
      </c>
      <c r="AB37" s="1537">
        <f t="shared" si="4"/>
        <v>1</v>
      </c>
      <c r="AC37" s="1537">
        <f t="shared" si="5"/>
        <v>1</v>
      </c>
    </row>
    <row r="38" spans="1:29" ht="15">
      <c r="A38" s="431" t="s">
        <v>2384</v>
      </c>
      <c r="B38" s="415" t="s">
        <v>2572</v>
      </c>
      <c r="C38" s="635">
        <v>77024</v>
      </c>
      <c r="D38" s="426">
        <v>100</v>
      </c>
      <c r="E38" s="635">
        <f>土地案例!E5</f>
        <v>4229</v>
      </c>
      <c r="F38" s="426">
        <f>LOOKUP(E38,117:117,118:118)-LOOKUP(C38,117:117,118:118)+100</f>
        <v>97</v>
      </c>
      <c r="G38" s="635">
        <f>土地案例!E12</f>
        <v>24998</v>
      </c>
      <c r="H38" s="426">
        <f>LOOKUP(G38,117:117,118:118)-LOOKUP(C38,117:117,118:118)+100</f>
        <v>98</v>
      </c>
      <c r="I38" s="487">
        <f>土地案例!E13</f>
        <v>36225</v>
      </c>
      <c r="J38" s="426">
        <f>LOOKUP(I38,117:117,118:118)-LOOKUP(C38,117:117,118:118)+100</f>
        <v>98</v>
      </c>
      <c r="K38" s="570"/>
      <c r="L38" s="2951"/>
      <c r="M38" s="2945"/>
      <c r="N38" s="2945"/>
      <c r="O38" s="3003"/>
      <c r="P38" s="3486"/>
      <c r="Q38" s="1536" t="str">
        <f>B38</f>
        <v>宗地面积</v>
      </c>
      <c r="R38" s="714" t="s">
        <v>17</v>
      </c>
      <c r="S38" s="715">
        <f t="shared" si="10"/>
        <v>97</v>
      </c>
      <c r="T38" s="714" t="s">
        <v>17</v>
      </c>
      <c r="U38" s="715">
        <f t="shared" si="11"/>
        <v>98</v>
      </c>
      <c r="V38" s="714" t="s">
        <v>17</v>
      </c>
      <c r="W38" s="715">
        <f t="shared" si="12"/>
        <v>98</v>
      </c>
      <c r="X38" s="1539"/>
      <c r="Y38" s="3486"/>
      <c r="Z38" s="1540" t="str">
        <f t="shared" si="13"/>
        <v>宗地面积</v>
      </c>
      <c r="AA38" s="1537">
        <f t="shared" si="3"/>
        <v>1.0309278350515463</v>
      </c>
      <c r="AB38" s="1537">
        <f t="shared" si="4"/>
        <v>1.0204081632653061</v>
      </c>
      <c r="AC38" s="1537">
        <f t="shared" si="5"/>
        <v>1.0204081632653061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486"/>
      <c r="Q39" s="1536" t="str">
        <f t="shared" ref="Q39:Q45" si="14">B39</f>
        <v>宗地形状</v>
      </c>
      <c r="R39" s="714" t="s">
        <v>17</v>
      </c>
      <c r="S39" s="715">
        <f t="shared" si="10"/>
        <v>100</v>
      </c>
      <c r="T39" s="714" t="s">
        <v>17</v>
      </c>
      <c r="U39" s="715">
        <f t="shared" si="11"/>
        <v>100</v>
      </c>
      <c r="V39" s="714" t="s">
        <v>17</v>
      </c>
      <c r="W39" s="715">
        <f t="shared" si="12"/>
        <v>100</v>
      </c>
      <c r="X39" s="1539"/>
      <c r="Y39" s="3486"/>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486"/>
      <c r="Q40" s="1536" t="str">
        <f t="shared" si="14"/>
        <v>临街宽度及深度</v>
      </c>
      <c r="R40" s="714" t="s">
        <v>17</v>
      </c>
      <c r="S40" s="715">
        <f t="shared" si="10"/>
        <v>100</v>
      </c>
      <c r="T40" s="714" t="s">
        <v>17</v>
      </c>
      <c r="U40" s="715">
        <f t="shared" si="11"/>
        <v>100</v>
      </c>
      <c r="V40" s="714" t="s">
        <v>17</v>
      </c>
      <c r="W40" s="715">
        <f t="shared" si="12"/>
        <v>100</v>
      </c>
      <c r="X40" s="1539"/>
      <c r="Y40" s="3486"/>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486"/>
      <c r="Q41" s="1536" t="str">
        <f t="shared" si="14"/>
        <v>宗地开发程度</v>
      </c>
      <c r="R41" s="710" t="s">
        <v>17</v>
      </c>
      <c r="S41" s="711">
        <f t="shared" si="10"/>
        <v>100</v>
      </c>
      <c r="T41" s="710" t="s">
        <v>17</v>
      </c>
      <c r="U41" s="711">
        <f t="shared" si="11"/>
        <v>100</v>
      </c>
      <c r="V41" s="710" t="s">
        <v>17</v>
      </c>
      <c r="W41" s="711">
        <f t="shared" si="12"/>
        <v>100</v>
      </c>
      <c r="X41" s="712"/>
      <c r="Y41" s="3486"/>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486" t="s">
        <v>2386</v>
      </c>
      <c r="Q42" s="1536" t="str">
        <f t="shared" si="14"/>
        <v>工程地质条件</v>
      </c>
      <c r="R42" s="714" t="s">
        <v>17</v>
      </c>
      <c r="S42" s="715">
        <f t="shared" si="10"/>
        <v>100</v>
      </c>
      <c r="T42" s="714" t="s">
        <v>17</v>
      </c>
      <c r="U42" s="715">
        <f t="shared" si="11"/>
        <v>100</v>
      </c>
      <c r="V42" s="714" t="s">
        <v>17</v>
      </c>
      <c r="W42" s="715">
        <f t="shared" si="12"/>
        <v>100</v>
      </c>
      <c r="X42" s="1539"/>
      <c r="Y42" s="3486"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86"/>
      <c r="Q43" s="1536">
        <f t="shared" si="14"/>
        <v>111</v>
      </c>
      <c r="R43" s="714" t="s">
        <v>17</v>
      </c>
      <c r="S43" s="715">
        <f t="shared" si="10"/>
        <v>100</v>
      </c>
      <c r="T43" s="714" t="s">
        <v>17</v>
      </c>
      <c r="U43" s="715">
        <f t="shared" si="11"/>
        <v>100</v>
      </c>
      <c r="V43" s="714" t="s">
        <v>17</v>
      </c>
      <c r="W43" s="715">
        <f t="shared" si="12"/>
        <v>100</v>
      </c>
      <c r="X43" s="1539"/>
      <c r="Y43" s="348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86"/>
      <c r="Q44" s="1536">
        <f t="shared" si="14"/>
        <v>111</v>
      </c>
      <c r="R44" s="714" t="s">
        <v>17</v>
      </c>
      <c r="S44" s="715">
        <f t="shared" si="10"/>
        <v>100</v>
      </c>
      <c r="T44" s="714" t="s">
        <v>17</v>
      </c>
      <c r="U44" s="715">
        <f t="shared" si="11"/>
        <v>100</v>
      </c>
      <c r="V44" s="714" t="s">
        <v>17</v>
      </c>
      <c r="W44" s="715">
        <f t="shared" si="12"/>
        <v>100</v>
      </c>
      <c r="X44" s="1539"/>
      <c r="Y44" s="348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86"/>
      <c r="Q45" s="1536">
        <f t="shared" si="14"/>
        <v>111</v>
      </c>
      <c r="R45" s="717" t="s">
        <v>17</v>
      </c>
      <c r="S45" s="718">
        <f t="shared" si="10"/>
        <v>100</v>
      </c>
      <c r="T45" s="717" t="s">
        <v>17</v>
      </c>
      <c r="U45" s="718">
        <f t="shared" si="11"/>
        <v>100</v>
      </c>
      <c r="V45" s="717" t="s">
        <v>17</v>
      </c>
      <c r="W45" s="718">
        <f t="shared" si="12"/>
        <v>100</v>
      </c>
      <c r="X45" s="719"/>
      <c r="Y45" s="3486"/>
      <c r="Z45" s="720">
        <f t="shared" si="13"/>
        <v>111</v>
      </c>
      <c r="AA45" s="1537">
        <f t="shared" si="3"/>
        <v>1</v>
      </c>
      <c r="AB45" s="1537">
        <f t="shared" si="4"/>
        <v>1</v>
      </c>
      <c r="AC45" s="1537">
        <f t="shared" si="5"/>
        <v>1</v>
      </c>
    </row>
    <row r="46" spans="1:29" ht="15">
      <c r="A46" s="438" t="s">
        <v>2541</v>
      </c>
      <c r="B46" s="2168" t="s">
        <v>2577</v>
      </c>
      <c r="C46" s="638" t="s">
        <v>1</v>
      </c>
      <c r="D46" s="440"/>
      <c r="E46" s="441">
        <f>土地案例!P5</f>
        <v>1113</v>
      </c>
      <c r="F46" s="442"/>
      <c r="G46" s="443">
        <f>土地案例!P12</f>
        <v>1210</v>
      </c>
      <c r="H46" s="444"/>
      <c r="I46" s="441">
        <f>土地案例!P13</f>
        <v>1585</v>
      </c>
      <c r="J46" s="444"/>
      <c r="K46" s="723"/>
      <c r="L46" s="2953"/>
      <c r="M46" s="2954"/>
      <c r="N46" s="2945"/>
      <c r="O46" s="2954"/>
      <c r="P46" s="3481" t="str">
        <f>A46</f>
        <v>成交单价</v>
      </c>
      <c r="Q46" s="3481"/>
      <c r="R46" s="3487">
        <f>E46</f>
        <v>1113</v>
      </c>
      <c r="S46" s="3487"/>
      <c r="T46" s="3487">
        <f>G46</f>
        <v>1210</v>
      </c>
      <c r="U46" s="3487"/>
      <c r="V46" s="3487">
        <f>I46</f>
        <v>1585</v>
      </c>
      <c r="W46" s="3487"/>
      <c r="X46" s="699"/>
      <c r="Y46" s="721"/>
      <c r="Z46" s="699"/>
      <c r="AA46" s="699"/>
      <c r="AB46" s="699"/>
      <c r="AC46" s="699"/>
    </row>
    <row r="47" spans="1:29" ht="15.75" thickBot="1">
      <c r="A47" s="445" t="s">
        <v>2490</v>
      </c>
      <c r="B47" s="639"/>
      <c r="C47" s="448">
        <f>R48</f>
        <v>1218</v>
      </c>
      <c r="D47" s="2538" t="s">
        <v>4069</v>
      </c>
      <c r="E47" s="448">
        <f>R47</f>
        <v>1139</v>
      </c>
      <c r="F47" s="2539">
        <v>0.2</v>
      </c>
      <c r="G47" s="447">
        <f>T47</f>
        <v>1166</v>
      </c>
      <c r="H47" s="2539">
        <v>0.6</v>
      </c>
      <c r="I47" s="448">
        <f>V47</f>
        <v>1453</v>
      </c>
      <c r="J47" s="2539">
        <v>0.2</v>
      </c>
      <c r="K47" s="2541">
        <f>F47+H47+J47</f>
        <v>1</v>
      </c>
      <c r="L47" s="2953"/>
      <c r="M47" s="2954"/>
      <c r="N47" s="2954"/>
      <c r="O47" s="2954"/>
      <c r="P47" s="3481" t="str">
        <f>A47</f>
        <v>比较价值（元/平方米）</v>
      </c>
      <c r="Q47" s="3481"/>
      <c r="R47" s="3474">
        <f>ROUND(PRODUCT(R46,AA7:AA45),0)</f>
        <v>1139</v>
      </c>
      <c r="S47" s="3474"/>
      <c r="T47" s="3474">
        <f>ROUND(PRODUCT(T46,AB7:AB45),0)</f>
        <v>1166</v>
      </c>
      <c r="U47" s="3474"/>
      <c r="V47" s="3474">
        <f>ROUND(PRODUCT(V46,AC7:AC45),0)</f>
        <v>1453</v>
      </c>
      <c r="W47" s="3474"/>
      <c r="X47" s="699"/>
      <c r="Y47" s="699"/>
      <c r="Z47" s="699"/>
      <c r="AA47" s="699"/>
      <c r="AB47" s="699"/>
      <c r="AC47" s="699"/>
    </row>
    <row r="48" spans="1:29" ht="15.75" thickBot="1">
      <c r="A48" s="449" t="s">
        <v>2578</v>
      </c>
      <c r="B48" s="450"/>
      <c r="C48" s="451">
        <f>R48</f>
        <v>1218</v>
      </c>
      <c r="D48" s="451"/>
      <c r="E48" s="451"/>
      <c r="F48" s="451"/>
      <c r="G48" s="451"/>
      <c r="H48" s="451"/>
      <c r="I48" s="451"/>
      <c r="J48" s="451"/>
      <c r="K48" s="724"/>
      <c r="L48" s="2953"/>
      <c r="M48" s="2954"/>
      <c r="N48" s="2954"/>
      <c r="O48" s="2954"/>
      <c r="P48" s="3475" t="str">
        <f>A48</f>
        <v>估价对象XX用房的比较价值（楼面单价，元/平方米）</v>
      </c>
      <c r="Q48" s="3476"/>
      <c r="R48" s="3477">
        <f>ROUND(IF(D47="简单平均",AVERAGE(R47:W47),R47*F47+T47*H47+V47*J47),0)</f>
        <v>1218</v>
      </c>
      <c r="S48" s="3477"/>
      <c r="T48" s="3477"/>
      <c r="U48" s="3477"/>
      <c r="V48" s="3477"/>
      <c r="W48" s="347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f>IF(E46&lt;E47,E47/E46-1,E46/E47-1)</f>
        <v>2.3360287511230871E-2</v>
      </c>
      <c r="F51" s="457" t="str">
        <f>IF(OR(E51&gt;=0.3,E51&lt;=-0.3),"超过30%","")</f>
        <v/>
      </c>
      <c r="G51" s="456">
        <f>IF(G46&lt;G47,G47/G46-1,G46/G47-1)</f>
        <v>3.7735849056603765E-2</v>
      </c>
      <c r="H51" s="457" t="str">
        <f>IF(OR(G51&gt;=0.3,G51&lt;=-0.3),"超过30%","")</f>
        <v/>
      </c>
      <c r="I51" s="456">
        <f>IF(I46&lt;I47,I47/I46-1,I46/I47-1)</f>
        <v>9.0846524432209197E-2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f>IF(E47&lt;G47,G47/E47-1,E47/G47-1)</f>
        <v>2.3705004389815709E-2</v>
      </c>
      <c r="F52" s="457" t="str">
        <f>IF(OR(E52&gt;=0.2,E52&lt;=-0.2),"超过20%","")</f>
        <v/>
      </c>
      <c r="G52" s="456">
        <f>IF(G47&lt;I47,I47/G47-1,G47/I47-1)</f>
        <v>0.24614065180102918</v>
      </c>
      <c r="H52" s="457" t="str">
        <f>IF(OR(G52&gt;=0.2,G52&lt;=-0.2),"超过20%","")</f>
        <v>超过20%</v>
      </c>
      <c r="I52" s="456">
        <f>IF(I47&lt;E47,E47/I47-1,I47/E47-1)</f>
        <v>0.27568042142230031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f>IF(E46&lt;G46,G46/E46-1,E46/G46-1)</f>
        <v>8.7151841868823077E-2</v>
      </c>
      <c r="F53" s="457" t="str">
        <f>IF(OR(E53&gt;=0.3,E53&lt;=-0.3),"超过30%","")</f>
        <v/>
      </c>
      <c r="G53" s="456">
        <f>IF(G46&lt;I46,I46/G46-1,G46/I46-1)</f>
        <v>0.30991735537190079</v>
      </c>
      <c r="H53" s="457" t="str">
        <f>IF(OR(G53&gt;=0.3,G53&lt;=-0.3),"超过30%","")</f>
        <v>超过30%</v>
      </c>
      <c r="I53" s="456">
        <f>IF(I46&lt;E46,E46/I46-1,I46/E46-1)</f>
        <v>0.42407906558849962</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478" t="s">
        <v>2585</v>
      </c>
      <c r="H55" s="3479"/>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f>C48</f>
        <v>1218</v>
      </c>
      <c r="C56" s="646">
        <v>1</v>
      </c>
      <c r="D56" s="1075">
        <v>1</v>
      </c>
      <c r="E56" s="646">
        <f>'数据-汇总表'!E8+'数据-汇总表'!E9</f>
        <v>43580.39</v>
      </c>
      <c r="F56" s="1017">
        <f t="shared" ref="F56:F65" si="15">ROUND(B56*E56/10000,0)</f>
        <v>5308</v>
      </c>
      <c r="G56" s="3480"/>
      <c r="H56" s="3481"/>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3271" t="s">
        <v>2589</v>
      </c>
      <c r="B57" s="224">
        <f>ROUND($C$48*C57*D57,0)</f>
        <v>0</v>
      </c>
      <c r="C57" s="176">
        <f t="shared" ref="C57:C65" si="16">IF($C$55="北京市系数",I57,J57)</f>
        <v>0</v>
      </c>
      <c r="D57" s="1076">
        <v>0.25</v>
      </c>
      <c r="E57" s="3272"/>
      <c r="F57" s="1017">
        <f t="shared" si="15"/>
        <v>0</v>
      </c>
      <c r="G57" s="348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f t="shared" ref="B58:B65" si="17">ROUND($C$48*C58*D58,0)</f>
        <v>0</v>
      </c>
      <c r="C58" s="176">
        <f t="shared" si="16"/>
        <v>0</v>
      </c>
      <c r="D58" s="1076">
        <v>0.25</v>
      </c>
      <c r="E58" s="650"/>
      <c r="F58" s="1017">
        <f t="shared" si="15"/>
        <v>0</v>
      </c>
      <c r="G58" s="348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f t="shared" si="17"/>
        <v>0</v>
      </c>
      <c r="C59" s="176">
        <f t="shared" si="16"/>
        <v>0</v>
      </c>
      <c r="D59" s="1076">
        <v>0.25</v>
      </c>
      <c r="E59" s="650"/>
      <c r="F59" s="1017">
        <f t="shared" si="15"/>
        <v>0</v>
      </c>
      <c r="G59" s="348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f t="shared" si="17"/>
        <v>0</v>
      </c>
      <c r="C60" s="176">
        <f t="shared" si="16"/>
        <v>0</v>
      </c>
      <c r="D60" s="1076">
        <v>0.25</v>
      </c>
      <c r="E60" s="650"/>
      <c r="F60" s="1017">
        <f t="shared" si="15"/>
        <v>0</v>
      </c>
      <c r="G60" s="348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f t="shared" si="17"/>
        <v>0</v>
      </c>
      <c r="C61" s="176">
        <f t="shared" si="16"/>
        <v>0</v>
      </c>
      <c r="D61" s="1076">
        <v>0.25</v>
      </c>
      <c r="E61" s="223">
        <f>'数据-汇总表'!E11</f>
        <v>0</v>
      </c>
      <c r="F61" s="1017">
        <f t="shared" si="15"/>
        <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3271" t="s">
        <v>2598</v>
      </c>
      <c r="B63" s="224">
        <f t="shared" si="17"/>
        <v>0</v>
      </c>
      <c r="C63" s="176">
        <f t="shared" si="16"/>
        <v>0</v>
      </c>
      <c r="D63" s="1076">
        <v>0.25</v>
      </c>
      <c r="E63" s="223">
        <f>'数据-汇总表'!E13</f>
        <v>21980.41</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f t="shared" si="17"/>
        <v>0</v>
      </c>
      <c r="C65" s="176">
        <f t="shared" si="16"/>
        <v>0</v>
      </c>
      <c r="D65" s="1076">
        <v>0.25</v>
      </c>
      <c r="E65" s="223">
        <f>'数据-汇总表'!E15</f>
        <v>0</v>
      </c>
      <c r="F65" s="1017">
        <f t="shared" si="15"/>
        <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65560.800000000003</v>
      </c>
      <c r="F66" s="653">
        <f>IF(B46="楼面地价",SUM(F56:F65),ROUND(C48*E66/10000,0))</f>
        <v>5308</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v>100</v>
      </c>
      <c r="E71" s="552">
        <v>99.5</v>
      </c>
      <c r="F71" s="552">
        <v>99.5</v>
      </c>
      <c r="G71" s="552">
        <v>99</v>
      </c>
      <c r="H71" s="552">
        <v>99</v>
      </c>
      <c r="I71" s="552">
        <v>98.5</v>
      </c>
      <c r="J71" s="552">
        <v>98.5</v>
      </c>
      <c r="K71" s="552">
        <v>98</v>
      </c>
      <c r="L71" s="552">
        <v>98</v>
      </c>
      <c r="M71" s="1340">
        <v>97.5</v>
      </c>
      <c r="N71" s="552">
        <v>97.5</v>
      </c>
      <c r="O71" s="1341">
        <v>97</v>
      </c>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98</v>
      </c>
      <c r="E91" s="501">
        <f>D91-$K17</f>
        <v>96</v>
      </c>
      <c r="F91" s="501">
        <f>E91-$K17</f>
        <v>94</v>
      </c>
      <c r="G91" s="501">
        <f>F91-$K17</f>
        <v>92</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2384</v>
      </c>
      <c r="B116" s="485" t="s">
        <v>2612</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20000</v>
      </c>
      <c r="E117" s="552">
        <v>40000</v>
      </c>
      <c r="F117" s="552">
        <v>60000</v>
      </c>
      <c r="G117" s="552">
        <v>80000</v>
      </c>
      <c r="H117" s="552">
        <v>100000</v>
      </c>
      <c r="I117" s="552">
        <v>120000</v>
      </c>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48">
        <v>102</v>
      </c>
      <c r="F118" s="527">
        <v>103</v>
      </c>
      <c r="G118" s="548">
        <v>104</v>
      </c>
      <c r="H118" s="548">
        <v>105</v>
      </c>
      <c r="I118" s="527">
        <v>106</v>
      </c>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A16" zoomScale="90" zoomScaleNormal="90" workbookViewId="0">
      <selection activeCell="G24" sqref="G24"/>
    </sheetView>
  </sheetViews>
  <sheetFormatPr defaultColWidth="8.75" defaultRowHeight="13.15" customHeight="1"/>
  <cols>
    <col min="1" max="1" width="8.5" style="3108" customWidth="1"/>
    <col min="2" max="2" width="8.75" style="3108"/>
    <col min="3" max="5" width="11.625" style="3108" customWidth="1"/>
    <col min="6" max="6" width="42.75" style="3108" customWidth="1"/>
    <col min="7" max="7" width="11.75" style="3265" customWidth="1"/>
    <col min="8" max="8" width="8.75" style="3108"/>
    <col min="9" max="9" width="8.75" style="3109"/>
    <col min="10" max="10" width="5.25" style="3266" customWidth="1"/>
    <col min="11" max="11" width="10.625" style="3266" customWidth="1"/>
    <col min="12" max="13" width="9.75" style="3266" customWidth="1"/>
    <col min="14" max="14" width="9" style="3266" customWidth="1"/>
    <col min="15" max="16" width="9.375" style="3266" bestFit="1" customWidth="1"/>
    <col min="17" max="17" width="9" style="3266" customWidth="1"/>
    <col min="18" max="18" width="9.125" style="3266" customWidth="1"/>
    <col min="19" max="19" width="9" style="3266" customWidth="1"/>
    <col min="20" max="20" width="23.5" style="3266" customWidth="1"/>
    <col min="21" max="21" width="8.75" style="3266"/>
    <col min="22" max="22" width="8.75" style="3109"/>
    <col min="23" max="256" width="8.75" style="3108"/>
    <col min="257" max="257" width="8.5" style="3108" customWidth="1"/>
    <col min="258" max="258" width="8.75" style="3108"/>
    <col min="259" max="261" width="11.625" style="3108" customWidth="1"/>
    <col min="262" max="262" width="42.75" style="3108" customWidth="1"/>
    <col min="263" max="263" width="11.75" style="3108" customWidth="1"/>
    <col min="264" max="265" width="8.75" style="3108"/>
    <col min="266" max="266" width="5.25" style="3108" customWidth="1"/>
    <col min="267" max="267" width="10.625" style="3108" customWidth="1"/>
    <col min="268" max="269" width="9.75" style="3108" customWidth="1"/>
    <col min="270" max="270" width="9" style="3108" customWidth="1"/>
    <col min="271" max="272" width="9.375" style="3108" bestFit="1" customWidth="1"/>
    <col min="273" max="273" width="9" style="3108" customWidth="1"/>
    <col min="274" max="274" width="9.125" style="3108" customWidth="1"/>
    <col min="275" max="275" width="9" style="3108" customWidth="1"/>
    <col min="276" max="276" width="23.5" style="3108" customWidth="1"/>
    <col min="277" max="512" width="8.75" style="3108"/>
    <col min="513" max="513" width="8.5" style="3108" customWidth="1"/>
    <col min="514" max="514" width="8.75" style="3108"/>
    <col min="515" max="517" width="11.625" style="3108" customWidth="1"/>
    <col min="518" max="518" width="42.75" style="3108" customWidth="1"/>
    <col min="519" max="519" width="11.75" style="3108" customWidth="1"/>
    <col min="520" max="521" width="8.75" style="3108"/>
    <col min="522" max="522" width="5.25" style="3108" customWidth="1"/>
    <col min="523" max="523" width="10.625" style="3108" customWidth="1"/>
    <col min="524" max="525" width="9.75" style="3108" customWidth="1"/>
    <col min="526" max="526" width="9" style="3108" customWidth="1"/>
    <col min="527" max="528" width="9.375" style="3108" bestFit="1" customWidth="1"/>
    <col min="529" max="529" width="9" style="3108" customWidth="1"/>
    <col min="530" max="530" width="9.125" style="3108" customWidth="1"/>
    <col min="531" max="531" width="9" style="3108" customWidth="1"/>
    <col min="532" max="532" width="23.5" style="3108" customWidth="1"/>
    <col min="533" max="768" width="8.75" style="3108"/>
    <col min="769" max="769" width="8.5" style="3108" customWidth="1"/>
    <col min="770" max="770" width="8.75" style="3108"/>
    <col min="771" max="773" width="11.625" style="3108" customWidth="1"/>
    <col min="774" max="774" width="42.75" style="3108" customWidth="1"/>
    <col min="775" max="775" width="11.75" style="3108" customWidth="1"/>
    <col min="776" max="777" width="8.75" style="3108"/>
    <col min="778" max="778" width="5.25" style="3108" customWidth="1"/>
    <col min="779" max="779" width="10.625" style="3108" customWidth="1"/>
    <col min="780" max="781" width="9.75" style="3108" customWidth="1"/>
    <col min="782" max="782" width="9" style="3108" customWidth="1"/>
    <col min="783" max="784" width="9.375" style="3108" bestFit="1" customWidth="1"/>
    <col min="785" max="785" width="9" style="3108" customWidth="1"/>
    <col min="786" max="786" width="9.125" style="3108" customWidth="1"/>
    <col min="787" max="787" width="9" style="3108" customWidth="1"/>
    <col min="788" max="788" width="23.5" style="3108" customWidth="1"/>
    <col min="789" max="1024" width="8.75" style="3108"/>
    <col min="1025" max="1025" width="8.5" style="3108" customWidth="1"/>
    <col min="1026" max="1026" width="8.75" style="3108"/>
    <col min="1027" max="1029" width="11.625" style="3108" customWidth="1"/>
    <col min="1030" max="1030" width="42.75" style="3108" customWidth="1"/>
    <col min="1031" max="1031" width="11.75" style="3108" customWidth="1"/>
    <col min="1032" max="1033" width="8.75" style="3108"/>
    <col min="1034" max="1034" width="5.25" style="3108" customWidth="1"/>
    <col min="1035" max="1035" width="10.625" style="3108" customWidth="1"/>
    <col min="1036" max="1037" width="9.75" style="3108" customWidth="1"/>
    <col min="1038" max="1038" width="9" style="3108" customWidth="1"/>
    <col min="1039" max="1040" width="9.375" style="3108" bestFit="1" customWidth="1"/>
    <col min="1041" max="1041" width="9" style="3108" customWidth="1"/>
    <col min="1042" max="1042" width="9.125" style="3108" customWidth="1"/>
    <col min="1043" max="1043" width="9" style="3108" customWidth="1"/>
    <col min="1044" max="1044" width="23.5" style="3108" customWidth="1"/>
    <col min="1045" max="1280" width="8.75" style="3108"/>
    <col min="1281" max="1281" width="8.5" style="3108" customWidth="1"/>
    <col min="1282" max="1282" width="8.75" style="3108"/>
    <col min="1283" max="1285" width="11.625" style="3108" customWidth="1"/>
    <col min="1286" max="1286" width="42.75" style="3108" customWidth="1"/>
    <col min="1287" max="1287" width="11.75" style="3108" customWidth="1"/>
    <col min="1288" max="1289" width="8.75" style="3108"/>
    <col min="1290" max="1290" width="5.25" style="3108" customWidth="1"/>
    <col min="1291" max="1291" width="10.625" style="3108" customWidth="1"/>
    <col min="1292" max="1293" width="9.75" style="3108" customWidth="1"/>
    <col min="1294" max="1294" width="9" style="3108" customWidth="1"/>
    <col min="1295" max="1296" width="9.375" style="3108" bestFit="1" customWidth="1"/>
    <col min="1297" max="1297" width="9" style="3108" customWidth="1"/>
    <col min="1298" max="1298" width="9.125" style="3108" customWidth="1"/>
    <col min="1299" max="1299" width="9" style="3108" customWidth="1"/>
    <col min="1300" max="1300" width="23.5" style="3108" customWidth="1"/>
    <col min="1301" max="1536" width="8.75" style="3108"/>
    <col min="1537" max="1537" width="8.5" style="3108" customWidth="1"/>
    <col min="1538" max="1538" width="8.75" style="3108"/>
    <col min="1539" max="1541" width="11.625" style="3108" customWidth="1"/>
    <col min="1542" max="1542" width="42.75" style="3108" customWidth="1"/>
    <col min="1543" max="1543" width="11.75" style="3108" customWidth="1"/>
    <col min="1544" max="1545" width="8.75" style="3108"/>
    <col min="1546" max="1546" width="5.25" style="3108" customWidth="1"/>
    <col min="1547" max="1547" width="10.625" style="3108" customWidth="1"/>
    <col min="1548" max="1549" width="9.75" style="3108" customWidth="1"/>
    <col min="1550" max="1550" width="9" style="3108" customWidth="1"/>
    <col min="1551" max="1552" width="9.375" style="3108" bestFit="1" customWidth="1"/>
    <col min="1553" max="1553" width="9" style="3108" customWidth="1"/>
    <col min="1554" max="1554" width="9.125" style="3108" customWidth="1"/>
    <col min="1555" max="1555" width="9" style="3108" customWidth="1"/>
    <col min="1556" max="1556" width="23.5" style="3108" customWidth="1"/>
    <col min="1557" max="1792" width="8.75" style="3108"/>
    <col min="1793" max="1793" width="8.5" style="3108" customWidth="1"/>
    <col min="1794" max="1794" width="8.75" style="3108"/>
    <col min="1795" max="1797" width="11.625" style="3108" customWidth="1"/>
    <col min="1798" max="1798" width="42.75" style="3108" customWidth="1"/>
    <col min="1799" max="1799" width="11.75" style="3108" customWidth="1"/>
    <col min="1800" max="1801" width="8.75" style="3108"/>
    <col min="1802" max="1802" width="5.25" style="3108" customWidth="1"/>
    <col min="1803" max="1803" width="10.625" style="3108" customWidth="1"/>
    <col min="1804" max="1805" width="9.75" style="3108" customWidth="1"/>
    <col min="1806" max="1806" width="9" style="3108" customWidth="1"/>
    <col min="1807" max="1808" width="9.375" style="3108" bestFit="1" customWidth="1"/>
    <col min="1809" max="1809" width="9" style="3108" customWidth="1"/>
    <col min="1810" max="1810" width="9.125" style="3108" customWidth="1"/>
    <col min="1811" max="1811" width="9" style="3108" customWidth="1"/>
    <col min="1812" max="1812" width="23.5" style="3108" customWidth="1"/>
    <col min="1813" max="2048" width="8.75" style="3108"/>
    <col min="2049" max="2049" width="8.5" style="3108" customWidth="1"/>
    <col min="2050" max="2050" width="8.75" style="3108"/>
    <col min="2051" max="2053" width="11.625" style="3108" customWidth="1"/>
    <col min="2054" max="2054" width="42.75" style="3108" customWidth="1"/>
    <col min="2055" max="2055" width="11.75" style="3108" customWidth="1"/>
    <col min="2056" max="2057" width="8.75" style="3108"/>
    <col min="2058" max="2058" width="5.25" style="3108" customWidth="1"/>
    <col min="2059" max="2059" width="10.625" style="3108" customWidth="1"/>
    <col min="2060" max="2061" width="9.75" style="3108" customWidth="1"/>
    <col min="2062" max="2062" width="9" style="3108" customWidth="1"/>
    <col min="2063" max="2064" width="9.375" style="3108" bestFit="1" customWidth="1"/>
    <col min="2065" max="2065" width="9" style="3108" customWidth="1"/>
    <col min="2066" max="2066" width="9.125" style="3108" customWidth="1"/>
    <col min="2067" max="2067" width="9" style="3108" customWidth="1"/>
    <col min="2068" max="2068" width="23.5" style="3108" customWidth="1"/>
    <col min="2069" max="2304" width="8.75" style="3108"/>
    <col min="2305" max="2305" width="8.5" style="3108" customWidth="1"/>
    <col min="2306" max="2306" width="8.75" style="3108"/>
    <col min="2307" max="2309" width="11.625" style="3108" customWidth="1"/>
    <col min="2310" max="2310" width="42.75" style="3108" customWidth="1"/>
    <col min="2311" max="2311" width="11.75" style="3108" customWidth="1"/>
    <col min="2312" max="2313" width="8.75" style="3108"/>
    <col min="2314" max="2314" width="5.25" style="3108" customWidth="1"/>
    <col min="2315" max="2315" width="10.625" style="3108" customWidth="1"/>
    <col min="2316" max="2317" width="9.75" style="3108" customWidth="1"/>
    <col min="2318" max="2318" width="9" style="3108" customWidth="1"/>
    <col min="2319" max="2320" width="9.375" style="3108" bestFit="1" customWidth="1"/>
    <col min="2321" max="2321" width="9" style="3108" customWidth="1"/>
    <col min="2322" max="2322" width="9.125" style="3108" customWidth="1"/>
    <col min="2323" max="2323" width="9" style="3108" customWidth="1"/>
    <col min="2324" max="2324" width="23.5" style="3108" customWidth="1"/>
    <col min="2325" max="2560" width="8.75" style="3108"/>
    <col min="2561" max="2561" width="8.5" style="3108" customWidth="1"/>
    <col min="2562" max="2562" width="8.75" style="3108"/>
    <col min="2563" max="2565" width="11.625" style="3108" customWidth="1"/>
    <col min="2566" max="2566" width="42.75" style="3108" customWidth="1"/>
    <col min="2567" max="2567" width="11.75" style="3108" customWidth="1"/>
    <col min="2568" max="2569" width="8.75" style="3108"/>
    <col min="2570" max="2570" width="5.25" style="3108" customWidth="1"/>
    <col min="2571" max="2571" width="10.625" style="3108" customWidth="1"/>
    <col min="2572" max="2573" width="9.75" style="3108" customWidth="1"/>
    <col min="2574" max="2574" width="9" style="3108" customWidth="1"/>
    <col min="2575" max="2576" width="9.375" style="3108" bestFit="1" customWidth="1"/>
    <col min="2577" max="2577" width="9" style="3108" customWidth="1"/>
    <col min="2578" max="2578" width="9.125" style="3108" customWidth="1"/>
    <col min="2579" max="2579" width="9" style="3108" customWidth="1"/>
    <col min="2580" max="2580" width="23.5" style="3108" customWidth="1"/>
    <col min="2581" max="2816" width="8.75" style="3108"/>
    <col min="2817" max="2817" width="8.5" style="3108" customWidth="1"/>
    <col min="2818" max="2818" width="8.75" style="3108"/>
    <col min="2819" max="2821" width="11.625" style="3108" customWidth="1"/>
    <col min="2822" max="2822" width="42.75" style="3108" customWidth="1"/>
    <col min="2823" max="2823" width="11.75" style="3108" customWidth="1"/>
    <col min="2824" max="2825" width="8.75" style="3108"/>
    <col min="2826" max="2826" width="5.25" style="3108" customWidth="1"/>
    <col min="2827" max="2827" width="10.625" style="3108" customWidth="1"/>
    <col min="2828" max="2829" width="9.75" style="3108" customWidth="1"/>
    <col min="2830" max="2830" width="9" style="3108" customWidth="1"/>
    <col min="2831" max="2832" width="9.375" style="3108" bestFit="1" customWidth="1"/>
    <col min="2833" max="2833" width="9" style="3108" customWidth="1"/>
    <col min="2834" max="2834" width="9.125" style="3108" customWidth="1"/>
    <col min="2835" max="2835" width="9" style="3108" customWidth="1"/>
    <col min="2836" max="2836" width="23.5" style="3108" customWidth="1"/>
    <col min="2837" max="3072" width="8.75" style="3108"/>
    <col min="3073" max="3073" width="8.5" style="3108" customWidth="1"/>
    <col min="3074" max="3074" width="8.75" style="3108"/>
    <col min="3075" max="3077" width="11.625" style="3108" customWidth="1"/>
    <col min="3078" max="3078" width="42.75" style="3108" customWidth="1"/>
    <col min="3079" max="3079" width="11.75" style="3108" customWidth="1"/>
    <col min="3080" max="3081" width="8.75" style="3108"/>
    <col min="3082" max="3082" width="5.25" style="3108" customWidth="1"/>
    <col min="3083" max="3083" width="10.625" style="3108" customWidth="1"/>
    <col min="3084" max="3085" width="9.75" style="3108" customWidth="1"/>
    <col min="3086" max="3086" width="9" style="3108" customWidth="1"/>
    <col min="3087" max="3088" width="9.375" style="3108" bestFit="1" customWidth="1"/>
    <col min="3089" max="3089" width="9" style="3108" customWidth="1"/>
    <col min="3090" max="3090" width="9.125" style="3108" customWidth="1"/>
    <col min="3091" max="3091" width="9" style="3108" customWidth="1"/>
    <col min="3092" max="3092" width="23.5" style="3108" customWidth="1"/>
    <col min="3093" max="3328" width="8.75" style="3108"/>
    <col min="3329" max="3329" width="8.5" style="3108" customWidth="1"/>
    <col min="3330" max="3330" width="8.75" style="3108"/>
    <col min="3331" max="3333" width="11.625" style="3108" customWidth="1"/>
    <col min="3334" max="3334" width="42.75" style="3108" customWidth="1"/>
    <col min="3335" max="3335" width="11.75" style="3108" customWidth="1"/>
    <col min="3336" max="3337" width="8.75" style="3108"/>
    <col min="3338" max="3338" width="5.25" style="3108" customWidth="1"/>
    <col min="3339" max="3339" width="10.625" style="3108" customWidth="1"/>
    <col min="3340" max="3341" width="9.75" style="3108" customWidth="1"/>
    <col min="3342" max="3342" width="9" style="3108" customWidth="1"/>
    <col min="3343" max="3344" width="9.375" style="3108" bestFit="1" customWidth="1"/>
    <col min="3345" max="3345" width="9" style="3108" customWidth="1"/>
    <col min="3346" max="3346" width="9.125" style="3108" customWidth="1"/>
    <col min="3347" max="3347" width="9" style="3108" customWidth="1"/>
    <col min="3348" max="3348" width="23.5" style="3108" customWidth="1"/>
    <col min="3349" max="3584" width="8.75" style="3108"/>
    <col min="3585" max="3585" width="8.5" style="3108" customWidth="1"/>
    <col min="3586" max="3586" width="8.75" style="3108"/>
    <col min="3587" max="3589" width="11.625" style="3108" customWidth="1"/>
    <col min="3590" max="3590" width="42.75" style="3108" customWidth="1"/>
    <col min="3591" max="3591" width="11.75" style="3108" customWidth="1"/>
    <col min="3592" max="3593" width="8.75" style="3108"/>
    <col min="3594" max="3594" width="5.25" style="3108" customWidth="1"/>
    <col min="3595" max="3595" width="10.625" style="3108" customWidth="1"/>
    <col min="3596" max="3597" width="9.75" style="3108" customWidth="1"/>
    <col min="3598" max="3598" width="9" style="3108" customWidth="1"/>
    <col min="3599" max="3600" width="9.375" style="3108" bestFit="1" customWidth="1"/>
    <col min="3601" max="3601" width="9" style="3108" customWidth="1"/>
    <col min="3602" max="3602" width="9.125" style="3108" customWidth="1"/>
    <col min="3603" max="3603" width="9" style="3108" customWidth="1"/>
    <col min="3604" max="3604" width="23.5" style="3108" customWidth="1"/>
    <col min="3605" max="3840" width="8.75" style="3108"/>
    <col min="3841" max="3841" width="8.5" style="3108" customWidth="1"/>
    <col min="3842" max="3842" width="8.75" style="3108"/>
    <col min="3843" max="3845" width="11.625" style="3108" customWidth="1"/>
    <col min="3846" max="3846" width="42.75" style="3108" customWidth="1"/>
    <col min="3847" max="3847" width="11.75" style="3108" customWidth="1"/>
    <col min="3848" max="3849" width="8.75" style="3108"/>
    <col min="3850" max="3850" width="5.25" style="3108" customWidth="1"/>
    <col min="3851" max="3851" width="10.625" style="3108" customWidth="1"/>
    <col min="3852" max="3853" width="9.75" style="3108" customWidth="1"/>
    <col min="3854" max="3854" width="9" style="3108" customWidth="1"/>
    <col min="3855" max="3856" width="9.375" style="3108" bestFit="1" customWidth="1"/>
    <col min="3857" max="3857" width="9" style="3108" customWidth="1"/>
    <col min="3858" max="3858" width="9.125" style="3108" customWidth="1"/>
    <col min="3859" max="3859" width="9" style="3108" customWidth="1"/>
    <col min="3860" max="3860" width="23.5" style="3108" customWidth="1"/>
    <col min="3861" max="4096" width="8.75" style="3108"/>
    <col min="4097" max="4097" width="8.5" style="3108" customWidth="1"/>
    <col min="4098" max="4098" width="8.75" style="3108"/>
    <col min="4099" max="4101" width="11.625" style="3108" customWidth="1"/>
    <col min="4102" max="4102" width="42.75" style="3108" customWidth="1"/>
    <col min="4103" max="4103" width="11.75" style="3108" customWidth="1"/>
    <col min="4104" max="4105" width="8.75" style="3108"/>
    <col min="4106" max="4106" width="5.25" style="3108" customWidth="1"/>
    <col min="4107" max="4107" width="10.625" style="3108" customWidth="1"/>
    <col min="4108" max="4109" width="9.75" style="3108" customWidth="1"/>
    <col min="4110" max="4110" width="9" style="3108" customWidth="1"/>
    <col min="4111" max="4112" width="9.375" style="3108" bestFit="1" customWidth="1"/>
    <col min="4113" max="4113" width="9" style="3108" customWidth="1"/>
    <col min="4114" max="4114" width="9.125" style="3108" customWidth="1"/>
    <col min="4115" max="4115" width="9" style="3108" customWidth="1"/>
    <col min="4116" max="4116" width="23.5" style="3108" customWidth="1"/>
    <col min="4117" max="4352" width="8.75" style="3108"/>
    <col min="4353" max="4353" width="8.5" style="3108" customWidth="1"/>
    <col min="4354" max="4354" width="8.75" style="3108"/>
    <col min="4355" max="4357" width="11.625" style="3108" customWidth="1"/>
    <col min="4358" max="4358" width="42.75" style="3108" customWidth="1"/>
    <col min="4359" max="4359" width="11.75" style="3108" customWidth="1"/>
    <col min="4360" max="4361" width="8.75" style="3108"/>
    <col min="4362" max="4362" width="5.25" style="3108" customWidth="1"/>
    <col min="4363" max="4363" width="10.625" style="3108" customWidth="1"/>
    <col min="4364" max="4365" width="9.75" style="3108" customWidth="1"/>
    <col min="4366" max="4366" width="9" style="3108" customWidth="1"/>
    <col min="4367" max="4368" width="9.375" style="3108" bestFit="1" customWidth="1"/>
    <col min="4369" max="4369" width="9" style="3108" customWidth="1"/>
    <col min="4370" max="4370" width="9.125" style="3108" customWidth="1"/>
    <col min="4371" max="4371" width="9" style="3108" customWidth="1"/>
    <col min="4372" max="4372" width="23.5" style="3108" customWidth="1"/>
    <col min="4373" max="4608" width="8.75" style="3108"/>
    <col min="4609" max="4609" width="8.5" style="3108" customWidth="1"/>
    <col min="4610" max="4610" width="8.75" style="3108"/>
    <col min="4611" max="4613" width="11.625" style="3108" customWidth="1"/>
    <col min="4614" max="4614" width="42.75" style="3108" customWidth="1"/>
    <col min="4615" max="4615" width="11.75" style="3108" customWidth="1"/>
    <col min="4616" max="4617" width="8.75" style="3108"/>
    <col min="4618" max="4618" width="5.25" style="3108" customWidth="1"/>
    <col min="4619" max="4619" width="10.625" style="3108" customWidth="1"/>
    <col min="4620" max="4621" width="9.75" style="3108" customWidth="1"/>
    <col min="4622" max="4622" width="9" style="3108" customWidth="1"/>
    <col min="4623" max="4624" width="9.375" style="3108" bestFit="1" customWidth="1"/>
    <col min="4625" max="4625" width="9" style="3108" customWidth="1"/>
    <col min="4626" max="4626" width="9.125" style="3108" customWidth="1"/>
    <col min="4627" max="4627" width="9" style="3108" customWidth="1"/>
    <col min="4628" max="4628" width="23.5" style="3108" customWidth="1"/>
    <col min="4629" max="4864" width="8.75" style="3108"/>
    <col min="4865" max="4865" width="8.5" style="3108" customWidth="1"/>
    <col min="4866" max="4866" width="8.75" style="3108"/>
    <col min="4867" max="4869" width="11.625" style="3108" customWidth="1"/>
    <col min="4870" max="4870" width="42.75" style="3108" customWidth="1"/>
    <col min="4871" max="4871" width="11.75" style="3108" customWidth="1"/>
    <col min="4872" max="4873" width="8.75" style="3108"/>
    <col min="4874" max="4874" width="5.25" style="3108" customWidth="1"/>
    <col min="4875" max="4875" width="10.625" style="3108" customWidth="1"/>
    <col min="4876" max="4877" width="9.75" style="3108" customWidth="1"/>
    <col min="4878" max="4878" width="9" style="3108" customWidth="1"/>
    <col min="4879" max="4880" width="9.375" style="3108" bestFit="1" customWidth="1"/>
    <col min="4881" max="4881" width="9" style="3108" customWidth="1"/>
    <col min="4882" max="4882" width="9.125" style="3108" customWidth="1"/>
    <col min="4883" max="4883" width="9" style="3108" customWidth="1"/>
    <col min="4884" max="4884" width="23.5" style="3108" customWidth="1"/>
    <col min="4885" max="5120" width="8.75" style="3108"/>
    <col min="5121" max="5121" width="8.5" style="3108" customWidth="1"/>
    <col min="5122" max="5122" width="8.75" style="3108"/>
    <col min="5123" max="5125" width="11.625" style="3108" customWidth="1"/>
    <col min="5126" max="5126" width="42.75" style="3108" customWidth="1"/>
    <col min="5127" max="5127" width="11.75" style="3108" customWidth="1"/>
    <col min="5128" max="5129" width="8.75" style="3108"/>
    <col min="5130" max="5130" width="5.25" style="3108" customWidth="1"/>
    <col min="5131" max="5131" width="10.625" style="3108" customWidth="1"/>
    <col min="5132" max="5133" width="9.75" style="3108" customWidth="1"/>
    <col min="5134" max="5134" width="9" style="3108" customWidth="1"/>
    <col min="5135" max="5136" width="9.375" style="3108" bestFit="1" customWidth="1"/>
    <col min="5137" max="5137" width="9" style="3108" customWidth="1"/>
    <col min="5138" max="5138" width="9.125" style="3108" customWidth="1"/>
    <col min="5139" max="5139" width="9" style="3108" customWidth="1"/>
    <col min="5140" max="5140" width="23.5" style="3108" customWidth="1"/>
    <col min="5141" max="5376" width="8.75" style="3108"/>
    <col min="5377" max="5377" width="8.5" style="3108" customWidth="1"/>
    <col min="5378" max="5378" width="8.75" style="3108"/>
    <col min="5379" max="5381" width="11.625" style="3108" customWidth="1"/>
    <col min="5382" max="5382" width="42.75" style="3108" customWidth="1"/>
    <col min="5383" max="5383" width="11.75" style="3108" customWidth="1"/>
    <col min="5384" max="5385" width="8.75" style="3108"/>
    <col min="5386" max="5386" width="5.25" style="3108" customWidth="1"/>
    <col min="5387" max="5387" width="10.625" style="3108" customWidth="1"/>
    <col min="5388" max="5389" width="9.75" style="3108" customWidth="1"/>
    <col min="5390" max="5390" width="9" style="3108" customWidth="1"/>
    <col min="5391" max="5392" width="9.375" style="3108" bestFit="1" customWidth="1"/>
    <col min="5393" max="5393" width="9" style="3108" customWidth="1"/>
    <col min="5394" max="5394" width="9.125" style="3108" customWidth="1"/>
    <col min="5395" max="5395" width="9" style="3108" customWidth="1"/>
    <col min="5396" max="5396" width="23.5" style="3108" customWidth="1"/>
    <col min="5397" max="5632" width="8.75" style="3108"/>
    <col min="5633" max="5633" width="8.5" style="3108" customWidth="1"/>
    <col min="5634" max="5634" width="8.75" style="3108"/>
    <col min="5635" max="5637" width="11.625" style="3108" customWidth="1"/>
    <col min="5638" max="5638" width="42.75" style="3108" customWidth="1"/>
    <col min="5639" max="5639" width="11.75" style="3108" customWidth="1"/>
    <col min="5640" max="5641" width="8.75" style="3108"/>
    <col min="5642" max="5642" width="5.25" style="3108" customWidth="1"/>
    <col min="5643" max="5643" width="10.625" style="3108" customWidth="1"/>
    <col min="5644" max="5645" width="9.75" style="3108" customWidth="1"/>
    <col min="5646" max="5646" width="9" style="3108" customWidth="1"/>
    <col min="5647" max="5648" width="9.375" style="3108" bestFit="1" customWidth="1"/>
    <col min="5649" max="5649" width="9" style="3108" customWidth="1"/>
    <col min="5650" max="5650" width="9.125" style="3108" customWidth="1"/>
    <col min="5651" max="5651" width="9" style="3108" customWidth="1"/>
    <col min="5652" max="5652" width="23.5" style="3108" customWidth="1"/>
    <col min="5653" max="5888" width="8.75" style="3108"/>
    <col min="5889" max="5889" width="8.5" style="3108" customWidth="1"/>
    <col min="5890" max="5890" width="8.75" style="3108"/>
    <col min="5891" max="5893" width="11.625" style="3108" customWidth="1"/>
    <col min="5894" max="5894" width="42.75" style="3108" customWidth="1"/>
    <col min="5895" max="5895" width="11.75" style="3108" customWidth="1"/>
    <col min="5896" max="5897" width="8.75" style="3108"/>
    <col min="5898" max="5898" width="5.25" style="3108" customWidth="1"/>
    <col min="5899" max="5899" width="10.625" style="3108" customWidth="1"/>
    <col min="5900" max="5901" width="9.75" style="3108" customWidth="1"/>
    <col min="5902" max="5902" width="9" style="3108" customWidth="1"/>
    <col min="5903" max="5904" width="9.375" style="3108" bestFit="1" customWidth="1"/>
    <col min="5905" max="5905" width="9" style="3108" customWidth="1"/>
    <col min="5906" max="5906" width="9.125" style="3108" customWidth="1"/>
    <col min="5907" max="5907" width="9" style="3108" customWidth="1"/>
    <col min="5908" max="5908" width="23.5" style="3108" customWidth="1"/>
    <col min="5909" max="6144" width="8.75" style="3108"/>
    <col min="6145" max="6145" width="8.5" style="3108" customWidth="1"/>
    <col min="6146" max="6146" width="8.75" style="3108"/>
    <col min="6147" max="6149" width="11.625" style="3108" customWidth="1"/>
    <col min="6150" max="6150" width="42.75" style="3108" customWidth="1"/>
    <col min="6151" max="6151" width="11.75" style="3108" customWidth="1"/>
    <col min="6152" max="6153" width="8.75" style="3108"/>
    <col min="6154" max="6154" width="5.25" style="3108" customWidth="1"/>
    <col min="6155" max="6155" width="10.625" style="3108" customWidth="1"/>
    <col min="6156" max="6157" width="9.75" style="3108" customWidth="1"/>
    <col min="6158" max="6158" width="9" style="3108" customWidth="1"/>
    <col min="6159" max="6160" width="9.375" style="3108" bestFit="1" customWidth="1"/>
    <col min="6161" max="6161" width="9" style="3108" customWidth="1"/>
    <col min="6162" max="6162" width="9.125" style="3108" customWidth="1"/>
    <col min="6163" max="6163" width="9" style="3108" customWidth="1"/>
    <col min="6164" max="6164" width="23.5" style="3108" customWidth="1"/>
    <col min="6165" max="6400" width="8.75" style="3108"/>
    <col min="6401" max="6401" width="8.5" style="3108" customWidth="1"/>
    <col min="6402" max="6402" width="8.75" style="3108"/>
    <col min="6403" max="6405" width="11.625" style="3108" customWidth="1"/>
    <col min="6406" max="6406" width="42.75" style="3108" customWidth="1"/>
    <col min="6407" max="6407" width="11.75" style="3108" customWidth="1"/>
    <col min="6408" max="6409" width="8.75" style="3108"/>
    <col min="6410" max="6410" width="5.25" style="3108" customWidth="1"/>
    <col min="6411" max="6411" width="10.625" style="3108" customWidth="1"/>
    <col min="6412" max="6413" width="9.75" style="3108" customWidth="1"/>
    <col min="6414" max="6414" width="9" style="3108" customWidth="1"/>
    <col min="6415" max="6416" width="9.375" style="3108" bestFit="1" customWidth="1"/>
    <col min="6417" max="6417" width="9" style="3108" customWidth="1"/>
    <col min="6418" max="6418" width="9.125" style="3108" customWidth="1"/>
    <col min="6419" max="6419" width="9" style="3108" customWidth="1"/>
    <col min="6420" max="6420" width="23.5" style="3108" customWidth="1"/>
    <col min="6421" max="6656" width="8.75" style="3108"/>
    <col min="6657" max="6657" width="8.5" style="3108" customWidth="1"/>
    <col min="6658" max="6658" width="8.75" style="3108"/>
    <col min="6659" max="6661" width="11.625" style="3108" customWidth="1"/>
    <col min="6662" max="6662" width="42.75" style="3108" customWidth="1"/>
    <col min="6663" max="6663" width="11.75" style="3108" customWidth="1"/>
    <col min="6664" max="6665" width="8.75" style="3108"/>
    <col min="6666" max="6666" width="5.25" style="3108" customWidth="1"/>
    <col min="6667" max="6667" width="10.625" style="3108" customWidth="1"/>
    <col min="6668" max="6669" width="9.75" style="3108" customWidth="1"/>
    <col min="6670" max="6670" width="9" style="3108" customWidth="1"/>
    <col min="6671" max="6672" width="9.375" style="3108" bestFit="1" customWidth="1"/>
    <col min="6673" max="6673" width="9" style="3108" customWidth="1"/>
    <col min="6674" max="6674" width="9.125" style="3108" customWidth="1"/>
    <col min="6675" max="6675" width="9" style="3108" customWidth="1"/>
    <col min="6676" max="6676" width="23.5" style="3108" customWidth="1"/>
    <col min="6677" max="6912" width="8.75" style="3108"/>
    <col min="6913" max="6913" width="8.5" style="3108" customWidth="1"/>
    <col min="6914" max="6914" width="8.75" style="3108"/>
    <col min="6915" max="6917" width="11.625" style="3108" customWidth="1"/>
    <col min="6918" max="6918" width="42.75" style="3108" customWidth="1"/>
    <col min="6919" max="6919" width="11.75" style="3108" customWidth="1"/>
    <col min="6920" max="6921" width="8.75" style="3108"/>
    <col min="6922" max="6922" width="5.25" style="3108" customWidth="1"/>
    <col min="6923" max="6923" width="10.625" style="3108" customWidth="1"/>
    <col min="6924" max="6925" width="9.75" style="3108" customWidth="1"/>
    <col min="6926" max="6926" width="9" style="3108" customWidth="1"/>
    <col min="6927" max="6928" width="9.375" style="3108" bestFit="1" customWidth="1"/>
    <col min="6929" max="6929" width="9" style="3108" customWidth="1"/>
    <col min="6930" max="6930" width="9.125" style="3108" customWidth="1"/>
    <col min="6931" max="6931" width="9" style="3108" customWidth="1"/>
    <col min="6932" max="6932" width="23.5" style="3108" customWidth="1"/>
    <col min="6933" max="7168" width="8.75" style="3108"/>
    <col min="7169" max="7169" width="8.5" style="3108" customWidth="1"/>
    <col min="7170" max="7170" width="8.75" style="3108"/>
    <col min="7171" max="7173" width="11.625" style="3108" customWidth="1"/>
    <col min="7174" max="7174" width="42.75" style="3108" customWidth="1"/>
    <col min="7175" max="7175" width="11.75" style="3108" customWidth="1"/>
    <col min="7176" max="7177" width="8.75" style="3108"/>
    <col min="7178" max="7178" width="5.25" style="3108" customWidth="1"/>
    <col min="7179" max="7179" width="10.625" style="3108" customWidth="1"/>
    <col min="7180" max="7181" width="9.75" style="3108" customWidth="1"/>
    <col min="7182" max="7182" width="9" style="3108" customWidth="1"/>
    <col min="7183" max="7184" width="9.375" style="3108" bestFit="1" customWidth="1"/>
    <col min="7185" max="7185" width="9" style="3108" customWidth="1"/>
    <col min="7186" max="7186" width="9.125" style="3108" customWidth="1"/>
    <col min="7187" max="7187" width="9" style="3108" customWidth="1"/>
    <col min="7188" max="7188" width="23.5" style="3108" customWidth="1"/>
    <col min="7189" max="7424" width="8.75" style="3108"/>
    <col min="7425" max="7425" width="8.5" style="3108" customWidth="1"/>
    <col min="7426" max="7426" width="8.75" style="3108"/>
    <col min="7427" max="7429" width="11.625" style="3108" customWidth="1"/>
    <col min="7430" max="7430" width="42.75" style="3108" customWidth="1"/>
    <col min="7431" max="7431" width="11.75" style="3108" customWidth="1"/>
    <col min="7432" max="7433" width="8.75" style="3108"/>
    <col min="7434" max="7434" width="5.25" style="3108" customWidth="1"/>
    <col min="7435" max="7435" width="10.625" style="3108" customWidth="1"/>
    <col min="7436" max="7437" width="9.75" style="3108" customWidth="1"/>
    <col min="7438" max="7438" width="9" style="3108" customWidth="1"/>
    <col min="7439" max="7440" width="9.375" style="3108" bestFit="1" customWidth="1"/>
    <col min="7441" max="7441" width="9" style="3108" customWidth="1"/>
    <col min="7442" max="7442" width="9.125" style="3108" customWidth="1"/>
    <col min="7443" max="7443" width="9" style="3108" customWidth="1"/>
    <col min="7444" max="7444" width="23.5" style="3108" customWidth="1"/>
    <col min="7445" max="7680" width="8.75" style="3108"/>
    <col min="7681" max="7681" width="8.5" style="3108" customWidth="1"/>
    <col min="7682" max="7682" width="8.75" style="3108"/>
    <col min="7683" max="7685" width="11.625" style="3108" customWidth="1"/>
    <col min="7686" max="7686" width="42.75" style="3108" customWidth="1"/>
    <col min="7687" max="7687" width="11.75" style="3108" customWidth="1"/>
    <col min="7688" max="7689" width="8.75" style="3108"/>
    <col min="7690" max="7690" width="5.25" style="3108" customWidth="1"/>
    <col min="7691" max="7691" width="10.625" style="3108" customWidth="1"/>
    <col min="7692" max="7693" width="9.75" style="3108" customWidth="1"/>
    <col min="7694" max="7694" width="9" style="3108" customWidth="1"/>
    <col min="7695" max="7696" width="9.375" style="3108" bestFit="1" customWidth="1"/>
    <col min="7697" max="7697" width="9" style="3108" customWidth="1"/>
    <col min="7698" max="7698" width="9.125" style="3108" customWidth="1"/>
    <col min="7699" max="7699" width="9" style="3108" customWidth="1"/>
    <col min="7700" max="7700" width="23.5" style="3108" customWidth="1"/>
    <col min="7701" max="7936" width="8.75" style="3108"/>
    <col min="7937" max="7937" width="8.5" style="3108" customWidth="1"/>
    <col min="7938" max="7938" width="8.75" style="3108"/>
    <col min="7939" max="7941" width="11.625" style="3108" customWidth="1"/>
    <col min="7942" max="7942" width="42.75" style="3108" customWidth="1"/>
    <col min="7943" max="7943" width="11.75" style="3108" customWidth="1"/>
    <col min="7944" max="7945" width="8.75" style="3108"/>
    <col min="7946" max="7946" width="5.25" style="3108" customWidth="1"/>
    <col min="7947" max="7947" width="10.625" style="3108" customWidth="1"/>
    <col min="7948" max="7949" width="9.75" style="3108" customWidth="1"/>
    <col min="7950" max="7950" width="9" style="3108" customWidth="1"/>
    <col min="7951" max="7952" width="9.375" style="3108" bestFit="1" customWidth="1"/>
    <col min="7953" max="7953" width="9" style="3108" customWidth="1"/>
    <col min="7954" max="7954" width="9.125" style="3108" customWidth="1"/>
    <col min="7955" max="7955" width="9" style="3108" customWidth="1"/>
    <col min="7956" max="7956" width="23.5" style="3108" customWidth="1"/>
    <col min="7957" max="8192" width="8.75" style="3108"/>
    <col min="8193" max="8193" width="8.5" style="3108" customWidth="1"/>
    <col min="8194" max="8194" width="8.75" style="3108"/>
    <col min="8195" max="8197" width="11.625" style="3108" customWidth="1"/>
    <col min="8198" max="8198" width="42.75" style="3108" customWidth="1"/>
    <col min="8199" max="8199" width="11.75" style="3108" customWidth="1"/>
    <col min="8200" max="8201" width="8.75" style="3108"/>
    <col min="8202" max="8202" width="5.25" style="3108" customWidth="1"/>
    <col min="8203" max="8203" width="10.625" style="3108" customWidth="1"/>
    <col min="8204" max="8205" width="9.75" style="3108" customWidth="1"/>
    <col min="8206" max="8206" width="9" style="3108" customWidth="1"/>
    <col min="8207" max="8208" width="9.375" style="3108" bestFit="1" customWidth="1"/>
    <col min="8209" max="8209" width="9" style="3108" customWidth="1"/>
    <col min="8210" max="8210" width="9.125" style="3108" customWidth="1"/>
    <col min="8211" max="8211" width="9" style="3108" customWidth="1"/>
    <col min="8212" max="8212" width="23.5" style="3108" customWidth="1"/>
    <col min="8213" max="8448" width="8.75" style="3108"/>
    <col min="8449" max="8449" width="8.5" style="3108" customWidth="1"/>
    <col min="8450" max="8450" width="8.75" style="3108"/>
    <col min="8451" max="8453" width="11.625" style="3108" customWidth="1"/>
    <col min="8454" max="8454" width="42.75" style="3108" customWidth="1"/>
    <col min="8455" max="8455" width="11.75" style="3108" customWidth="1"/>
    <col min="8456" max="8457" width="8.75" style="3108"/>
    <col min="8458" max="8458" width="5.25" style="3108" customWidth="1"/>
    <col min="8459" max="8459" width="10.625" style="3108" customWidth="1"/>
    <col min="8460" max="8461" width="9.75" style="3108" customWidth="1"/>
    <col min="8462" max="8462" width="9" style="3108" customWidth="1"/>
    <col min="8463" max="8464" width="9.375" style="3108" bestFit="1" customWidth="1"/>
    <col min="8465" max="8465" width="9" style="3108" customWidth="1"/>
    <col min="8466" max="8466" width="9.125" style="3108" customWidth="1"/>
    <col min="8467" max="8467" width="9" style="3108" customWidth="1"/>
    <col min="8468" max="8468" width="23.5" style="3108" customWidth="1"/>
    <col min="8469" max="8704" width="8.75" style="3108"/>
    <col min="8705" max="8705" width="8.5" style="3108" customWidth="1"/>
    <col min="8706" max="8706" width="8.75" style="3108"/>
    <col min="8707" max="8709" width="11.625" style="3108" customWidth="1"/>
    <col min="8710" max="8710" width="42.75" style="3108" customWidth="1"/>
    <col min="8711" max="8711" width="11.75" style="3108" customWidth="1"/>
    <col min="8712" max="8713" width="8.75" style="3108"/>
    <col min="8714" max="8714" width="5.25" style="3108" customWidth="1"/>
    <col min="8715" max="8715" width="10.625" style="3108" customWidth="1"/>
    <col min="8716" max="8717" width="9.75" style="3108" customWidth="1"/>
    <col min="8718" max="8718" width="9" style="3108" customWidth="1"/>
    <col min="8719" max="8720" width="9.375" style="3108" bestFit="1" customWidth="1"/>
    <col min="8721" max="8721" width="9" style="3108" customWidth="1"/>
    <col min="8722" max="8722" width="9.125" style="3108" customWidth="1"/>
    <col min="8723" max="8723" width="9" style="3108" customWidth="1"/>
    <col min="8724" max="8724" width="23.5" style="3108" customWidth="1"/>
    <col min="8725" max="8960" width="8.75" style="3108"/>
    <col min="8961" max="8961" width="8.5" style="3108" customWidth="1"/>
    <col min="8962" max="8962" width="8.75" style="3108"/>
    <col min="8963" max="8965" width="11.625" style="3108" customWidth="1"/>
    <col min="8966" max="8966" width="42.75" style="3108" customWidth="1"/>
    <col min="8967" max="8967" width="11.75" style="3108" customWidth="1"/>
    <col min="8968" max="8969" width="8.75" style="3108"/>
    <col min="8970" max="8970" width="5.25" style="3108" customWidth="1"/>
    <col min="8971" max="8971" width="10.625" style="3108" customWidth="1"/>
    <col min="8972" max="8973" width="9.75" style="3108" customWidth="1"/>
    <col min="8974" max="8974" width="9" style="3108" customWidth="1"/>
    <col min="8975" max="8976" width="9.375" style="3108" bestFit="1" customWidth="1"/>
    <col min="8977" max="8977" width="9" style="3108" customWidth="1"/>
    <col min="8978" max="8978" width="9.125" style="3108" customWidth="1"/>
    <col min="8979" max="8979" width="9" style="3108" customWidth="1"/>
    <col min="8980" max="8980" width="23.5" style="3108" customWidth="1"/>
    <col min="8981" max="9216" width="8.75" style="3108"/>
    <col min="9217" max="9217" width="8.5" style="3108" customWidth="1"/>
    <col min="9218" max="9218" width="8.75" style="3108"/>
    <col min="9219" max="9221" width="11.625" style="3108" customWidth="1"/>
    <col min="9222" max="9222" width="42.75" style="3108" customWidth="1"/>
    <col min="9223" max="9223" width="11.75" style="3108" customWidth="1"/>
    <col min="9224" max="9225" width="8.75" style="3108"/>
    <col min="9226" max="9226" width="5.25" style="3108" customWidth="1"/>
    <col min="9227" max="9227" width="10.625" style="3108" customWidth="1"/>
    <col min="9228" max="9229" width="9.75" style="3108" customWidth="1"/>
    <col min="9230" max="9230" width="9" style="3108" customWidth="1"/>
    <col min="9231" max="9232" width="9.375" style="3108" bestFit="1" customWidth="1"/>
    <col min="9233" max="9233" width="9" style="3108" customWidth="1"/>
    <col min="9234" max="9234" width="9.125" style="3108" customWidth="1"/>
    <col min="9235" max="9235" width="9" style="3108" customWidth="1"/>
    <col min="9236" max="9236" width="23.5" style="3108" customWidth="1"/>
    <col min="9237" max="9472" width="8.75" style="3108"/>
    <col min="9473" max="9473" width="8.5" style="3108" customWidth="1"/>
    <col min="9474" max="9474" width="8.75" style="3108"/>
    <col min="9475" max="9477" width="11.625" style="3108" customWidth="1"/>
    <col min="9478" max="9478" width="42.75" style="3108" customWidth="1"/>
    <col min="9479" max="9479" width="11.75" style="3108" customWidth="1"/>
    <col min="9480" max="9481" width="8.75" style="3108"/>
    <col min="9482" max="9482" width="5.25" style="3108" customWidth="1"/>
    <col min="9483" max="9483" width="10.625" style="3108" customWidth="1"/>
    <col min="9484" max="9485" width="9.75" style="3108" customWidth="1"/>
    <col min="9486" max="9486" width="9" style="3108" customWidth="1"/>
    <col min="9487" max="9488" width="9.375" style="3108" bestFit="1" customWidth="1"/>
    <col min="9489" max="9489" width="9" style="3108" customWidth="1"/>
    <col min="9490" max="9490" width="9.125" style="3108" customWidth="1"/>
    <col min="9491" max="9491" width="9" style="3108" customWidth="1"/>
    <col min="9492" max="9492" width="23.5" style="3108" customWidth="1"/>
    <col min="9493" max="9728" width="8.75" style="3108"/>
    <col min="9729" max="9729" width="8.5" style="3108" customWidth="1"/>
    <col min="9730" max="9730" width="8.75" style="3108"/>
    <col min="9731" max="9733" width="11.625" style="3108" customWidth="1"/>
    <col min="9734" max="9734" width="42.75" style="3108" customWidth="1"/>
    <col min="9735" max="9735" width="11.75" style="3108" customWidth="1"/>
    <col min="9736" max="9737" width="8.75" style="3108"/>
    <col min="9738" max="9738" width="5.25" style="3108" customWidth="1"/>
    <col min="9739" max="9739" width="10.625" style="3108" customWidth="1"/>
    <col min="9740" max="9741" width="9.75" style="3108" customWidth="1"/>
    <col min="9742" max="9742" width="9" style="3108" customWidth="1"/>
    <col min="9743" max="9744" width="9.375" style="3108" bestFit="1" customWidth="1"/>
    <col min="9745" max="9745" width="9" style="3108" customWidth="1"/>
    <col min="9746" max="9746" width="9.125" style="3108" customWidth="1"/>
    <col min="9747" max="9747" width="9" style="3108" customWidth="1"/>
    <col min="9748" max="9748" width="23.5" style="3108" customWidth="1"/>
    <col min="9749" max="9984" width="8.75" style="3108"/>
    <col min="9985" max="9985" width="8.5" style="3108" customWidth="1"/>
    <col min="9986" max="9986" width="8.75" style="3108"/>
    <col min="9987" max="9989" width="11.625" style="3108" customWidth="1"/>
    <col min="9990" max="9990" width="42.75" style="3108" customWidth="1"/>
    <col min="9991" max="9991" width="11.75" style="3108" customWidth="1"/>
    <col min="9992" max="9993" width="8.75" style="3108"/>
    <col min="9994" max="9994" width="5.25" style="3108" customWidth="1"/>
    <col min="9995" max="9995" width="10.625" style="3108" customWidth="1"/>
    <col min="9996" max="9997" width="9.75" style="3108" customWidth="1"/>
    <col min="9998" max="9998" width="9" style="3108" customWidth="1"/>
    <col min="9999" max="10000" width="9.375" style="3108" bestFit="1" customWidth="1"/>
    <col min="10001" max="10001" width="9" style="3108" customWidth="1"/>
    <col min="10002" max="10002" width="9.125" style="3108" customWidth="1"/>
    <col min="10003" max="10003" width="9" style="3108" customWidth="1"/>
    <col min="10004" max="10004" width="23.5" style="3108" customWidth="1"/>
    <col min="10005" max="10240" width="8.75" style="3108"/>
    <col min="10241" max="10241" width="8.5" style="3108" customWidth="1"/>
    <col min="10242" max="10242" width="8.75" style="3108"/>
    <col min="10243" max="10245" width="11.625" style="3108" customWidth="1"/>
    <col min="10246" max="10246" width="42.75" style="3108" customWidth="1"/>
    <col min="10247" max="10247" width="11.75" style="3108" customWidth="1"/>
    <col min="10248" max="10249" width="8.75" style="3108"/>
    <col min="10250" max="10250" width="5.25" style="3108" customWidth="1"/>
    <col min="10251" max="10251" width="10.625" style="3108" customWidth="1"/>
    <col min="10252" max="10253" width="9.75" style="3108" customWidth="1"/>
    <col min="10254" max="10254" width="9" style="3108" customWidth="1"/>
    <col min="10255" max="10256" width="9.375" style="3108" bestFit="1" customWidth="1"/>
    <col min="10257" max="10257" width="9" style="3108" customWidth="1"/>
    <col min="10258" max="10258" width="9.125" style="3108" customWidth="1"/>
    <col min="10259" max="10259" width="9" style="3108" customWidth="1"/>
    <col min="10260" max="10260" width="23.5" style="3108" customWidth="1"/>
    <col min="10261" max="10496" width="8.75" style="3108"/>
    <col min="10497" max="10497" width="8.5" style="3108" customWidth="1"/>
    <col min="10498" max="10498" width="8.75" style="3108"/>
    <col min="10499" max="10501" width="11.625" style="3108" customWidth="1"/>
    <col min="10502" max="10502" width="42.75" style="3108" customWidth="1"/>
    <col min="10503" max="10503" width="11.75" style="3108" customWidth="1"/>
    <col min="10504" max="10505" width="8.75" style="3108"/>
    <col min="10506" max="10506" width="5.25" style="3108" customWidth="1"/>
    <col min="10507" max="10507" width="10.625" style="3108" customWidth="1"/>
    <col min="10508" max="10509" width="9.75" style="3108" customWidth="1"/>
    <col min="10510" max="10510" width="9" style="3108" customWidth="1"/>
    <col min="10511" max="10512" width="9.375" style="3108" bestFit="1" customWidth="1"/>
    <col min="10513" max="10513" width="9" style="3108" customWidth="1"/>
    <col min="10514" max="10514" width="9.125" style="3108" customWidth="1"/>
    <col min="10515" max="10515" width="9" style="3108" customWidth="1"/>
    <col min="10516" max="10516" width="23.5" style="3108" customWidth="1"/>
    <col min="10517" max="10752" width="8.75" style="3108"/>
    <col min="10753" max="10753" width="8.5" style="3108" customWidth="1"/>
    <col min="10754" max="10754" width="8.75" style="3108"/>
    <col min="10755" max="10757" width="11.625" style="3108" customWidth="1"/>
    <col min="10758" max="10758" width="42.75" style="3108" customWidth="1"/>
    <col min="10759" max="10759" width="11.75" style="3108" customWidth="1"/>
    <col min="10760" max="10761" width="8.75" style="3108"/>
    <col min="10762" max="10762" width="5.25" style="3108" customWidth="1"/>
    <col min="10763" max="10763" width="10.625" style="3108" customWidth="1"/>
    <col min="10764" max="10765" width="9.75" style="3108" customWidth="1"/>
    <col min="10766" max="10766" width="9" style="3108" customWidth="1"/>
    <col min="10767" max="10768" width="9.375" style="3108" bestFit="1" customWidth="1"/>
    <col min="10769" max="10769" width="9" style="3108" customWidth="1"/>
    <col min="10770" max="10770" width="9.125" style="3108" customWidth="1"/>
    <col min="10771" max="10771" width="9" style="3108" customWidth="1"/>
    <col min="10772" max="10772" width="23.5" style="3108" customWidth="1"/>
    <col min="10773" max="11008" width="8.75" style="3108"/>
    <col min="11009" max="11009" width="8.5" style="3108" customWidth="1"/>
    <col min="11010" max="11010" width="8.75" style="3108"/>
    <col min="11011" max="11013" width="11.625" style="3108" customWidth="1"/>
    <col min="11014" max="11014" width="42.75" style="3108" customWidth="1"/>
    <col min="11015" max="11015" width="11.75" style="3108" customWidth="1"/>
    <col min="11016" max="11017" width="8.75" style="3108"/>
    <col min="11018" max="11018" width="5.25" style="3108" customWidth="1"/>
    <col min="11019" max="11019" width="10.625" style="3108" customWidth="1"/>
    <col min="11020" max="11021" width="9.75" style="3108" customWidth="1"/>
    <col min="11022" max="11022" width="9" style="3108" customWidth="1"/>
    <col min="11023" max="11024" width="9.375" style="3108" bestFit="1" customWidth="1"/>
    <col min="11025" max="11025" width="9" style="3108" customWidth="1"/>
    <col min="11026" max="11026" width="9.125" style="3108" customWidth="1"/>
    <col min="11027" max="11027" width="9" style="3108" customWidth="1"/>
    <col min="11028" max="11028" width="23.5" style="3108" customWidth="1"/>
    <col min="11029" max="11264" width="8.75" style="3108"/>
    <col min="11265" max="11265" width="8.5" style="3108" customWidth="1"/>
    <col min="11266" max="11266" width="8.75" style="3108"/>
    <col min="11267" max="11269" width="11.625" style="3108" customWidth="1"/>
    <col min="11270" max="11270" width="42.75" style="3108" customWidth="1"/>
    <col min="11271" max="11271" width="11.75" style="3108" customWidth="1"/>
    <col min="11272" max="11273" width="8.75" style="3108"/>
    <col min="11274" max="11274" width="5.25" style="3108" customWidth="1"/>
    <col min="11275" max="11275" width="10.625" style="3108" customWidth="1"/>
    <col min="11276" max="11277" width="9.75" style="3108" customWidth="1"/>
    <col min="11278" max="11278" width="9" style="3108" customWidth="1"/>
    <col min="11279" max="11280" width="9.375" style="3108" bestFit="1" customWidth="1"/>
    <col min="11281" max="11281" width="9" style="3108" customWidth="1"/>
    <col min="11282" max="11282" width="9.125" style="3108" customWidth="1"/>
    <col min="11283" max="11283" width="9" style="3108" customWidth="1"/>
    <col min="11284" max="11284" width="23.5" style="3108" customWidth="1"/>
    <col min="11285" max="11520" width="8.75" style="3108"/>
    <col min="11521" max="11521" width="8.5" style="3108" customWidth="1"/>
    <col min="11522" max="11522" width="8.75" style="3108"/>
    <col min="11523" max="11525" width="11.625" style="3108" customWidth="1"/>
    <col min="11526" max="11526" width="42.75" style="3108" customWidth="1"/>
    <col min="11527" max="11527" width="11.75" style="3108" customWidth="1"/>
    <col min="11528" max="11529" width="8.75" style="3108"/>
    <col min="11530" max="11530" width="5.25" style="3108" customWidth="1"/>
    <col min="11531" max="11531" width="10.625" style="3108" customWidth="1"/>
    <col min="11532" max="11533" width="9.75" style="3108" customWidth="1"/>
    <col min="11534" max="11534" width="9" style="3108" customWidth="1"/>
    <col min="11535" max="11536" width="9.375" style="3108" bestFit="1" customWidth="1"/>
    <col min="11537" max="11537" width="9" style="3108" customWidth="1"/>
    <col min="11538" max="11538" width="9.125" style="3108" customWidth="1"/>
    <col min="11539" max="11539" width="9" style="3108" customWidth="1"/>
    <col min="11540" max="11540" width="23.5" style="3108" customWidth="1"/>
    <col min="11541" max="11776" width="8.75" style="3108"/>
    <col min="11777" max="11777" width="8.5" style="3108" customWidth="1"/>
    <col min="11778" max="11778" width="8.75" style="3108"/>
    <col min="11779" max="11781" width="11.625" style="3108" customWidth="1"/>
    <col min="11782" max="11782" width="42.75" style="3108" customWidth="1"/>
    <col min="11783" max="11783" width="11.75" style="3108" customWidth="1"/>
    <col min="11784" max="11785" width="8.75" style="3108"/>
    <col min="11786" max="11786" width="5.25" style="3108" customWidth="1"/>
    <col min="11787" max="11787" width="10.625" style="3108" customWidth="1"/>
    <col min="11788" max="11789" width="9.75" style="3108" customWidth="1"/>
    <col min="11790" max="11790" width="9" style="3108" customWidth="1"/>
    <col min="11791" max="11792" width="9.375" style="3108" bestFit="1" customWidth="1"/>
    <col min="11793" max="11793" width="9" style="3108" customWidth="1"/>
    <col min="11794" max="11794" width="9.125" style="3108" customWidth="1"/>
    <col min="11795" max="11795" width="9" style="3108" customWidth="1"/>
    <col min="11796" max="11796" width="23.5" style="3108" customWidth="1"/>
    <col min="11797" max="12032" width="8.75" style="3108"/>
    <col min="12033" max="12033" width="8.5" style="3108" customWidth="1"/>
    <col min="12034" max="12034" width="8.75" style="3108"/>
    <col min="12035" max="12037" width="11.625" style="3108" customWidth="1"/>
    <col min="12038" max="12038" width="42.75" style="3108" customWidth="1"/>
    <col min="12039" max="12039" width="11.75" style="3108" customWidth="1"/>
    <col min="12040" max="12041" width="8.75" style="3108"/>
    <col min="12042" max="12042" width="5.25" style="3108" customWidth="1"/>
    <col min="12043" max="12043" width="10.625" style="3108" customWidth="1"/>
    <col min="12044" max="12045" width="9.75" style="3108" customWidth="1"/>
    <col min="12046" max="12046" width="9" style="3108" customWidth="1"/>
    <col min="12047" max="12048" width="9.375" style="3108" bestFit="1" customWidth="1"/>
    <col min="12049" max="12049" width="9" style="3108" customWidth="1"/>
    <col min="12050" max="12050" width="9.125" style="3108" customWidth="1"/>
    <col min="12051" max="12051" width="9" style="3108" customWidth="1"/>
    <col min="12052" max="12052" width="23.5" style="3108" customWidth="1"/>
    <col min="12053" max="12288" width="8.75" style="3108"/>
    <col min="12289" max="12289" width="8.5" style="3108" customWidth="1"/>
    <col min="12290" max="12290" width="8.75" style="3108"/>
    <col min="12291" max="12293" width="11.625" style="3108" customWidth="1"/>
    <col min="12294" max="12294" width="42.75" style="3108" customWidth="1"/>
    <col min="12295" max="12295" width="11.75" style="3108" customWidth="1"/>
    <col min="12296" max="12297" width="8.75" style="3108"/>
    <col min="12298" max="12298" width="5.25" style="3108" customWidth="1"/>
    <col min="12299" max="12299" width="10.625" style="3108" customWidth="1"/>
    <col min="12300" max="12301" width="9.75" style="3108" customWidth="1"/>
    <col min="12302" max="12302" width="9" style="3108" customWidth="1"/>
    <col min="12303" max="12304" width="9.375" style="3108" bestFit="1" customWidth="1"/>
    <col min="12305" max="12305" width="9" style="3108" customWidth="1"/>
    <col min="12306" max="12306" width="9.125" style="3108" customWidth="1"/>
    <col min="12307" max="12307" width="9" style="3108" customWidth="1"/>
    <col min="12308" max="12308" width="23.5" style="3108" customWidth="1"/>
    <col min="12309" max="12544" width="8.75" style="3108"/>
    <col min="12545" max="12545" width="8.5" style="3108" customWidth="1"/>
    <col min="12546" max="12546" width="8.75" style="3108"/>
    <col min="12547" max="12549" width="11.625" style="3108" customWidth="1"/>
    <col min="12550" max="12550" width="42.75" style="3108" customWidth="1"/>
    <col min="12551" max="12551" width="11.75" style="3108" customWidth="1"/>
    <col min="12552" max="12553" width="8.75" style="3108"/>
    <col min="12554" max="12554" width="5.25" style="3108" customWidth="1"/>
    <col min="12555" max="12555" width="10.625" style="3108" customWidth="1"/>
    <col min="12556" max="12557" width="9.75" style="3108" customWidth="1"/>
    <col min="12558" max="12558" width="9" style="3108" customWidth="1"/>
    <col min="12559" max="12560" width="9.375" style="3108" bestFit="1" customWidth="1"/>
    <col min="12561" max="12561" width="9" style="3108" customWidth="1"/>
    <col min="12562" max="12562" width="9.125" style="3108" customWidth="1"/>
    <col min="12563" max="12563" width="9" style="3108" customWidth="1"/>
    <col min="12564" max="12564" width="23.5" style="3108" customWidth="1"/>
    <col min="12565" max="12800" width="8.75" style="3108"/>
    <col min="12801" max="12801" width="8.5" style="3108" customWidth="1"/>
    <col min="12802" max="12802" width="8.75" style="3108"/>
    <col min="12803" max="12805" width="11.625" style="3108" customWidth="1"/>
    <col min="12806" max="12806" width="42.75" style="3108" customWidth="1"/>
    <col min="12807" max="12807" width="11.75" style="3108" customWidth="1"/>
    <col min="12808" max="12809" width="8.75" style="3108"/>
    <col min="12810" max="12810" width="5.25" style="3108" customWidth="1"/>
    <col min="12811" max="12811" width="10.625" style="3108" customWidth="1"/>
    <col min="12812" max="12813" width="9.75" style="3108" customWidth="1"/>
    <col min="12814" max="12814" width="9" style="3108" customWidth="1"/>
    <col min="12815" max="12816" width="9.375" style="3108" bestFit="1" customWidth="1"/>
    <col min="12817" max="12817" width="9" style="3108" customWidth="1"/>
    <col min="12818" max="12818" width="9.125" style="3108" customWidth="1"/>
    <col min="12819" max="12819" width="9" style="3108" customWidth="1"/>
    <col min="12820" max="12820" width="23.5" style="3108" customWidth="1"/>
    <col min="12821" max="13056" width="8.75" style="3108"/>
    <col min="13057" max="13057" width="8.5" style="3108" customWidth="1"/>
    <col min="13058" max="13058" width="8.75" style="3108"/>
    <col min="13059" max="13061" width="11.625" style="3108" customWidth="1"/>
    <col min="13062" max="13062" width="42.75" style="3108" customWidth="1"/>
    <col min="13063" max="13063" width="11.75" style="3108" customWidth="1"/>
    <col min="13064" max="13065" width="8.75" style="3108"/>
    <col min="13066" max="13066" width="5.25" style="3108" customWidth="1"/>
    <col min="13067" max="13067" width="10.625" style="3108" customWidth="1"/>
    <col min="13068" max="13069" width="9.75" style="3108" customWidth="1"/>
    <col min="13070" max="13070" width="9" style="3108" customWidth="1"/>
    <col min="13071" max="13072" width="9.375" style="3108" bestFit="1" customWidth="1"/>
    <col min="13073" max="13073" width="9" style="3108" customWidth="1"/>
    <col min="13074" max="13074" width="9.125" style="3108" customWidth="1"/>
    <col min="13075" max="13075" width="9" style="3108" customWidth="1"/>
    <col min="13076" max="13076" width="23.5" style="3108" customWidth="1"/>
    <col min="13077" max="13312" width="8.75" style="3108"/>
    <col min="13313" max="13313" width="8.5" style="3108" customWidth="1"/>
    <col min="13314" max="13314" width="8.75" style="3108"/>
    <col min="13315" max="13317" width="11.625" style="3108" customWidth="1"/>
    <col min="13318" max="13318" width="42.75" style="3108" customWidth="1"/>
    <col min="13319" max="13319" width="11.75" style="3108" customWidth="1"/>
    <col min="13320" max="13321" width="8.75" style="3108"/>
    <col min="13322" max="13322" width="5.25" style="3108" customWidth="1"/>
    <col min="13323" max="13323" width="10.625" style="3108" customWidth="1"/>
    <col min="13324" max="13325" width="9.75" style="3108" customWidth="1"/>
    <col min="13326" max="13326" width="9" style="3108" customWidth="1"/>
    <col min="13327" max="13328" width="9.375" style="3108" bestFit="1" customWidth="1"/>
    <col min="13329" max="13329" width="9" style="3108" customWidth="1"/>
    <col min="13330" max="13330" width="9.125" style="3108" customWidth="1"/>
    <col min="13331" max="13331" width="9" style="3108" customWidth="1"/>
    <col min="13332" max="13332" width="23.5" style="3108" customWidth="1"/>
    <col min="13333" max="13568" width="8.75" style="3108"/>
    <col min="13569" max="13569" width="8.5" style="3108" customWidth="1"/>
    <col min="13570" max="13570" width="8.75" style="3108"/>
    <col min="13571" max="13573" width="11.625" style="3108" customWidth="1"/>
    <col min="13574" max="13574" width="42.75" style="3108" customWidth="1"/>
    <col min="13575" max="13575" width="11.75" style="3108" customWidth="1"/>
    <col min="13576" max="13577" width="8.75" style="3108"/>
    <col min="13578" max="13578" width="5.25" style="3108" customWidth="1"/>
    <col min="13579" max="13579" width="10.625" style="3108" customWidth="1"/>
    <col min="13580" max="13581" width="9.75" style="3108" customWidth="1"/>
    <col min="13582" max="13582" width="9" style="3108" customWidth="1"/>
    <col min="13583" max="13584" width="9.375" style="3108" bestFit="1" customWidth="1"/>
    <col min="13585" max="13585" width="9" style="3108" customWidth="1"/>
    <col min="13586" max="13586" width="9.125" style="3108" customWidth="1"/>
    <col min="13587" max="13587" width="9" style="3108" customWidth="1"/>
    <col min="13588" max="13588" width="23.5" style="3108" customWidth="1"/>
    <col min="13589" max="13824" width="8.75" style="3108"/>
    <col min="13825" max="13825" width="8.5" style="3108" customWidth="1"/>
    <col min="13826" max="13826" width="8.75" style="3108"/>
    <col min="13827" max="13829" width="11.625" style="3108" customWidth="1"/>
    <col min="13830" max="13830" width="42.75" style="3108" customWidth="1"/>
    <col min="13831" max="13831" width="11.75" style="3108" customWidth="1"/>
    <col min="13832" max="13833" width="8.75" style="3108"/>
    <col min="13834" max="13834" width="5.25" style="3108" customWidth="1"/>
    <col min="13835" max="13835" width="10.625" style="3108" customWidth="1"/>
    <col min="13836" max="13837" width="9.75" style="3108" customWidth="1"/>
    <col min="13838" max="13838" width="9" style="3108" customWidth="1"/>
    <col min="13839" max="13840" width="9.375" style="3108" bestFit="1" customWidth="1"/>
    <col min="13841" max="13841" width="9" style="3108" customWidth="1"/>
    <col min="13842" max="13842" width="9.125" style="3108" customWidth="1"/>
    <col min="13843" max="13843" width="9" style="3108" customWidth="1"/>
    <col min="13844" max="13844" width="23.5" style="3108" customWidth="1"/>
    <col min="13845" max="14080" width="8.75" style="3108"/>
    <col min="14081" max="14081" width="8.5" style="3108" customWidth="1"/>
    <col min="14082" max="14082" width="8.75" style="3108"/>
    <col min="14083" max="14085" width="11.625" style="3108" customWidth="1"/>
    <col min="14086" max="14086" width="42.75" style="3108" customWidth="1"/>
    <col min="14087" max="14087" width="11.75" style="3108" customWidth="1"/>
    <col min="14088" max="14089" width="8.75" style="3108"/>
    <col min="14090" max="14090" width="5.25" style="3108" customWidth="1"/>
    <col min="14091" max="14091" width="10.625" style="3108" customWidth="1"/>
    <col min="14092" max="14093" width="9.75" style="3108" customWidth="1"/>
    <col min="14094" max="14094" width="9" style="3108" customWidth="1"/>
    <col min="14095" max="14096" width="9.375" style="3108" bestFit="1" customWidth="1"/>
    <col min="14097" max="14097" width="9" style="3108" customWidth="1"/>
    <col min="14098" max="14098" width="9.125" style="3108" customWidth="1"/>
    <col min="14099" max="14099" width="9" style="3108" customWidth="1"/>
    <col min="14100" max="14100" width="23.5" style="3108" customWidth="1"/>
    <col min="14101" max="14336" width="8.75" style="3108"/>
    <col min="14337" max="14337" width="8.5" style="3108" customWidth="1"/>
    <col min="14338" max="14338" width="8.75" style="3108"/>
    <col min="14339" max="14341" width="11.625" style="3108" customWidth="1"/>
    <col min="14342" max="14342" width="42.75" style="3108" customWidth="1"/>
    <col min="14343" max="14343" width="11.75" style="3108" customWidth="1"/>
    <col min="14344" max="14345" width="8.75" style="3108"/>
    <col min="14346" max="14346" width="5.25" style="3108" customWidth="1"/>
    <col min="14347" max="14347" width="10.625" style="3108" customWidth="1"/>
    <col min="14348" max="14349" width="9.75" style="3108" customWidth="1"/>
    <col min="14350" max="14350" width="9" style="3108" customWidth="1"/>
    <col min="14351" max="14352" width="9.375" style="3108" bestFit="1" customWidth="1"/>
    <col min="14353" max="14353" width="9" style="3108" customWidth="1"/>
    <col min="14354" max="14354" width="9.125" style="3108" customWidth="1"/>
    <col min="14355" max="14355" width="9" style="3108" customWidth="1"/>
    <col min="14356" max="14356" width="23.5" style="3108" customWidth="1"/>
    <col min="14357" max="14592" width="8.75" style="3108"/>
    <col min="14593" max="14593" width="8.5" style="3108" customWidth="1"/>
    <col min="14594" max="14594" width="8.75" style="3108"/>
    <col min="14595" max="14597" width="11.625" style="3108" customWidth="1"/>
    <col min="14598" max="14598" width="42.75" style="3108" customWidth="1"/>
    <col min="14599" max="14599" width="11.75" style="3108" customWidth="1"/>
    <col min="14600" max="14601" width="8.75" style="3108"/>
    <col min="14602" max="14602" width="5.25" style="3108" customWidth="1"/>
    <col min="14603" max="14603" width="10.625" style="3108" customWidth="1"/>
    <col min="14604" max="14605" width="9.75" style="3108" customWidth="1"/>
    <col min="14606" max="14606" width="9" style="3108" customWidth="1"/>
    <col min="14607" max="14608" width="9.375" style="3108" bestFit="1" customWidth="1"/>
    <col min="14609" max="14609" width="9" style="3108" customWidth="1"/>
    <col min="14610" max="14610" width="9.125" style="3108" customWidth="1"/>
    <col min="14611" max="14611" width="9" style="3108" customWidth="1"/>
    <col min="14612" max="14612" width="23.5" style="3108" customWidth="1"/>
    <col min="14613" max="14848" width="8.75" style="3108"/>
    <col min="14849" max="14849" width="8.5" style="3108" customWidth="1"/>
    <col min="14850" max="14850" width="8.75" style="3108"/>
    <col min="14851" max="14853" width="11.625" style="3108" customWidth="1"/>
    <col min="14854" max="14854" width="42.75" style="3108" customWidth="1"/>
    <col min="14855" max="14855" width="11.75" style="3108" customWidth="1"/>
    <col min="14856" max="14857" width="8.75" style="3108"/>
    <col min="14858" max="14858" width="5.25" style="3108" customWidth="1"/>
    <col min="14859" max="14859" width="10.625" style="3108" customWidth="1"/>
    <col min="14860" max="14861" width="9.75" style="3108" customWidth="1"/>
    <col min="14862" max="14862" width="9" style="3108" customWidth="1"/>
    <col min="14863" max="14864" width="9.375" style="3108" bestFit="1" customWidth="1"/>
    <col min="14865" max="14865" width="9" style="3108" customWidth="1"/>
    <col min="14866" max="14866" width="9.125" style="3108" customWidth="1"/>
    <col min="14867" max="14867" width="9" style="3108" customWidth="1"/>
    <col min="14868" max="14868" width="23.5" style="3108" customWidth="1"/>
    <col min="14869" max="15104" width="8.75" style="3108"/>
    <col min="15105" max="15105" width="8.5" style="3108" customWidth="1"/>
    <col min="15106" max="15106" width="8.75" style="3108"/>
    <col min="15107" max="15109" width="11.625" style="3108" customWidth="1"/>
    <col min="15110" max="15110" width="42.75" style="3108" customWidth="1"/>
    <col min="15111" max="15111" width="11.75" style="3108" customWidth="1"/>
    <col min="15112" max="15113" width="8.75" style="3108"/>
    <col min="15114" max="15114" width="5.25" style="3108" customWidth="1"/>
    <col min="15115" max="15115" width="10.625" style="3108" customWidth="1"/>
    <col min="15116" max="15117" width="9.75" style="3108" customWidth="1"/>
    <col min="15118" max="15118" width="9" style="3108" customWidth="1"/>
    <col min="15119" max="15120" width="9.375" style="3108" bestFit="1" customWidth="1"/>
    <col min="15121" max="15121" width="9" style="3108" customWidth="1"/>
    <col min="15122" max="15122" width="9.125" style="3108" customWidth="1"/>
    <col min="15123" max="15123" width="9" style="3108" customWidth="1"/>
    <col min="15124" max="15124" width="23.5" style="3108" customWidth="1"/>
    <col min="15125" max="15360" width="8.75" style="3108"/>
    <col min="15361" max="15361" width="8.5" style="3108" customWidth="1"/>
    <col min="15362" max="15362" width="8.75" style="3108"/>
    <col min="15363" max="15365" width="11.625" style="3108" customWidth="1"/>
    <col min="15366" max="15366" width="42.75" style="3108" customWidth="1"/>
    <col min="15367" max="15367" width="11.75" style="3108" customWidth="1"/>
    <col min="15368" max="15369" width="8.75" style="3108"/>
    <col min="15370" max="15370" width="5.25" style="3108" customWidth="1"/>
    <col min="15371" max="15371" width="10.625" style="3108" customWidth="1"/>
    <col min="15372" max="15373" width="9.75" style="3108" customWidth="1"/>
    <col min="15374" max="15374" width="9" style="3108" customWidth="1"/>
    <col min="15375" max="15376" width="9.375" style="3108" bestFit="1" customWidth="1"/>
    <col min="15377" max="15377" width="9" style="3108" customWidth="1"/>
    <col min="15378" max="15378" width="9.125" style="3108" customWidth="1"/>
    <col min="15379" max="15379" width="9" style="3108" customWidth="1"/>
    <col min="15380" max="15380" width="23.5" style="3108" customWidth="1"/>
    <col min="15381" max="15616" width="8.75" style="3108"/>
    <col min="15617" max="15617" width="8.5" style="3108" customWidth="1"/>
    <col min="15618" max="15618" width="8.75" style="3108"/>
    <col min="15619" max="15621" width="11.625" style="3108" customWidth="1"/>
    <col min="15622" max="15622" width="42.75" style="3108" customWidth="1"/>
    <col min="15623" max="15623" width="11.75" style="3108" customWidth="1"/>
    <col min="15624" max="15625" width="8.75" style="3108"/>
    <col min="15626" max="15626" width="5.25" style="3108" customWidth="1"/>
    <col min="15627" max="15627" width="10.625" style="3108" customWidth="1"/>
    <col min="15628" max="15629" width="9.75" style="3108" customWidth="1"/>
    <col min="15630" max="15630" width="9" style="3108" customWidth="1"/>
    <col min="15631" max="15632" width="9.375" style="3108" bestFit="1" customWidth="1"/>
    <col min="15633" max="15633" width="9" style="3108" customWidth="1"/>
    <col min="15634" max="15634" width="9.125" style="3108" customWidth="1"/>
    <col min="15635" max="15635" width="9" style="3108" customWidth="1"/>
    <col min="15636" max="15636" width="23.5" style="3108" customWidth="1"/>
    <col min="15637" max="15872" width="8.75" style="3108"/>
    <col min="15873" max="15873" width="8.5" style="3108" customWidth="1"/>
    <col min="15874" max="15874" width="8.75" style="3108"/>
    <col min="15875" max="15877" width="11.625" style="3108" customWidth="1"/>
    <col min="15878" max="15878" width="42.75" style="3108" customWidth="1"/>
    <col min="15879" max="15879" width="11.75" style="3108" customWidth="1"/>
    <col min="15880" max="15881" width="8.75" style="3108"/>
    <col min="15882" max="15882" width="5.25" style="3108" customWidth="1"/>
    <col min="15883" max="15883" width="10.625" style="3108" customWidth="1"/>
    <col min="15884" max="15885" width="9.75" style="3108" customWidth="1"/>
    <col min="15886" max="15886" width="9" style="3108" customWidth="1"/>
    <col min="15887" max="15888" width="9.375" style="3108" bestFit="1" customWidth="1"/>
    <col min="15889" max="15889" width="9" style="3108" customWidth="1"/>
    <col min="15890" max="15890" width="9.125" style="3108" customWidth="1"/>
    <col min="15891" max="15891" width="9" style="3108" customWidth="1"/>
    <col min="15892" max="15892" width="23.5" style="3108" customWidth="1"/>
    <col min="15893" max="16128" width="8.75" style="3108"/>
    <col min="16129" max="16129" width="8.5" style="3108" customWidth="1"/>
    <col min="16130" max="16130" width="8.75" style="3108"/>
    <col min="16131" max="16133" width="11.625" style="3108" customWidth="1"/>
    <col min="16134" max="16134" width="42.75" style="3108" customWidth="1"/>
    <col min="16135" max="16135" width="11.75" style="3108" customWidth="1"/>
    <col min="16136" max="16137" width="8.75" style="3108"/>
    <col min="16138" max="16138" width="5.25" style="3108" customWidth="1"/>
    <col min="16139" max="16139" width="10.625" style="3108" customWidth="1"/>
    <col min="16140" max="16141" width="9.75" style="3108" customWidth="1"/>
    <col min="16142" max="16142" width="9" style="3108" customWidth="1"/>
    <col min="16143" max="16144" width="9.375" style="3108" bestFit="1" customWidth="1"/>
    <col min="16145" max="16145" width="9" style="3108" customWidth="1"/>
    <col min="16146" max="16146" width="9.125" style="3108" customWidth="1"/>
    <col min="16147" max="16147" width="9" style="3108" customWidth="1"/>
    <col min="16148" max="16148" width="23.5" style="3108" customWidth="1"/>
    <col min="16149" max="16384" width="8.75" style="3108"/>
  </cols>
  <sheetData>
    <row r="1" spans="1:22" ht="21" customHeight="1">
      <c r="A1" s="3101" t="s">
        <v>4086</v>
      </c>
      <c r="B1" s="3102"/>
      <c r="C1" s="3103"/>
      <c r="D1" s="3104" t="s">
        <v>70</v>
      </c>
      <c r="E1" s="3105" t="s">
        <v>4087</v>
      </c>
      <c r="F1" s="3106">
        <f ca="1">C36</f>
        <v>33.119999999999997</v>
      </c>
      <c r="G1" s="3107"/>
      <c r="J1" s="3110" t="s">
        <v>4088</v>
      </c>
      <c r="K1" s="3111"/>
      <c r="L1" s="3111"/>
      <c r="M1" s="3111"/>
      <c r="N1" s="3111"/>
      <c r="O1" s="3111"/>
      <c r="P1" s="3111"/>
      <c r="Q1" s="3111"/>
      <c r="R1" s="3112"/>
      <c r="S1" s="3113"/>
      <c r="T1" s="3113"/>
      <c r="U1" s="3113"/>
    </row>
    <row r="2" spans="1:22" s="3120" customFormat="1" ht="13.15" customHeight="1">
      <c r="A2" s="3114" t="s">
        <v>4089</v>
      </c>
      <c r="B2" s="3115" t="e">
        <f ca="1">C40</f>
        <v>#N/A</v>
      </c>
      <c r="C2" s="3116" t="s">
        <v>4090</v>
      </c>
      <c r="D2" s="3116"/>
      <c r="E2" s="3117"/>
      <c r="F2" s="3118"/>
      <c r="G2" s="3119"/>
      <c r="I2" s="3121"/>
      <c r="J2" s="3523" t="s">
        <v>4091</v>
      </c>
      <c r="K2" s="3524"/>
      <c r="L2" s="3122" t="s">
        <v>4092</v>
      </c>
      <c r="M2" s="3122" t="s">
        <v>4093</v>
      </c>
      <c r="N2" s="3122" t="s">
        <v>4094</v>
      </c>
      <c r="O2" s="3122" t="s">
        <v>4095</v>
      </c>
      <c r="P2" s="3122" t="s">
        <v>4096</v>
      </c>
      <c r="Q2" s="3123" t="s">
        <v>4097</v>
      </c>
      <c r="R2" s="3124" t="s">
        <v>4098</v>
      </c>
      <c r="S2" s="3113"/>
      <c r="T2" s="3113"/>
      <c r="U2" s="3113"/>
      <c r="V2" s="3121"/>
    </row>
    <row r="3" spans="1:22" s="3120" customFormat="1" ht="13.15" customHeight="1">
      <c r="A3" s="3125" t="s">
        <v>4099</v>
      </c>
      <c r="B3" s="3126" t="e">
        <f ca="1">ROUND(B2*10000/B4,0)</f>
        <v>#N/A</v>
      </c>
      <c r="C3" s="3116" t="s">
        <v>4100</v>
      </c>
      <c r="D3" s="3116"/>
      <c r="E3" s="3117"/>
      <c r="F3" s="3118"/>
      <c r="G3" s="3119"/>
      <c r="I3" s="3121"/>
      <c r="J3" s="3525" t="s">
        <v>4101</v>
      </c>
      <c r="K3" s="3526"/>
      <c r="L3" s="3127">
        <v>20000</v>
      </c>
      <c r="M3" s="3127">
        <v>500</v>
      </c>
      <c r="N3" s="3127">
        <v>500</v>
      </c>
      <c r="O3" s="3127">
        <v>10000</v>
      </c>
      <c r="P3" s="3127">
        <v>10000</v>
      </c>
      <c r="Q3" s="3128">
        <v>500</v>
      </c>
      <c r="R3" s="3129">
        <f>SUM(L3:Q3)</f>
        <v>41500</v>
      </c>
      <c r="S3" s="3113"/>
      <c r="T3" s="3113"/>
      <c r="U3" s="3113"/>
      <c r="V3" s="3121"/>
    </row>
    <row r="4" spans="1:22" s="3120" customFormat="1" ht="13.15" customHeight="1">
      <c r="A4" s="3130" t="s">
        <v>4102</v>
      </c>
      <c r="B4" s="3131">
        <f>'数据-汇总表'!E27</f>
        <v>80197.850000000006</v>
      </c>
      <c r="C4" s="3116"/>
      <c r="D4" s="3116"/>
      <c r="E4" s="3117"/>
      <c r="F4" s="3118"/>
      <c r="G4" s="3119"/>
      <c r="I4" s="3121"/>
      <c r="J4" s="3525" t="s">
        <v>4103</v>
      </c>
      <c r="K4" s="3526"/>
      <c r="L4" s="3132">
        <v>6500</v>
      </c>
      <c r="M4" s="3132">
        <v>150</v>
      </c>
      <c r="N4" s="3132">
        <v>150</v>
      </c>
      <c r="O4" s="3132">
        <v>3500</v>
      </c>
      <c r="P4" s="3132">
        <v>3500</v>
      </c>
      <c r="Q4" s="3133">
        <v>150</v>
      </c>
      <c r="R4" s="3134">
        <f>SUM(L4:Q4)</f>
        <v>13950</v>
      </c>
      <c r="S4" s="3113"/>
      <c r="T4" s="3113"/>
      <c r="U4" s="3113"/>
      <c r="V4" s="3121"/>
    </row>
    <row r="5" spans="1:22" s="3120" customFormat="1" ht="13.15" customHeight="1" thickBot="1">
      <c r="A5" s="3135" t="s">
        <v>4104</v>
      </c>
      <c r="B5" s="3136">
        <f>'数据-汇总表'!D31</f>
        <v>34634.379999999997</v>
      </c>
      <c r="C5" s="3116"/>
      <c r="D5" s="3137"/>
      <c r="E5" s="3118"/>
      <c r="F5" s="3118"/>
      <c r="G5" s="3119"/>
      <c r="I5" s="3121"/>
      <c r="J5" s="3138" t="s">
        <v>4105</v>
      </c>
      <c r="K5" s="3139"/>
      <c r="L5" s="3139"/>
      <c r="M5" s="3140"/>
      <c r="N5" s="3140"/>
      <c r="O5" s="3140"/>
      <c r="P5" s="3140"/>
      <c r="Q5" s="3140"/>
      <c r="R5" s="3124">
        <f>SUM(R14,R19,R24,R25,R27,R28)</f>
        <v>17965</v>
      </c>
      <c r="S5" s="3113"/>
      <c r="T5" s="3113" t="s">
        <v>4106</v>
      </c>
      <c r="U5" s="3113">
        <f>ROUND(R5*10000/365/R3,1)</f>
        <v>11.9</v>
      </c>
      <c r="V5" s="3121"/>
    </row>
    <row r="6" spans="1:22" s="3120" customFormat="1" ht="13.15" customHeight="1" thickBot="1">
      <c r="A6" s="3531" t="s">
        <v>4107</v>
      </c>
      <c r="B6" s="3532"/>
      <c r="C6" s="3533"/>
      <c r="D6" s="3274">
        <f>财务报表!E4</f>
        <v>4490</v>
      </c>
      <c r="E6" s="3141"/>
      <c r="F6" s="3142"/>
      <c r="G6" s="3143">
        <f>D6*10000/365/B4</f>
        <v>1.533877761437956</v>
      </c>
      <c r="I6" s="3121"/>
      <c r="J6" s="3517">
        <v>1</v>
      </c>
      <c r="K6" s="3518" t="s">
        <v>4108</v>
      </c>
      <c r="L6" s="3144" t="s">
        <v>4109</v>
      </c>
      <c r="M6" s="3145" t="s">
        <v>4110</v>
      </c>
      <c r="N6" s="3145" t="s">
        <v>4111</v>
      </c>
      <c r="O6" s="3145" t="s">
        <v>4112</v>
      </c>
      <c r="P6" s="3145" t="s">
        <v>4113</v>
      </c>
      <c r="Q6" s="3145" t="s">
        <v>4114</v>
      </c>
      <c r="R6" s="3129" t="s">
        <v>4115</v>
      </c>
      <c r="S6" s="3113"/>
      <c r="T6" s="3113" t="s">
        <v>4116</v>
      </c>
      <c r="U6" s="3113"/>
      <c r="V6" s="3121"/>
    </row>
    <row r="7" spans="1:22" s="3120" customFormat="1" ht="13.15" customHeight="1">
      <c r="A7" s="3146" t="s">
        <v>4117</v>
      </c>
      <c r="B7" s="3147"/>
      <c r="C7" s="3148"/>
      <c r="D7" s="3149" t="e">
        <f ca="1">SUM(D9,D10,D11,D17,0)</f>
        <v>#N/A</v>
      </c>
      <c r="E7" s="3150" t="e">
        <f ca="1">E9+E10+E11+E17</f>
        <v>#N/A</v>
      </c>
      <c r="F7" s="3151"/>
      <c r="G7" s="3152"/>
      <c r="I7" s="3121"/>
      <c r="J7" s="3517"/>
      <c r="K7" s="3519"/>
      <c r="L7" s="3153" t="s">
        <v>4118</v>
      </c>
      <c r="M7" s="3154">
        <v>1</v>
      </c>
      <c r="N7" s="3131">
        <v>8000</v>
      </c>
      <c r="O7" s="3155">
        <v>0.5</v>
      </c>
      <c r="P7" s="3155">
        <v>0.6</v>
      </c>
      <c r="Q7" s="3156">
        <v>365</v>
      </c>
      <c r="R7" s="3157">
        <f>ROUND(M7*N7*O7*P7*Q7/10000,0)</f>
        <v>88</v>
      </c>
      <c r="S7" s="3113"/>
      <c r="T7" s="3113" t="s">
        <v>4119</v>
      </c>
      <c r="U7" s="3113"/>
      <c r="V7" s="3121"/>
    </row>
    <row r="8" spans="1:22" s="3120" customFormat="1" ht="13.15" customHeight="1">
      <c r="A8" s="3158" t="s">
        <v>4120</v>
      </c>
      <c r="B8" s="3534" t="s">
        <v>4121</v>
      </c>
      <c r="C8" s="3526"/>
      <c r="D8" s="3159" t="s">
        <v>4122</v>
      </c>
      <c r="E8" s="3160" t="s">
        <v>4123</v>
      </c>
      <c r="F8" s="3124" t="s">
        <v>4124</v>
      </c>
      <c r="G8" s="3161"/>
      <c r="I8" s="3121"/>
      <c r="J8" s="3517"/>
      <c r="K8" s="3519"/>
      <c r="L8" s="3153" t="s">
        <v>4125</v>
      </c>
      <c r="M8" s="3154">
        <v>12</v>
      </c>
      <c r="N8" s="3131">
        <v>3200</v>
      </c>
      <c r="O8" s="3155">
        <v>0.5</v>
      </c>
      <c r="P8" s="3155">
        <v>0.6</v>
      </c>
      <c r="Q8" s="3156">
        <v>365</v>
      </c>
      <c r="R8" s="3157">
        <f t="shared" ref="R8:R13" si="0">ROUND(M8*N8*O8*P8*Q8/10000,0)</f>
        <v>420</v>
      </c>
      <c r="S8" s="3113"/>
      <c r="T8" s="3113" t="s">
        <v>4126</v>
      </c>
      <c r="U8" s="3113"/>
      <c r="V8" s="3121"/>
    </row>
    <row r="9" spans="1:22" s="3120" customFormat="1" ht="13.15" customHeight="1">
      <c r="A9" s="3158">
        <v>1</v>
      </c>
      <c r="B9" s="3535" t="s">
        <v>4127</v>
      </c>
      <c r="C9" s="3536"/>
      <c r="D9" s="3159">
        <f>ROUND(D6*E9,0)</f>
        <v>0</v>
      </c>
      <c r="E9" s="3162">
        <v>0</v>
      </c>
      <c r="F9" s="3163" t="s">
        <v>4128</v>
      </c>
      <c r="G9" s="3143"/>
      <c r="I9" s="3121"/>
      <c r="J9" s="3517"/>
      <c r="K9" s="3519"/>
      <c r="L9" s="3153" t="s">
        <v>4129</v>
      </c>
      <c r="M9" s="3154">
        <v>45</v>
      </c>
      <c r="N9" s="3131">
        <v>2700</v>
      </c>
      <c r="O9" s="3155">
        <v>0.5</v>
      </c>
      <c r="P9" s="3155">
        <v>0.6</v>
      </c>
      <c r="Q9" s="3156">
        <v>365</v>
      </c>
      <c r="R9" s="3157">
        <f t="shared" si="0"/>
        <v>1330</v>
      </c>
      <c r="S9" s="3113"/>
      <c r="T9" s="3113"/>
      <c r="U9" s="3113"/>
      <c r="V9" s="3121"/>
    </row>
    <row r="10" spans="1:22" s="3120" customFormat="1" ht="13.15" customHeight="1">
      <c r="A10" s="3158">
        <v>2</v>
      </c>
      <c r="B10" s="3534" t="s">
        <v>4130</v>
      </c>
      <c r="C10" s="3526"/>
      <c r="D10" s="3159">
        <f>ROUND(D6*E10,0)</f>
        <v>898</v>
      </c>
      <c r="E10" s="3273">
        <v>0.2</v>
      </c>
      <c r="F10" s="3163" t="s">
        <v>4131</v>
      </c>
      <c r="G10" s="3143"/>
      <c r="I10" s="3121"/>
      <c r="J10" s="3517"/>
      <c r="K10" s="3519"/>
      <c r="L10" s="3153" t="s">
        <v>4132</v>
      </c>
      <c r="M10" s="3154">
        <v>368</v>
      </c>
      <c r="N10" s="3131">
        <v>1500</v>
      </c>
      <c r="O10" s="3155">
        <v>0.5</v>
      </c>
      <c r="P10" s="3155">
        <v>0.6</v>
      </c>
      <c r="Q10" s="3156">
        <v>365</v>
      </c>
      <c r="R10" s="3157">
        <f t="shared" si="0"/>
        <v>6044</v>
      </c>
      <c r="S10" s="3113"/>
      <c r="T10" s="3113"/>
      <c r="U10" s="3113"/>
      <c r="V10" s="3121"/>
    </row>
    <row r="11" spans="1:22" s="3120" customFormat="1" ht="13.15" customHeight="1">
      <c r="A11" s="3158">
        <v>3</v>
      </c>
      <c r="B11" s="3534" t="s">
        <v>4133</v>
      </c>
      <c r="C11" s="3526"/>
      <c r="D11" s="3159" t="e">
        <f ca="1">D12+D14+D15+D16</f>
        <v>#N/A</v>
      </c>
      <c r="E11" s="3164" t="e">
        <f ca="1">D11/D6</f>
        <v>#N/A</v>
      </c>
      <c r="F11" s="3124"/>
      <c r="G11" s="3161"/>
      <c r="I11" s="3121"/>
      <c r="J11" s="3517"/>
      <c r="K11" s="3519"/>
      <c r="L11" s="3153" t="s">
        <v>4134</v>
      </c>
      <c r="M11" s="3154">
        <v>50</v>
      </c>
      <c r="N11" s="3131">
        <v>2000</v>
      </c>
      <c r="O11" s="3155">
        <v>0.5</v>
      </c>
      <c r="P11" s="3155">
        <v>0.6</v>
      </c>
      <c r="Q11" s="3156">
        <v>365</v>
      </c>
      <c r="R11" s="3157">
        <f t="shared" si="0"/>
        <v>1095</v>
      </c>
      <c r="S11" s="3113"/>
      <c r="T11" s="3113"/>
      <c r="U11" s="3113"/>
      <c r="V11" s="3121"/>
    </row>
    <row r="12" spans="1:22" s="3120" customFormat="1" ht="13.15" customHeight="1">
      <c r="A12" s="3165" t="s">
        <v>4135</v>
      </c>
      <c r="B12" s="3537" t="s">
        <v>4136</v>
      </c>
      <c r="C12" s="3538"/>
      <c r="D12" s="3166" t="e">
        <f ca="1">ROUND(D13*1.2%*(1-30%),0)</f>
        <v>#N/A</v>
      </c>
      <c r="E12" s="3167">
        <v>1.2E-2</v>
      </c>
      <c r="F12" s="3124" t="s">
        <v>4137</v>
      </c>
      <c r="G12" s="3161"/>
      <c r="I12" s="3121"/>
      <c r="J12" s="3517"/>
      <c r="K12" s="3519"/>
      <c r="L12" s="3153" t="s">
        <v>4138</v>
      </c>
      <c r="M12" s="3154">
        <v>36</v>
      </c>
      <c r="N12" s="3131">
        <v>2700</v>
      </c>
      <c r="O12" s="3155">
        <v>0.5</v>
      </c>
      <c r="P12" s="3155">
        <v>0.6</v>
      </c>
      <c r="Q12" s="3156">
        <v>365</v>
      </c>
      <c r="R12" s="3157">
        <f t="shared" si="0"/>
        <v>1064</v>
      </c>
      <c r="S12" s="3113"/>
      <c r="T12" s="3113"/>
      <c r="U12" s="3113"/>
      <c r="V12" s="3121"/>
    </row>
    <row r="13" spans="1:22" s="3120" customFormat="1" ht="13.15" customHeight="1">
      <c r="A13" s="3165"/>
      <c r="B13" s="3168"/>
      <c r="C13" s="3169" t="s">
        <v>4139</v>
      </c>
      <c r="D13" s="3277" t="e">
        <f ca="1">收益法!C29+'收益法 (车库)'!C29</f>
        <v>#N/A</v>
      </c>
      <c r="E13" s="3170"/>
      <c r="F13" s="3124"/>
      <c r="G13" s="3161"/>
      <c r="I13" s="3121"/>
      <c r="J13" s="3517"/>
      <c r="K13" s="3519"/>
      <c r="L13" s="3153" t="s">
        <v>4140</v>
      </c>
      <c r="M13" s="3154">
        <v>15</v>
      </c>
      <c r="N13" s="3131">
        <v>3200</v>
      </c>
      <c r="O13" s="3155">
        <v>0.5</v>
      </c>
      <c r="P13" s="3155">
        <v>0.6</v>
      </c>
      <c r="Q13" s="3156">
        <v>365</v>
      </c>
      <c r="R13" s="3157">
        <f t="shared" si="0"/>
        <v>526</v>
      </c>
      <c r="S13" s="3113"/>
      <c r="T13" s="3113"/>
      <c r="U13" s="3113"/>
      <c r="V13" s="3121"/>
    </row>
    <row r="14" spans="1:22" s="3120" customFormat="1" ht="13.15" customHeight="1">
      <c r="A14" s="3165" t="s">
        <v>4141</v>
      </c>
      <c r="B14" s="3527" t="s">
        <v>4142</v>
      </c>
      <c r="C14" s="3528"/>
      <c r="D14" s="3166">
        <f>ROUND(E14*B5/10000,0)</f>
        <v>28</v>
      </c>
      <c r="E14" s="3171">
        <v>8</v>
      </c>
      <c r="F14" s="3124" t="s">
        <v>4143</v>
      </c>
      <c r="G14" s="3161"/>
      <c r="I14" s="3121"/>
      <c r="J14" s="3517"/>
      <c r="K14" s="3520"/>
      <c r="L14" s="3172" t="s">
        <v>4144</v>
      </c>
      <c r="M14" s="3173">
        <f>SUM(M7:M13)</f>
        <v>527</v>
      </c>
      <c r="N14" s="3173">
        <f>ROUND((N7*M7+N8*M8+N9*M9+N10*M10+N11*M11+N12*M12+N13*M13)/M14,0)</f>
        <v>1831</v>
      </c>
      <c r="O14" s="3174"/>
      <c r="P14" s="3174"/>
      <c r="Q14" s="3175"/>
      <c r="R14" s="3124">
        <f>SUM(R7:R13)</f>
        <v>10567</v>
      </c>
      <c r="S14" s="3113"/>
      <c r="T14" s="3113"/>
      <c r="U14" s="3113"/>
      <c r="V14" s="3121"/>
    </row>
    <row r="15" spans="1:22" s="3120" customFormat="1" ht="13.15" customHeight="1">
      <c r="A15" s="3165" t="s">
        <v>4145</v>
      </c>
      <c r="B15" s="3527" t="s">
        <v>4146</v>
      </c>
      <c r="C15" s="3528"/>
      <c r="D15" s="3176">
        <f>ROUND(D6*E15/(1+5%),0)</f>
        <v>235</v>
      </c>
      <c r="E15" s="3276">
        <v>5.5E-2</v>
      </c>
      <c r="F15" s="3124" t="s">
        <v>4147</v>
      </c>
      <c r="G15" s="3143"/>
      <c r="I15" s="3121"/>
      <c r="J15" s="3517">
        <v>2</v>
      </c>
      <c r="K15" s="3518" t="s">
        <v>4148</v>
      </c>
      <c r="L15" s="3153" t="s">
        <v>4149</v>
      </c>
      <c r="M15" s="3154" t="s">
        <v>4150</v>
      </c>
      <c r="N15" s="3154" t="s">
        <v>4151</v>
      </c>
      <c r="O15" s="3155" t="s">
        <v>4152</v>
      </c>
      <c r="P15" s="3155" t="s">
        <v>4114</v>
      </c>
      <c r="Q15" s="3131" t="s">
        <v>555</v>
      </c>
      <c r="R15" s="3177" t="s">
        <v>4115</v>
      </c>
      <c r="S15" s="3113"/>
      <c r="T15" s="3113"/>
      <c r="U15" s="3113"/>
      <c r="V15" s="3121"/>
    </row>
    <row r="16" spans="1:22" s="3120" customFormat="1" ht="13.15" customHeight="1">
      <c r="A16" s="3165" t="s">
        <v>4153</v>
      </c>
      <c r="B16" s="3527" t="s">
        <v>4154</v>
      </c>
      <c r="C16" s="3528"/>
      <c r="D16" s="3176">
        <f>D6*E16</f>
        <v>0</v>
      </c>
      <c r="E16" s="3178"/>
      <c r="F16" s="3163" t="s">
        <v>4155</v>
      </c>
      <c r="G16" s="3143"/>
      <c r="I16" s="3121"/>
      <c r="J16" s="3517"/>
      <c r="K16" s="3519"/>
      <c r="L16" s="3153" t="s">
        <v>4156</v>
      </c>
      <c r="M16" s="3154">
        <v>100</v>
      </c>
      <c r="N16" s="3154">
        <v>100</v>
      </c>
      <c r="O16" s="3155">
        <v>1.2</v>
      </c>
      <c r="P16" s="3156">
        <v>365</v>
      </c>
      <c r="Q16" s="3131"/>
      <c r="R16" s="3177">
        <f>ROUND(M16*N16*O16*P16/10000,0)</f>
        <v>438</v>
      </c>
      <c r="S16" s="3113"/>
      <c r="T16" s="3113"/>
      <c r="U16" s="3113"/>
      <c r="V16" s="3121"/>
    </row>
    <row r="17" spans="1:22" s="3120" customFormat="1" ht="13.15" customHeight="1" thickBot="1">
      <c r="A17" s="3179">
        <v>4</v>
      </c>
      <c r="B17" s="3529" t="s">
        <v>4157</v>
      </c>
      <c r="C17" s="3530"/>
      <c r="D17" s="3180">
        <f>ROUND(D6*E17,0)</f>
        <v>449</v>
      </c>
      <c r="E17" s="3181">
        <v>0.1</v>
      </c>
      <c r="F17" s="3182" t="s">
        <v>4158</v>
      </c>
      <c r="G17" s="3143"/>
      <c r="I17" s="3121"/>
      <c r="J17" s="3517"/>
      <c r="K17" s="3519"/>
      <c r="L17" s="3153" t="s">
        <v>4159</v>
      </c>
      <c r="M17" s="3154">
        <v>200</v>
      </c>
      <c r="N17" s="3154">
        <v>200</v>
      </c>
      <c r="O17" s="3155">
        <v>2</v>
      </c>
      <c r="P17" s="3156">
        <v>365</v>
      </c>
      <c r="Q17" s="3131"/>
      <c r="R17" s="3177">
        <f>ROUND(M17*N17*O17*P17/10000,0)</f>
        <v>2920</v>
      </c>
      <c r="S17" s="3113"/>
      <c r="T17" s="3113"/>
      <c r="U17" s="3113"/>
      <c r="V17" s="3121"/>
    </row>
    <row r="18" spans="1:22" s="3120" customFormat="1" ht="13.15" customHeight="1" thickBot="1">
      <c r="A18" s="3146" t="s">
        <v>4160</v>
      </c>
      <c r="B18" s="3147"/>
      <c r="C18" s="3147"/>
      <c r="D18" s="3183">
        <f>ROUND(D6*E18,0)</f>
        <v>225</v>
      </c>
      <c r="E18" s="3275">
        <v>0.05</v>
      </c>
      <c r="F18" s="3184" t="s">
        <v>4161</v>
      </c>
      <c r="G18" s="3143"/>
      <c r="I18" s="3121"/>
      <c r="J18" s="3517"/>
      <c r="K18" s="3519"/>
      <c r="L18" s="3153" t="s">
        <v>4162</v>
      </c>
      <c r="M18" s="3154"/>
      <c r="N18" s="3154"/>
      <c r="O18" s="3155"/>
      <c r="P18" s="3156">
        <v>365</v>
      </c>
      <c r="Q18" s="3131"/>
      <c r="R18" s="3177">
        <f>ROUND(M18*N18*O18*P18/10000,0)</f>
        <v>0</v>
      </c>
      <c r="S18" s="3113"/>
      <c r="T18" s="3113"/>
      <c r="U18" s="3113"/>
      <c r="V18" s="3121"/>
    </row>
    <row r="19" spans="1:22" s="3120" customFormat="1" ht="13.15" customHeight="1" thickBot="1">
      <c r="A19" s="3185" t="s">
        <v>4163</v>
      </c>
      <c r="B19" s="3141"/>
      <c r="C19" s="3141"/>
      <c r="D19" s="3141"/>
      <c r="E19" s="3141"/>
      <c r="F19" s="3142"/>
      <c r="G19" s="3161"/>
      <c r="I19" s="3121"/>
      <c r="J19" s="3517"/>
      <c r="K19" s="3520"/>
      <c r="L19" s="3172" t="s">
        <v>4144</v>
      </c>
      <c r="M19" s="3173"/>
      <c r="N19" s="3173">
        <f>SUM(N16:N18)</f>
        <v>300</v>
      </c>
      <c r="O19" s="3174"/>
      <c r="P19" s="3186" t="s">
        <v>4164</v>
      </c>
      <c r="Q19" s="3155">
        <v>0.5</v>
      </c>
      <c r="R19" s="3187">
        <f>ROUND(IF(P19="按比例",R14*Q19,SUM(R16:R18)),0)</f>
        <v>5284</v>
      </c>
      <c r="S19" s="3113"/>
      <c r="T19" s="3113"/>
      <c r="U19" s="3113"/>
      <c r="V19" s="3121"/>
    </row>
    <row r="20" spans="1:22" s="3120" customFormat="1" ht="13.15" customHeight="1">
      <c r="A20" s="3146"/>
      <c r="B20" s="3147"/>
      <c r="C20" s="3147"/>
      <c r="D20" s="3147"/>
      <c r="E20" s="3147"/>
      <c r="F20" s="3188"/>
      <c r="G20" s="3161"/>
      <c r="I20" s="3121"/>
      <c r="J20" s="3517">
        <v>3</v>
      </c>
      <c r="K20" s="3518" t="s">
        <v>4165</v>
      </c>
      <c r="L20" s="3153" t="s">
        <v>4166</v>
      </c>
      <c r="M20" s="3154" t="s">
        <v>4167</v>
      </c>
      <c r="N20" s="3189" t="s">
        <v>4168</v>
      </c>
      <c r="O20" s="3155" t="s">
        <v>4169</v>
      </c>
      <c r="P20" s="3156" t="s">
        <v>4114</v>
      </c>
      <c r="Q20" s="3131" t="s">
        <v>555</v>
      </c>
      <c r="R20" s="3177" t="s">
        <v>4115</v>
      </c>
      <c r="S20" s="3190"/>
      <c r="T20" s="3190"/>
      <c r="U20" s="3190"/>
      <c r="V20" s="3121"/>
    </row>
    <row r="21" spans="1:22" s="3120" customFormat="1" ht="13.15" customHeight="1">
      <c r="A21" s="3146"/>
      <c r="B21" s="3147"/>
      <c r="C21" s="3191" t="s">
        <v>4170</v>
      </c>
      <c r="D21" s="3192" t="s">
        <v>4171</v>
      </c>
      <c r="E21" s="3193" t="s">
        <v>4172</v>
      </c>
      <c r="F21" s="3188"/>
      <c r="G21" s="3161"/>
      <c r="I21" s="3121"/>
      <c r="J21" s="3517"/>
      <c r="K21" s="3519"/>
      <c r="L21" s="3153" t="s">
        <v>4173</v>
      </c>
      <c r="M21" s="3154">
        <v>2</v>
      </c>
      <c r="N21" s="3154">
        <v>3000</v>
      </c>
      <c r="O21" s="3155">
        <v>0.3</v>
      </c>
      <c r="P21" s="3156">
        <v>365</v>
      </c>
      <c r="Q21" s="3131"/>
      <c r="R21" s="3194">
        <f>ROUND(M21*N21*O21*P21/10000,0)</f>
        <v>66</v>
      </c>
      <c r="S21" s="3190"/>
      <c r="T21" s="3190"/>
      <c r="U21" s="3190"/>
      <c r="V21" s="3121"/>
    </row>
    <row r="22" spans="1:22" s="3120" customFormat="1" ht="13.15" customHeight="1">
      <c r="A22" s="3146"/>
      <c r="B22" s="3147"/>
      <c r="C22" s="3195" t="s">
        <v>4174</v>
      </c>
      <c r="D22" s="3196" t="s">
        <v>4175</v>
      </c>
      <c r="E22" s="3197" t="s">
        <v>4176</v>
      </c>
      <c r="F22" s="3188"/>
      <c r="G22" s="3198"/>
      <c r="I22" s="3121"/>
      <c r="J22" s="3517"/>
      <c r="K22" s="3519"/>
      <c r="L22" s="3153" t="s">
        <v>4177</v>
      </c>
      <c r="M22" s="3154">
        <v>5</v>
      </c>
      <c r="N22" s="3154">
        <v>1500</v>
      </c>
      <c r="O22" s="3155">
        <v>0.5</v>
      </c>
      <c r="P22" s="3156">
        <v>365</v>
      </c>
      <c r="Q22" s="3131"/>
      <c r="R22" s="3194">
        <f>ROUND(M22*N22*O22*P22/10000,0)</f>
        <v>137</v>
      </c>
      <c r="S22" s="3190"/>
      <c r="T22" s="3190"/>
      <c r="U22" s="3190"/>
      <c r="V22" s="3121"/>
    </row>
    <row r="23" spans="1:22" s="3120" customFormat="1" ht="13.15" customHeight="1">
      <c r="A23" s="3199">
        <v>1</v>
      </c>
      <c r="B23" s="3145" t="s">
        <v>4178</v>
      </c>
      <c r="C23" s="3200">
        <f>D6</f>
        <v>4490</v>
      </c>
      <c r="D23" s="3201">
        <f>C23*(1+D24)</f>
        <v>4490</v>
      </c>
      <c r="E23" s="3202">
        <f>D23*(1+E24)</f>
        <v>4490</v>
      </c>
      <c r="F23" s="3203"/>
      <c r="G23" s="3204"/>
      <c r="I23" s="3121"/>
      <c r="J23" s="3517"/>
      <c r="K23" s="3519"/>
      <c r="L23" s="3153" t="s">
        <v>4179</v>
      </c>
      <c r="M23" s="3154">
        <v>8</v>
      </c>
      <c r="N23" s="3154">
        <v>1000</v>
      </c>
      <c r="O23" s="3155">
        <v>0.6</v>
      </c>
      <c r="P23" s="3156">
        <v>365</v>
      </c>
      <c r="Q23" s="3131"/>
      <c r="R23" s="3194">
        <f>ROUND(M23*N23*O23*P23/10000,0)</f>
        <v>175</v>
      </c>
      <c r="S23" s="3113"/>
      <c r="T23" s="3113"/>
      <c r="U23" s="3113"/>
      <c r="V23" s="3121"/>
    </row>
    <row r="24" spans="1:22" s="3120" customFormat="1" ht="13.15" customHeight="1">
      <c r="A24" s="3205"/>
      <c r="B24" s="3206" t="s">
        <v>4180</v>
      </c>
      <c r="C24" s="3207"/>
      <c r="D24" s="3208"/>
      <c r="E24" s="3209"/>
      <c r="F24" s="3210"/>
      <c r="G24" s="3204"/>
      <c r="I24" s="3121"/>
      <c r="J24" s="3517"/>
      <c r="K24" s="3520"/>
      <c r="L24" s="3172" t="s">
        <v>4144</v>
      </c>
      <c r="M24" s="3173">
        <f>SUM(M21:M23)</f>
        <v>15</v>
      </c>
      <c r="N24" s="3173"/>
      <c r="O24" s="3174"/>
      <c r="P24" s="3186" t="s">
        <v>4164</v>
      </c>
      <c r="Q24" s="3155">
        <v>0.1</v>
      </c>
      <c r="R24" s="3187">
        <f>ROUND(IF(P24="按比例",R14*Q24,SUM(R21:R23)),0)</f>
        <v>1057</v>
      </c>
      <c r="S24" s="3113"/>
      <c r="T24" s="3113"/>
      <c r="U24" s="3113"/>
      <c r="V24" s="3121"/>
    </row>
    <row r="25" spans="1:22" s="3217" customFormat="1" ht="13.15" customHeight="1">
      <c r="A25" s="3205"/>
      <c r="B25" s="3206"/>
      <c r="C25" s="3207"/>
      <c r="D25" s="3208"/>
      <c r="E25" s="3209"/>
      <c r="F25" s="3210"/>
      <c r="G25" s="3198"/>
      <c r="H25" s="3120"/>
      <c r="I25" s="3121"/>
      <c r="J25" s="3211">
        <v>4</v>
      </c>
      <c r="K25" s="3212" t="s">
        <v>4181</v>
      </c>
      <c r="L25" s="3213"/>
      <c r="M25" s="3213"/>
      <c r="N25" s="3213"/>
      <c r="O25" s="3213"/>
      <c r="P25" s="3214"/>
      <c r="Q25" s="3215">
        <v>0.1</v>
      </c>
      <c r="R25" s="3187">
        <f>ROUND(R14*Q25,0)</f>
        <v>1057</v>
      </c>
      <c r="S25" s="3113"/>
      <c r="T25" s="3113"/>
      <c r="U25" s="3113"/>
      <c r="V25" s="3216"/>
    </row>
    <row r="26" spans="1:22" s="3217" customFormat="1" ht="13.15" customHeight="1">
      <c r="A26" s="3199">
        <v>2</v>
      </c>
      <c r="B26" s="3145" t="s">
        <v>4182</v>
      </c>
      <c r="C26" s="3200" t="e">
        <f ca="1">D7</f>
        <v>#N/A</v>
      </c>
      <c r="D26" s="3201">
        <f>D23*D27</f>
        <v>0</v>
      </c>
      <c r="E26" s="3202">
        <f>E23*E27</f>
        <v>0</v>
      </c>
      <c r="F26" s="3203"/>
      <c r="G26" s="3204"/>
      <c r="H26" s="3120"/>
      <c r="I26" s="3121"/>
      <c r="J26" s="3521">
        <v>5</v>
      </c>
      <c r="K26" s="3218" t="s">
        <v>4183</v>
      </c>
      <c r="L26" s="3219"/>
      <c r="M26" s="3220"/>
      <c r="N26" s="3221" t="s">
        <v>2828</v>
      </c>
      <c r="O26" s="3221" t="s">
        <v>4184</v>
      </c>
      <c r="P26" s="3222" t="s">
        <v>4185</v>
      </c>
      <c r="Q26" s="3222" t="s">
        <v>4186</v>
      </c>
      <c r="R26" s="3129" t="s">
        <v>4115</v>
      </c>
      <c r="S26" s="3223"/>
      <c r="T26" s="3223"/>
      <c r="U26" s="3223"/>
      <c r="V26" s="3216"/>
    </row>
    <row r="27" spans="1:22" s="3120" customFormat="1" ht="13.15" customHeight="1">
      <c r="A27" s="3205"/>
      <c r="B27" s="3206" t="s">
        <v>4187</v>
      </c>
      <c r="C27" s="3224" t="e">
        <f ca="1">E7</f>
        <v>#N/A</v>
      </c>
      <c r="D27" s="3208"/>
      <c r="E27" s="3209"/>
      <c r="F27" s="3210"/>
      <c r="G27" s="3204"/>
      <c r="H27" s="3217"/>
      <c r="I27" s="3216"/>
      <c r="J27" s="3522"/>
      <c r="K27" s="3225"/>
      <c r="L27" s="3226"/>
      <c r="M27" s="3227"/>
      <c r="N27" s="3228"/>
      <c r="O27" s="3228"/>
      <c r="P27" s="3228"/>
      <c r="Q27" s="3229"/>
      <c r="R27" s="3187">
        <f>ROUND(O27*N27*P27*(1-Q27)/10000,0)</f>
        <v>0</v>
      </c>
      <c r="S27" s="3113"/>
      <c r="T27" s="3113"/>
      <c r="U27" s="3113"/>
      <c r="V27" s="3121"/>
    </row>
    <row r="28" spans="1:22" s="3217" customFormat="1" ht="13.15" customHeight="1" thickBot="1">
      <c r="A28" s="3205"/>
      <c r="B28" s="3206"/>
      <c r="C28" s="3224"/>
      <c r="D28" s="3208"/>
      <c r="E28" s="3209" t="s">
        <v>4188</v>
      </c>
      <c r="F28" s="3210"/>
      <c r="G28" s="3198"/>
      <c r="I28" s="3216"/>
      <c r="J28" s="3230">
        <v>6</v>
      </c>
      <c r="K28" s="3231" t="s">
        <v>4189</v>
      </c>
      <c r="L28" s="3232" t="s">
        <v>4190</v>
      </c>
      <c r="M28" s="3233"/>
      <c r="N28" s="3232" t="s">
        <v>4191</v>
      </c>
      <c r="O28" s="3234" t="s">
        <v>4192</v>
      </c>
      <c r="P28" s="3232" t="s">
        <v>4193</v>
      </c>
      <c r="Q28" s="3235">
        <v>1.4999999999999999E-2</v>
      </c>
      <c r="R28" s="3236"/>
      <c r="S28" s="3190"/>
      <c r="T28" s="3190"/>
      <c r="U28" s="3190"/>
      <c r="V28" s="3216"/>
    </row>
    <row r="29" spans="1:22" s="3217" customFormat="1" ht="13.15" customHeight="1">
      <c r="A29" s="3199">
        <v>3</v>
      </c>
      <c r="B29" s="3145" t="s">
        <v>4194</v>
      </c>
      <c r="C29" s="3200">
        <f>C23*C30</f>
        <v>224.5</v>
      </c>
      <c r="D29" s="3201">
        <f>D23*C30</f>
        <v>224.5</v>
      </c>
      <c r="E29" s="3202">
        <f>E23*C30</f>
        <v>224.5</v>
      </c>
      <c r="F29" s="3203"/>
      <c r="G29" s="3204"/>
      <c r="H29" s="3120"/>
      <c r="I29" s="3121"/>
      <c r="J29" s="3190"/>
      <c r="K29" s="3190"/>
      <c r="L29" s="3190"/>
      <c r="M29" s="3190"/>
      <c r="N29" s="3190"/>
      <c r="O29" s="3190"/>
      <c r="P29" s="3190"/>
      <c r="Q29" s="3190"/>
      <c r="R29" s="3190"/>
      <c r="S29" s="3190"/>
      <c r="T29" s="3190"/>
      <c r="U29" s="3190"/>
      <c r="V29" s="3216"/>
    </row>
    <row r="30" spans="1:22" s="3120" customFormat="1" ht="13.15" customHeight="1" thickBot="1">
      <c r="A30" s="3205"/>
      <c r="B30" s="3206" t="s">
        <v>4187</v>
      </c>
      <c r="C30" s="3224">
        <f>E18</f>
        <v>0.05</v>
      </c>
      <c r="D30" s="3237"/>
      <c r="E30" s="3170"/>
      <c r="F30" s="3210"/>
      <c r="G30" s="3204"/>
      <c r="H30" s="3217"/>
      <c r="I30" s="3216"/>
      <c r="J30" s="3190"/>
      <c r="K30" s="3190"/>
      <c r="L30" s="3190"/>
      <c r="M30" s="3190"/>
      <c r="N30" s="3190"/>
      <c r="O30" s="3190"/>
      <c r="P30" s="3190"/>
      <c r="Q30" s="3190"/>
      <c r="R30" s="3190"/>
      <c r="S30" s="3190"/>
      <c r="T30" s="3190"/>
      <c r="U30" s="3113"/>
      <c r="V30" s="3121"/>
    </row>
    <row r="31" spans="1:22" s="3217" customFormat="1" ht="13.15" customHeight="1">
      <c r="A31" s="3205"/>
      <c r="B31" s="3206"/>
      <c r="C31" s="3238"/>
      <c r="D31" s="3237"/>
      <c r="E31" s="3170"/>
      <c r="F31" s="3210"/>
      <c r="G31" s="3198"/>
      <c r="I31" s="3216"/>
      <c r="J31" s="3110" t="s">
        <v>4195</v>
      </c>
      <c r="K31" s="3111"/>
      <c r="L31" s="3111"/>
      <c r="M31" s="3111"/>
      <c r="N31" s="3111"/>
      <c r="O31" s="3111"/>
      <c r="P31" s="3111"/>
      <c r="Q31" s="3111"/>
      <c r="R31" s="3112"/>
      <c r="S31" s="3190"/>
      <c r="T31" s="3113"/>
      <c r="U31" s="3113"/>
      <c r="V31" s="3216"/>
    </row>
    <row r="32" spans="1:22" s="3217" customFormat="1" ht="13.15" customHeight="1">
      <c r="A32" s="3199">
        <v>4</v>
      </c>
      <c r="B32" s="3145" t="s">
        <v>4196</v>
      </c>
      <c r="C32" s="3200" t="e">
        <f ca="1">C23-C26-C29</f>
        <v>#N/A</v>
      </c>
      <c r="D32" s="3201">
        <f>D23-D26-D29</f>
        <v>4265.5</v>
      </c>
      <c r="E32" s="3202">
        <f>E23-E26-E29</f>
        <v>4265.5</v>
      </c>
      <c r="F32" s="3203"/>
      <c r="G32" s="3198"/>
      <c r="H32" s="3120"/>
      <c r="I32" s="3121"/>
      <c r="J32" s="3523" t="s">
        <v>4091</v>
      </c>
      <c r="K32" s="3524"/>
      <c r="L32" s="3122" t="s">
        <v>4092</v>
      </c>
      <c r="M32" s="3122" t="s">
        <v>4093</v>
      </c>
      <c r="N32" s="3122" t="s">
        <v>4094</v>
      </c>
      <c r="O32" s="3122" t="s">
        <v>4095</v>
      </c>
      <c r="P32" s="3122" t="s">
        <v>4096</v>
      </c>
      <c r="Q32" s="3123" t="s">
        <v>4097</v>
      </c>
      <c r="R32" s="3160" t="s">
        <v>4098</v>
      </c>
      <c r="S32" s="3190"/>
      <c r="T32" s="3113"/>
      <c r="U32" s="3113"/>
      <c r="V32" s="3216"/>
    </row>
    <row r="33" spans="1:23" s="3120" customFormat="1" ht="13.15" customHeight="1">
      <c r="A33" s="3199"/>
      <c r="B33" s="3145"/>
      <c r="C33" s="3200"/>
      <c r="D33" s="3239"/>
      <c r="E33" s="3240"/>
      <c r="F33" s="3203"/>
      <c r="G33" s="3198"/>
      <c r="H33" s="3217"/>
      <c r="I33" s="3216"/>
      <c r="J33" s="3525" t="s">
        <v>4101</v>
      </c>
      <c r="K33" s="3526"/>
      <c r="L33" s="3127">
        <v>20000</v>
      </c>
      <c r="M33" s="3127">
        <v>500</v>
      </c>
      <c r="N33" s="3127">
        <v>500</v>
      </c>
      <c r="O33" s="3127">
        <v>10000</v>
      </c>
      <c r="P33" s="3127">
        <v>10000</v>
      </c>
      <c r="Q33" s="3128">
        <v>500</v>
      </c>
      <c r="R33" s="3241">
        <f>SUM(L33:Q33)</f>
        <v>41500</v>
      </c>
      <c r="S33" s="3190"/>
      <c r="T33" s="3113"/>
      <c r="U33" s="3113"/>
      <c r="V33" s="3121"/>
    </row>
    <row r="34" spans="1:23" s="3120" customFormat="1" ht="13.15" customHeight="1">
      <c r="A34" s="3199">
        <v>5</v>
      </c>
      <c r="B34" s="3145" t="s">
        <v>4197</v>
      </c>
      <c r="C34" s="3242">
        <f ca="1">收益法!F40</f>
        <v>5.5E-2</v>
      </c>
      <c r="D34" s="3243"/>
      <c r="E34" s="3244"/>
      <c r="F34" s="3203"/>
      <c r="G34" s="3198"/>
      <c r="H34" s="3217"/>
      <c r="I34" s="3216"/>
      <c r="J34" s="3525" t="s">
        <v>4198</v>
      </c>
      <c r="K34" s="3526"/>
      <c r="L34" s="3132">
        <v>6500</v>
      </c>
      <c r="M34" s="3132">
        <v>150</v>
      </c>
      <c r="N34" s="3132">
        <v>150</v>
      </c>
      <c r="O34" s="3132">
        <v>3500</v>
      </c>
      <c r="P34" s="3132">
        <v>3500</v>
      </c>
      <c r="Q34" s="3133">
        <v>150</v>
      </c>
      <c r="R34" s="3245">
        <f>SUM(L34:Q34)</f>
        <v>13950</v>
      </c>
      <c r="S34" s="3190"/>
      <c r="T34" s="3113"/>
      <c r="U34" s="3113">
        <f>ROUND(R35*10000/365/R33,1)</f>
        <v>7.3</v>
      </c>
      <c r="V34" s="3121"/>
    </row>
    <row r="35" spans="1:23" s="3120" customFormat="1" ht="13.15" customHeight="1">
      <c r="A35" s="3199">
        <v>6</v>
      </c>
      <c r="B35" s="3145" t="s">
        <v>4199</v>
      </c>
      <c r="C35" s="3246">
        <f ca="1">收益法!F42</f>
        <v>0.02</v>
      </c>
      <c r="D35" s="3247"/>
      <c r="E35" s="3248"/>
      <c r="F35" s="3203"/>
      <c r="G35" s="3249"/>
      <c r="I35" s="3216"/>
      <c r="J35" s="3138" t="s">
        <v>4200</v>
      </c>
      <c r="K35" s="3139"/>
      <c r="L35" s="3139"/>
      <c r="M35" s="3140"/>
      <c r="N35" s="3140"/>
      <c r="O35" s="3140"/>
      <c r="P35" s="3140"/>
      <c r="Q35" s="3140"/>
      <c r="R35" s="3191">
        <f>R40+R41+R43</f>
        <v>11078</v>
      </c>
      <c r="S35" s="3190"/>
      <c r="T35" s="3113" t="s">
        <v>4201</v>
      </c>
      <c r="U35" s="3113"/>
      <c r="V35" s="3121"/>
    </row>
    <row r="36" spans="1:23" s="3120" customFormat="1" ht="13.15" customHeight="1" thickBot="1">
      <c r="A36" s="3199">
        <v>7</v>
      </c>
      <c r="B36" s="3250" t="s">
        <v>4202</v>
      </c>
      <c r="C36" s="3251">
        <f ca="1">收益法!F41</f>
        <v>33.119999999999997</v>
      </c>
      <c r="D36" s="3252"/>
      <c r="E36" s="3253"/>
      <c r="F36" s="3254">
        <f ca="1">C36+D36+E36</f>
        <v>33.119999999999997</v>
      </c>
      <c r="G36" s="3198"/>
      <c r="I36" s="3121"/>
      <c r="J36" s="3517">
        <v>1</v>
      </c>
      <c r="K36" s="3518" t="s">
        <v>4203</v>
      </c>
      <c r="L36" s="3144"/>
      <c r="M36" s="3145"/>
      <c r="N36" s="3145"/>
      <c r="O36" s="3145"/>
      <c r="P36" s="3145"/>
      <c r="Q36" s="3145"/>
      <c r="R36" s="3129" t="s">
        <v>4204</v>
      </c>
      <c r="S36" s="3190"/>
      <c r="T36" s="3113" t="s">
        <v>4205</v>
      </c>
      <c r="U36" s="3113"/>
      <c r="V36" s="3121"/>
    </row>
    <row r="37" spans="1:23" s="3120" customFormat="1" ht="13.15" customHeight="1">
      <c r="A37" s="3199"/>
      <c r="B37" s="3145"/>
      <c r="C37" s="3145"/>
      <c r="D37" s="3145"/>
      <c r="E37" s="3145"/>
      <c r="F37" s="3203"/>
      <c r="G37" s="3198"/>
      <c r="I37" s="3121"/>
      <c r="J37" s="3517"/>
      <c r="K37" s="3519"/>
      <c r="L37" s="3153"/>
      <c r="M37" s="3154"/>
      <c r="N37" s="3131"/>
      <c r="O37" s="3155"/>
      <c r="P37" s="3155"/>
      <c r="Q37" s="3156"/>
      <c r="R37" s="3157">
        <v>10000</v>
      </c>
      <c r="S37" s="3190"/>
      <c r="T37" s="3113" t="s">
        <v>4206</v>
      </c>
      <c r="U37" s="3113"/>
      <c r="V37" s="3121"/>
    </row>
    <row r="38" spans="1:23" s="3120" customFormat="1" ht="13.15" customHeight="1">
      <c r="A38" s="3199">
        <v>8</v>
      </c>
      <c r="B38" s="3145"/>
      <c r="C38" s="3159" t="e">
        <f ca="1">ROUND(C32*(1-((1+C35)/(1+C34))^C36)/(C34-C35),0)</f>
        <v>#N/A</v>
      </c>
      <c r="D38" s="3159" t="e">
        <f>ROUND(D32*(1-((1+D35)/(1+D34))^D36)/(D34-D35),0)</f>
        <v>#DIV/0!</v>
      </c>
      <c r="E38" s="3159" t="e">
        <f>ROUND(E32*(1-((1+E35)/(1+E34))^E36)/(E34-E35),0)</f>
        <v>#DIV/0!</v>
      </c>
      <c r="F38" s="3203"/>
      <c r="G38" s="3198"/>
      <c r="I38" s="3121"/>
      <c r="J38" s="3517"/>
      <c r="K38" s="3519"/>
      <c r="L38" s="3153"/>
      <c r="M38" s="3154"/>
      <c r="N38" s="3131"/>
      <c r="O38" s="3155"/>
      <c r="P38" s="3155"/>
      <c r="Q38" s="3156"/>
      <c r="R38" s="3157"/>
      <c r="S38" s="3190"/>
      <c r="T38" s="3113" t="s">
        <v>4207</v>
      </c>
      <c r="U38" s="3113"/>
      <c r="V38" s="3121"/>
    </row>
    <row r="39" spans="1:23" s="3120" customFormat="1" ht="13.15" customHeight="1">
      <c r="A39" s="3199">
        <v>9</v>
      </c>
      <c r="B39" s="3145" t="s">
        <v>4208</v>
      </c>
      <c r="C39" s="3166" t="e">
        <f ca="1">C38</f>
        <v>#N/A</v>
      </c>
      <c r="D39" s="3145">
        <v>0</v>
      </c>
      <c r="E39" s="3145">
        <v>0</v>
      </c>
      <c r="F39" s="3203"/>
      <c r="G39" s="3255"/>
      <c r="I39" s="3121"/>
      <c r="J39" s="3517"/>
      <c r="K39" s="3519"/>
      <c r="L39" s="3153"/>
      <c r="M39" s="3154"/>
      <c r="N39" s="3131"/>
      <c r="O39" s="3155"/>
      <c r="P39" s="3155"/>
      <c r="Q39" s="3156"/>
      <c r="R39" s="3157"/>
      <c r="S39" s="3190"/>
      <c r="T39" s="3113"/>
      <c r="U39" s="3113"/>
      <c r="V39" s="3121"/>
    </row>
    <row r="40" spans="1:23" s="3120" customFormat="1" ht="13.15" customHeight="1">
      <c r="A40" s="3256">
        <v>10</v>
      </c>
      <c r="B40" s="3145" t="s">
        <v>4209</v>
      </c>
      <c r="C40" s="3257" t="e">
        <f ca="1">C39+D39+E39</f>
        <v>#N/A</v>
      </c>
      <c r="D40" s="3258"/>
      <c r="E40" s="3258"/>
      <c r="F40" s="3259"/>
      <c r="G40" s="3198"/>
      <c r="I40" s="3121"/>
      <c r="J40" s="3517"/>
      <c r="K40" s="3520"/>
      <c r="L40" s="3172" t="s">
        <v>4210</v>
      </c>
      <c r="M40" s="3173"/>
      <c r="N40" s="3173"/>
      <c r="O40" s="3174"/>
      <c r="P40" s="3174"/>
      <c r="Q40" s="3175"/>
      <c r="R40" s="3124">
        <f>SUM(R37:R39)</f>
        <v>10000</v>
      </c>
      <c r="S40" s="3190"/>
      <c r="T40" s="3113"/>
      <c r="U40" s="3113"/>
      <c r="V40" s="3121"/>
    </row>
    <row r="41" spans="1:23" s="3120" customFormat="1" ht="13.15" customHeight="1" thickBot="1">
      <c r="A41" s="3260">
        <v>11</v>
      </c>
      <c r="B41" s="3261" t="s">
        <v>4211</v>
      </c>
      <c r="C41" s="3261" t="e">
        <f ca="1">ROUND(C40*10000/B4,0)</f>
        <v>#N/A</v>
      </c>
      <c r="D41" s="3262"/>
      <c r="E41" s="3262"/>
      <c r="F41" s="3263"/>
      <c r="G41" s="3264"/>
      <c r="I41" s="3121"/>
      <c r="J41" s="3211">
        <v>2</v>
      </c>
      <c r="K41" s="3212" t="s">
        <v>4212</v>
      </c>
      <c r="L41" s="3213"/>
      <c r="M41" s="3213"/>
      <c r="N41" s="3213"/>
      <c r="O41" s="3213"/>
      <c r="P41" s="3214"/>
      <c r="Q41" s="3215">
        <v>0.1</v>
      </c>
      <c r="R41" s="3187">
        <f>ROUND(R40*Q41,0)</f>
        <v>1000</v>
      </c>
      <c r="S41" s="3190"/>
      <c r="T41" s="3113"/>
      <c r="U41" s="3223"/>
      <c r="V41" s="3121"/>
    </row>
    <row r="42" spans="1:23" s="3120" customFormat="1" ht="13.15" customHeight="1">
      <c r="G42" s="3264"/>
      <c r="I42" s="3121"/>
      <c r="J42" s="3521">
        <v>3</v>
      </c>
      <c r="K42" s="3218" t="s">
        <v>4213</v>
      </c>
      <c r="L42" s="3219"/>
      <c r="M42" s="3220"/>
      <c r="N42" s="3221" t="s">
        <v>4214</v>
      </c>
      <c r="O42" s="3221" t="s">
        <v>4215</v>
      </c>
      <c r="P42" s="3222" t="s">
        <v>4216</v>
      </c>
      <c r="Q42" s="3222" t="s">
        <v>4217</v>
      </c>
      <c r="R42" s="3129" t="s">
        <v>4218</v>
      </c>
      <c r="S42" s="3223"/>
      <c r="T42" s="3223"/>
      <c r="U42" s="3113"/>
      <c r="V42" s="3121"/>
    </row>
    <row r="43" spans="1:23" ht="13.15" customHeight="1">
      <c r="A43" s="3120"/>
      <c r="B43" s="3120"/>
      <c r="C43" s="3120"/>
      <c r="D43" s="3120"/>
      <c r="E43" s="3120"/>
      <c r="F43" s="3120"/>
      <c r="I43" s="3108"/>
      <c r="J43" s="3522"/>
      <c r="K43" s="3225"/>
      <c r="L43" s="3226"/>
      <c r="M43" s="3227"/>
      <c r="N43" s="3154">
        <f>Q33</f>
        <v>500</v>
      </c>
      <c r="O43" s="3154">
        <v>5</v>
      </c>
      <c r="P43" s="3154">
        <v>365</v>
      </c>
      <c r="Q43" s="3215">
        <v>0.15</v>
      </c>
      <c r="R43" s="3187">
        <f>ROUND(O43*N43*P43*(1-Q43)/10000,0)</f>
        <v>78</v>
      </c>
      <c r="S43" s="3190"/>
      <c r="T43" s="3113"/>
      <c r="V43" s="3266"/>
      <c r="W43" s="3109"/>
    </row>
    <row r="44" spans="1:23" ht="13.15" customHeight="1" thickBot="1">
      <c r="J44" s="3230">
        <v>6</v>
      </c>
      <c r="K44" s="3231" t="s">
        <v>4189</v>
      </c>
      <c r="L44" s="3267" t="s">
        <v>4190</v>
      </c>
      <c r="M44" s="3233"/>
      <c r="N44" s="3267" t="s">
        <v>4191</v>
      </c>
      <c r="O44" s="3233" t="s">
        <v>4192</v>
      </c>
      <c r="P44" s="3267" t="s">
        <v>4193</v>
      </c>
      <c r="Q44" s="3235">
        <v>1.4999999999999999E-2</v>
      </c>
      <c r="R44" s="3236"/>
    </row>
    <row r="51" spans="3:3" ht="13.15" customHeight="1">
      <c r="C51" s="3268"/>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7" sqref="G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33.119999999999997</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44387</v>
      </c>
      <c r="C2" s="1571" t="s">
        <v>1481</v>
      </c>
      <c r="D2" s="1571"/>
      <c r="E2" s="1572"/>
      <c r="F2" s="1573"/>
      <c r="G2" s="2935"/>
      <c r="H2" s="2924"/>
      <c r="I2" s="2924"/>
      <c r="J2" s="2924"/>
      <c r="K2" s="2925"/>
      <c r="L2" s="2924"/>
      <c r="M2" s="2924"/>
    </row>
    <row r="3" spans="1:37" ht="18" customHeight="1" thickBot="1">
      <c r="A3" s="1574" t="s">
        <v>1482</v>
      </c>
      <c r="B3" s="1575">
        <f ca="1">IF(ISERROR(B2*10000/F43),0,ROUND(B2*10000/F43,0))</f>
        <v>5535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3957</v>
      </c>
      <c r="D5" s="1548" t="s">
        <v>1367</v>
      </c>
      <c r="E5" s="1203"/>
      <c r="F5" s="1204"/>
      <c r="G5" s="1568"/>
      <c r="H5" s="305">
        <v>1</v>
      </c>
      <c r="I5" s="306" t="s">
        <v>1366</v>
      </c>
      <c r="J5" s="1202">
        <f ca="1">J6+J10+J12</f>
        <v>0</v>
      </c>
      <c r="K5" s="1548" t="s">
        <v>1367</v>
      </c>
      <c r="L5" s="1203"/>
      <c r="M5" s="1204"/>
    </row>
    <row r="6" spans="1:37" ht="18" customHeight="1">
      <c r="A6" s="1201" t="s">
        <v>1003</v>
      </c>
      <c r="B6" s="3541" t="s">
        <v>1368</v>
      </c>
      <c r="C6" s="1206">
        <f ca="1">ROUND(F6*F8*F7*(1-F9)/10000,0)</f>
        <v>3952</v>
      </c>
      <c r="D6" s="160" t="s">
        <v>2851</v>
      </c>
      <c r="E6" s="308" t="s">
        <v>1370</v>
      </c>
      <c r="F6" s="309">
        <f ca="1">INDIRECT("'数据-取费表'!u"&amp;$G$1)</f>
        <v>1.5</v>
      </c>
      <c r="G6" s="1568"/>
      <c r="H6" s="1201" t="s">
        <v>1003</v>
      </c>
      <c r="I6" s="3541" t="s">
        <v>1368</v>
      </c>
      <c r="J6" s="307">
        <f ca="1">ROUND(M6*M8*M7*(1-M9)/10000,0)</f>
        <v>0</v>
      </c>
      <c r="K6" s="160" t="s">
        <v>2850</v>
      </c>
      <c r="L6" s="308" t="s">
        <v>1370</v>
      </c>
      <c r="M6" s="309">
        <f ca="1">INDIRECT("'数据-取费表'!z"&amp;$G$1)</f>
        <v>0</v>
      </c>
    </row>
    <row r="7" spans="1:37" ht="18" customHeight="1">
      <c r="A7" s="1205"/>
      <c r="B7" s="3542"/>
      <c r="C7" s="1207"/>
      <c r="D7" s="313"/>
      <c r="E7" s="1208" t="s">
        <v>1371</v>
      </c>
      <c r="F7" s="309">
        <f ca="1">IF(INDIRECT("'数据-取费表'!ah"&amp;$G$1)="",INDIRECT("'数据-取费表'!k"&amp;$G$1),INDIRECT("'数据-取费表'!ah"&amp;$G$1))</f>
        <v>80197.850000000006</v>
      </c>
      <c r="G7" s="1568"/>
      <c r="H7" s="310"/>
      <c r="I7" s="3542"/>
      <c r="J7" s="312"/>
      <c r="K7" s="313"/>
      <c r="L7" s="308" t="s">
        <v>1371</v>
      </c>
      <c r="M7" s="309">
        <f ca="1">F7</f>
        <v>80197.850000000006</v>
      </c>
    </row>
    <row r="8" spans="1:37" ht="18" customHeight="1">
      <c r="A8" s="310"/>
      <c r="B8" s="3542"/>
      <c r="C8" s="312"/>
      <c r="D8" s="313"/>
      <c r="E8" s="308" t="s">
        <v>1372</v>
      </c>
      <c r="F8" s="309">
        <f ca="1">INDIRECT("'数据-取费表'!ai"&amp;$G$1)</f>
        <v>365</v>
      </c>
      <c r="G8" s="1568"/>
      <c r="H8" s="310"/>
      <c r="I8" s="3542"/>
      <c r="J8" s="312"/>
      <c r="K8" s="313"/>
      <c r="L8" s="308" t="s">
        <v>1372</v>
      </c>
      <c r="M8" s="309">
        <f ca="1">INDIRECT("'数据-取费表'!ai"&amp;$G$1)</f>
        <v>365</v>
      </c>
    </row>
    <row r="9" spans="1:37" ht="18" customHeight="1">
      <c r="A9" s="310"/>
      <c r="B9" s="3543"/>
      <c r="C9" s="312"/>
      <c r="D9" s="313"/>
      <c r="E9" s="308" t="s">
        <v>1373</v>
      </c>
      <c r="F9" s="318">
        <f ca="1">INDIRECT("'数据-取费表'!w"&amp;$G$1)</f>
        <v>0.1</v>
      </c>
      <c r="G9" s="1568"/>
      <c r="H9" s="310"/>
      <c r="I9" s="3543"/>
      <c r="J9" s="312"/>
      <c r="K9" s="313"/>
      <c r="L9" s="319" t="s">
        <v>1373</v>
      </c>
      <c r="M9" s="320">
        <f ca="1">INDIRECT("'数据-取费表'!ab"&amp;$G$1)</f>
        <v>0</v>
      </c>
    </row>
    <row r="10" spans="1:37" ht="18" customHeight="1">
      <c r="A10" s="1201" t="s">
        <v>1007</v>
      </c>
      <c r="B10" s="1549" t="s">
        <v>1374</v>
      </c>
      <c r="C10" s="322">
        <f ca="1">ROUND(IF(F10="押一",C6/12*F11,IF(F10="押二",C6/12*2*F11,IF(F10="押三",C6/12*3*F11,C11*F11))),0)</f>
        <v>5</v>
      </c>
      <c r="D10" s="1550" t="s">
        <v>2859</v>
      </c>
      <c r="E10" s="319" t="s">
        <v>1375</v>
      </c>
      <c r="F10" s="1276" t="s">
        <v>4073</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43053</v>
      </c>
      <c r="D13" s="1241" t="s">
        <v>1380</v>
      </c>
      <c r="E13" s="1241" t="s">
        <v>1381</v>
      </c>
      <c r="F13" s="1242">
        <f ca="1">INDIRECT("'数据-取费表'!y"&amp;$G$1)</f>
        <v>0.93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32079</v>
      </c>
      <c r="D14" s="1529" t="s">
        <v>1383</v>
      </c>
      <c r="E14" s="1526"/>
      <c r="F14" s="325"/>
      <c r="G14" s="1568"/>
      <c r="H14" s="1113" t="s">
        <v>1003</v>
      </c>
      <c r="I14" s="308" t="s">
        <v>1384</v>
      </c>
      <c r="J14" s="24">
        <f ca="1">C29</f>
        <v>46294</v>
      </c>
      <c r="K14" s="15"/>
      <c r="L14" s="916"/>
      <c r="M14" s="917"/>
    </row>
    <row r="15" spans="1:37" s="1581" customFormat="1" ht="18" customHeight="1" thickBot="1">
      <c r="A15" s="1113" t="s">
        <v>1004</v>
      </c>
      <c r="B15" s="308" t="s">
        <v>1385</v>
      </c>
      <c r="C15" s="24">
        <f ca="1">ROUND(C14*F15,0)</f>
        <v>962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1343</v>
      </c>
      <c r="K16" s="1247" t="s">
        <v>1390</v>
      </c>
      <c r="L16" s="1248"/>
      <c r="M16" s="1204"/>
    </row>
    <row r="17" spans="1:37" s="1581" customFormat="1" ht="18" customHeight="1">
      <c r="A17" s="1113" t="s">
        <v>1355</v>
      </c>
      <c r="B17" s="308" t="s">
        <v>1391</v>
      </c>
      <c r="C17" s="24">
        <f ca="1">ROUND(F17*(F43+INDIRECT("'数据-取费表'!S"&amp;$G$1))/10000,0)</f>
        <v>1604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417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481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35126</v>
      </c>
      <c r="D19" s="136" t="s">
        <v>1401</v>
      </c>
      <c r="E19" s="1544"/>
      <c r="F19" s="26"/>
      <c r="G19" s="1568"/>
      <c r="H19" s="1113" t="s">
        <v>1004</v>
      </c>
      <c r="I19" s="308" t="s">
        <v>1402</v>
      </c>
      <c r="J19" s="24">
        <f ca="1">IF(K19="按租金收入计税",ROUND(J6*M19/(1+'数据-取费表'!C42),2),ROUND(C29*M19*0.7,2))</f>
        <v>388.87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703</v>
      </c>
      <c r="D20" s="329" t="s">
        <v>1405</v>
      </c>
      <c r="E20" s="308" t="s">
        <v>1387</v>
      </c>
      <c r="F20" s="328">
        <f>'数据-取费表'!B37</f>
        <v>0.02</v>
      </c>
      <c r="G20" s="1580"/>
      <c r="H20" s="1113" t="s">
        <v>1354</v>
      </c>
      <c r="I20" s="160" t="s">
        <v>1406</v>
      </c>
      <c r="J20" s="25">
        <f ca="1">ROUND(M20*M21/10000,2)</f>
        <v>27.71</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34634.379999999997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925.9</v>
      </c>
      <c r="K22" s="1528" t="s">
        <v>1415</v>
      </c>
      <c r="L22" s="308" t="s">
        <v>1387</v>
      </c>
      <c r="M22" s="334">
        <f ca="1">INDIRECT("'数据-取费表'!Ak"&amp;$G$1)</f>
        <v>0.02</v>
      </c>
    </row>
    <row r="23" spans="1:37" s="1581" customFormat="1" ht="18" customHeight="1">
      <c r="A23" s="1113" t="s">
        <v>1002</v>
      </c>
      <c r="B23" s="308" t="s">
        <v>1416</v>
      </c>
      <c r="C23" s="24">
        <f ca="1">IF('数据-取费表'!B22&lt;=1,ROUND(C19*F24*F23/2,0)+ROUND(C20*F24*F23/2,0),ROUND(C19*(POWER((1+F24),F23/2)-1),0)+ROUND(C20*(POWER((1+F24),F23/2)-1),0))</f>
        <v>1559</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-1343</v>
      </c>
      <c r="K25" s="1255" t="s">
        <v>1429</v>
      </c>
      <c r="L25" s="1256"/>
      <c r="M25" s="1257"/>
    </row>
    <row r="26" spans="1:37">
      <c r="A26" s="1113" t="s">
        <v>1002</v>
      </c>
      <c r="B26" s="308" t="s">
        <v>1430</v>
      </c>
      <c r="C26" s="24">
        <f ca="1">ROUND((C19+C20)*F26,0)</f>
        <v>5374</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46294</v>
      </c>
      <c r="D29" s="1252"/>
      <c r="E29" s="1250"/>
      <c r="F29" s="1253"/>
      <c r="G29" s="1580"/>
      <c r="H29" s="340" t="s">
        <v>1001</v>
      </c>
      <c r="I29" s="341" t="s">
        <v>1444</v>
      </c>
      <c r="J29" s="342">
        <f ca="1">ROUND(J26/(1+F40)^F41,0)</f>
        <v>0</v>
      </c>
      <c r="K29" s="343" t="s">
        <v>1445</v>
      </c>
      <c r="L29" s="344"/>
      <c r="M29" s="345">
        <f ca="1">INDIRECT("'数据-取费表'!k"&amp;$G$1)</f>
        <v>80197.850000000006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1736</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686</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207.01</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451.66</v>
      </c>
      <c r="D33" s="1554" t="s">
        <v>4074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27.71</v>
      </c>
      <c r="D34" s="330" t="s">
        <v>1407</v>
      </c>
      <c r="E34" s="308" t="s">
        <v>1408</v>
      </c>
      <c r="F34" s="331">
        <f>'数据-取费表'!B52</f>
        <v>8</v>
      </c>
      <c r="G34" s="1568"/>
      <c r="H34" s="2926"/>
      <c r="I34" s="1582"/>
      <c r="J34" s="1583"/>
      <c r="K34" s="2931"/>
      <c r="L34" s="2932"/>
      <c r="M34" s="2932"/>
    </row>
    <row r="35" spans="1:18" ht="18" customHeight="1">
      <c r="A35" s="1263"/>
      <c r="B35" s="1261"/>
      <c r="C35" s="29"/>
      <c r="D35" s="333"/>
      <c r="E35" s="308" t="s">
        <v>1412</v>
      </c>
      <c r="F35" s="309">
        <f ca="1">INDIRECT("'数据-取费表'!r"&amp;$G$1)</f>
        <v>34634.379999999997</v>
      </c>
      <c r="G35" s="1568"/>
      <c r="H35" s="2926"/>
      <c r="I35" s="1582"/>
      <c r="J35" s="1583"/>
      <c r="K35" s="2930"/>
      <c r="L35" s="2929"/>
      <c r="M35" s="2929"/>
    </row>
    <row r="36" spans="1:18" ht="18" customHeight="1">
      <c r="A36" s="1262" t="s">
        <v>1007</v>
      </c>
      <c r="B36" s="308" t="s">
        <v>1414</v>
      </c>
      <c r="C36" s="24">
        <f ca="1">ROUND(C29*F36,1)</f>
        <v>925.9</v>
      </c>
      <c r="D36" s="1528" t="s">
        <v>1447</v>
      </c>
      <c r="E36" s="308" t="s">
        <v>1387</v>
      </c>
      <c r="F36" s="334">
        <f ca="1">INDIRECT("'数据-取费表'!Ak"&amp;$G$1)</f>
        <v>0.02</v>
      </c>
      <c r="G36" s="1568"/>
      <c r="H36" s="2929"/>
      <c r="I36" s="1582"/>
      <c r="J36" s="1583"/>
      <c r="K36" s="2770"/>
      <c r="L36" s="2929"/>
      <c r="M36" s="2929"/>
    </row>
    <row r="37" spans="1:18" ht="18" customHeight="1">
      <c r="A37" s="1113" t="s">
        <v>1043</v>
      </c>
      <c r="B37" s="308" t="s">
        <v>1418</v>
      </c>
      <c r="C37" s="24">
        <f ca="1">ROUND(C13*F37,1)</f>
        <v>64.599999999999994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59.4</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2221</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42699</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33.119999999999997</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5324</v>
      </c>
      <c r="D43" s="343" t="s">
        <v>1453</v>
      </c>
      <c r="E43" s="344" t="s">
        <v>1454</v>
      </c>
      <c r="F43" s="345">
        <f ca="1">INDIRECT("'数据-取费表'!k"&amp;$G$1)</f>
        <v>80197.850000000006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-116770</v>
      </c>
      <c r="D46" s="1590" t="str">
        <f>C2</f>
        <v>万元</v>
      </c>
      <c r="E46" s="1584"/>
      <c r="F46" s="1584"/>
      <c r="I46" s="1591" t="s">
        <v>1486</v>
      </c>
      <c r="J46" s="1592"/>
      <c r="K46" s="1593"/>
      <c r="L46" s="1594">
        <f ca="1">IF(M47="住宅",0,IF(L48&gt;J51,L60,J60))</f>
        <v>1688</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4075</v>
      </c>
      <c r="K47" s="1600" t="s">
        <v>1492</v>
      </c>
      <c r="L47" s="1601">
        <f ca="1">INDIRECT("'数据-取费表'!d"&amp;$G$1)</f>
        <v>40</v>
      </c>
      <c r="M47" s="1564" t="str">
        <f>IF(ISNUMBER(FIND("住宅",C1)),"住宅","非住宅")</f>
        <v>非住宅</v>
      </c>
      <c r="O47" s="1602" t="s">
        <v>1008</v>
      </c>
      <c r="P47" s="1603" t="s">
        <v>1493</v>
      </c>
      <c r="Q47" s="1604">
        <f ca="1">C40+J29</f>
        <v>42699</v>
      </c>
      <c r="R47" s="1604" t="s">
        <v>1494</v>
      </c>
    </row>
    <row r="48" spans="1:18" s="1568" customFormat="1" ht="28.5" thickBot="1">
      <c r="A48" s="1270" t="s">
        <v>1103</v>
      </c>
      <c r="B48" s="306" t="s">
        <v>1366</v>
      </c>
      <c r="C48" s="1543">
        <f ca="1">C49+C53+C55</f>
        <v>0</v>
      </c>
      <c r="D48" s="1272"/>
      <c r="E48" s="1273"/>
      <c r="F48" s="1093"/>
      <c r="G48" s="731"/>
      <c r="H48" s="732"/>
      <c r="I48" s="1605" t="s">
        <v>1495</v>
      </c>
      <c r="J48" s="1606" t="s">
        <v>4076</v>
      </c>
      <c r="K48" s="1607" t="s">
        <v>1496</v>
      </c>
      <c r="L48" s="1608">
        <f ca="1">INDIRECT("'数据-取费表'!f"&amp;$G$1)</f>
        <v>33.119999999999997</v>
      </c>
      <c r="O48" s="1602" t="s">
        <v>1009</v>
      </c>
      <c r="P48" s="1603" t="s">
        <v>1497</v>
      </c>
      <c r="Q48" s="1604">
        <f ca="1">J60</f>
        <v>1688</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2017</v>
      </c>
      <c r="K49" s="1607" t="s">
        <v>1500</v>
      </c>
      <c r="L49" s="1611"/>
      <c r="O49" s="1612" t="s">
        <v>1010</v>
      </c>
      <c r="P49" s="1603" t="s">
        <v>1501</v>
      </c>
      <c r="Q49" s="1604">
        <f ca="1">C29</f>
        <v>46294</v>
      </c>
      <c r="R49" s="1604" t="s">
        <v>1494</v>
      </c>
    </row>
    <row r="50" spans="1:18" s="1568" customFormat="1" ht="13.5" thickBot="1">
      <c r="A50" s="1107"/>
      <c r="B50" s="1110"/>
      <c r="C50" s="1278"/>
      <c r="D50" s="1084"/>
      <c r="E50" s="1187" t="s">
        <v>1371</v>
      </c>
      <c r="F50" s="1188">
        <f ca="1">F7</f>
        <v>80197.850000000006</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56</v>
      </c>
      <c r="K51" s="1618" t="s">
        <v>1506</v>
      </c>
      <c r="L51" s="1619">
        <f ca="1">ROUND(-PV(INDIRECT("'数据-取费表'!h"&amp;$G$1),J51,(C39-C13*C76),0),0)</f>
        <v>-18848</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f ca="1">J53</f>
        <v>33.119999999999997</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33.119999999999997</v>
      </c>
      <c r="K53" s="3539" t="s">
        <v>1513</v>
      </c>
      <c r="L53" s="3540"/>
      <c r="O53" s="1602" t="s">
        <v>1014</v>
      </c>
      <c r="P53" s="1603" t="s">
        <v>1514</v>
      </c>
      <c r="Q53" s="1604">
        <f ca="1">Q47+Q48</f>
        <v>44387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0.38100000000000001</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43053</v>
      </c>
      <c r="D56" s="1631"/>
      <c r="E56" s="1632"/>
      <c r="F56" s="1624"/>
      <c r="I56" s="1633" t="s">
        <v>1519</v>
      </c>
      <c r="J56" s="1634" t="s">
        <v>4229</v>
      </c>
      <c r="K56" s="1605" t="s">
        <v>1520</v>
      </c>
      <c r="L56" s="1608" t="str">
        <f ca="1">IF(L48&lt;J51,"——",L48-J53)</f>
        <v>——</v>
      </c>
      <c r="O56" s="1602" t="s">
        <v>1008</v>
      </c>
      <c r="P56" s="1603" t="s">
        <v>1493</v>
      </c>
      <c r="Q56" s="1604">
        <f ca="1">C40+J29</f>
        <v>42699</v>
      </c>
      <c r="R56" s="1604" t="s">
        <v>1494</v>
      </c>
    </row>
    <row r="57" spans="1:18" s="1568" customFormat="1" ht="24.75" thickBot="1">
      <c r="A57" s="1635"/>
      <c r="B57" s="1081" t="s">
        <v>1443</v>
      </c>
      <c r="C57" s="244">
        <f ca="1">C29</f>
        <v>46294</v>
      </c>
      <c r="D57" s="1636"/>
      <c r="E57" s="1637"/>
      <c r="F57" s="1638"/>
      <c r="I57" s="1639" t="s">
        <v>1521</v>
      </c>
      <c r="J57" s="1640">
        <f ca="1">IF(OR(M47="住宅",J51&lt;L48,J56="是"),"——",J51-L48)</f>
        <v>22.880000000000003</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4907</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3916</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18518</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f ca="1">IF(OR(M47="住宅",J51&lt;L48,J56="是"),"0",ROUND(J59/(1+J52)^J53,0))</f>
        <v>1688</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3888.7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27.71</v>
      </c>
      <c r="D62" s="1096" t="s">
        <v>1462</v>
      </c>
      <c r="E62" s="1081" t="s">
        <v>1463</v>
      </c>
      <c r="F62" s="331">
        <f t="shared" si="0"/>
        <v>8</v>
      </c>
      <c r="I62" s="1646" t="s">
        <v>1535</v>
      </c>
      <c r="J62" s="1647" t="s">
        <v>1536</v>
      </c>
      <c r="K62" s="1647" t="s">
        <v>1537</v>
      </c>
      <c r="L62" s="1647" t="s">
        <v>1538</v>
      </c>
      <c r="M62" s="1648" t="s">
        <v>1539</v>
      </c>
      <c r="O62" s="1602" t="s">
        <v>1014</v>
      </c>
      <c r="P62" s="1603" t="s">
        <v>1540</v>
      </c>
      <c r="Q62" s="1604">
        <f ca="1">Q56+Q57</f>
        <v>42699</v>
      </c>
      <c r="R62" s="1604" t="s">
        <v>1015</v>
      </c>
    </row>
    <row r="63" spans="1:18" s="1568" customFormat="1" ht="13.5" thickBot="1">
      <c r="A63" s="332"/>
      <c r="B63" s="1087"/>
      <c r="C63" s="29"/>
      <c r="D63" s="1097"/>
      <c r="E63" s="1081" t="s">
        <v>1464</v>
      </c>
      <c r="F63" s="309">
        <f t="shared" ca="1" si="0"/>
        <v>34634.379999999997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925.9</v>
      </c>
      <c r="D64" s="1095" t="s">
        <v>1467</v>
      </c>
      <c r="E64" s="1081"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64.599999999999994</v>
      </c>
      <c r="D65" s="1095" t="s">
        <v>1419</v>
      </c>
      <c r="E65" s="1081" t="s">
        <v>1420</v>
      </c>
      <c r="F65" s="336">
        <f t="shared" ca="1" si="0"/>
        <v>1.5E-3</v>
      </c>
      <c r="I65" s="1646" t="s">
        <v>1544</v>
      </c>
      <c r="J65" s="1647">
        <v>40</v>
      </c>
      <c r="K65" s="1647">
        <v>30</v>
      </c>
      <c r="L65" s="1647">
        <v>50</v>
      </c>
      <c r="M65" s="1649">
        <v>0.02</v>
      </c>
      <c r="O65" s="1602" t="s">
        <v>1008</v>
      </c>
      <c r="P65" s="1603" t="s">
        <v>1545</v>
      </c>
      <c r="Q65" s="1604">
        <f ca="1">C40+J29</f>
        <v>42699</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-4907</v>
      </c>
      <c r="D67" s="1094" t="s">
        <v>1429</v>
      </c>
      <c r="E67" s="1099"/>
      <c r="F67" s="1100"/>
      <c r="O67" s="1612" t="s">
        <v>1010</v>
      </c>
      <c r="P67" s="1603" t="s">
        <v>1527</v>
      </c>
      <c r="Q67" s="1650">
        <f ca="1">L51</f>
        <v>-18848</v>
      </c>
      <c r="R67" s="1604" t="s">
        <v>1547</v>
      </c>
    </row>
    <row r="68" spans="1:18" s="1568" customFormat="1" ht="16.5" thickBot="1">
      <c r="A68" s="1078" t="s">
        <v>1000</v>
      </c>
      <c r="B68" s="1079" t="s">
        <v>1450</v>
      </c>
      <c r="C68" s="307">
        <f ca="1">ROUND(C67*(1-((1+F70)/(1+F68))^F69)/(F68-F70),0)</f>
        <v>-74071</v>
      </c>
      <c r="D68" s="1096" t="s">
        <v>1434</v>
      </c>
      <c r="E68" s="1081" t="s">
        <v>1435</v>
      </c>
      <c r="F68" s="318">
        <f ca="1">F40</f>
        <v>5.5E-2</v>
      </c>
      <c r="O68" s="1612" t="s">
        <v>1011</v>
      </c>
      <c r="P68" s="1651" t="s">
        <v>1548</v>
      </c>
      <c r="Q68" s="1604">
        <f ca="1">ROUND(Q69-Q70*Q71,0)</f>
        <v>-1008</v>
      </c>
      <c r="R68" s="1604" t="s">
        <v>1019</v>
      </c>
    </row>
    <row r="69" spans="1:18" s="1568" customFormat="1" ht="13.5" thickBot="1">
      <c r="A69" s="1082"/>
      <c r="B69" s="1083"/>
      <c r="C69" s="312"/>
      <c r="D69" s="1101" t="s">
        <v>1438</v>
      </c>
      <c r="E69" s="1081" t="s">
        <v>1439</v>
      </c>
      <c r="F69" s="339">
        <f ca="1">F41</f>
        <v>33.119999999999997</v>
      </c>
      <c r="O69" s="1612" t="s">
        <v>1016</v>
      </c>
      <c r="P69" s="1651" t="s">
        <v>1549</v>
      </c>
      <c r="Q69" s="1604">
        <f ca="1">C39</f>
        <v>2221</v>
      </c>
      <c r="R69" s="1604" t="s">
        <v>1494</v>
      </c>
    </row>
    <row r="70" spans="1:18" s="1568" customFormat="1" ht="13.5" thickBot="1">
      <c r="A70" s="1085"/>
      <c r="B70" s="1086"/>
      <c r="C70" s="316"/>
      <c r="D70" s="1097"/>
      <c r="E70" s="1081" t="s">
        <v>1442</v>
      </c>
      <c r="F70" s="1185"/>
      <c r="O70" s="1612" t="s">
        <v>1017</v>
      </c>
      <c r="P70" s="1651" t="s">
        <v>1550</v>
      </c>
      <c r="Q70" s="1604">
        <f ca="1">C13</f>
        <v>43053</v>
      </c>
      <c r="R70" s="1604" t="s">
        <v>1494</v>
      </c>
    </row>
    <row r="71" spans="1:18" s="1568" customFormat="1" ht="13.5" thickBot="1">
      <c r="A71" s="1102" t="s">
        <v>1001</v>
      </c>
      <c r="B71" s="1103" t="s">
        <v>1452</v>
      </c>
      <c r="C71" s="342">
        <f ca="1">ROUND(C68*10000/F71,0)</f>
        <v>-9236</v>
      </c>
      <c r="D71" s="1104" t="s">
        <v>1453</v>
      </c>
      <c r="E71" s="1105" t="s">
        <v>1454</v>
      </c>
      <c r="F71" s="345">
        <f ca="1">F43</f>
        <v>80197.850000000006</v>
      </c>
      <c r="O71" s="1612" t="s">
        <v>1018</v>
      </c>
      <c r="P71" s="1651" t="s">
        <v>1551</v>
      </c>
      <c r="Q71" s="1615">
        <f ca="1">C76</f>
        <v>7.4999999999999997E-2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3229</v>
      </c>
      <c r="D75" s="1568"/>
      <c r="E75" s="1568"/>
      <c r="F75" s="1568"/>
      <c r="K75" s="1586"/>
      <c r="L75" s="1568"/>
      <c r="O75" s="1602" t="s">
        <v>1014</v>
      </c>
      <c r="P75" s="1603" t="s">
        <v>1514</v>
      </c>
      <c r="Q75" s="1604">
        <f ca="1">Q65+Q66</f>
        <v>42699</v>
      </c>
      <c r="R75" s="1604" t="s">
        <v>1015</v>
      </c>
    </row>
    <row r="76" spans="1:18">
      <c r="B76" s="348" t="s">
        <v>1472</v>
      </c>
      <c r="C76" s="349">
        <f ca="1">INDIRECT("'数据-取费表'!j"&amp;$G$1)</f>
        <v>7.4999999999999997E-2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-0.45399999999999996</v>
      </c>
    </row>
    <row r="80" spans="1:18">
      <c r="B80" s="346" t="s">
        <v>1476</v>
      </c>
      <c r="C80" s="280">
        <f ca="1">ROUND(C75/C39,3)</f>
        <v>1.454</v>
      </c>
    </row>
    <row r="81" spans="2:3">
      <c r="B81" s="276" t="s">
        <v>1477</v>
      </c>
      <c r="C81" s="244"/>
    </row>
    <row r="82" spans="2:3">
      <c r="B82" s="279" t="s">
        <v>1478</v>
      </c>
      <c r="C82" s="281">
        <f ca="1">1-C83</f>
        <v>-8.0000000000000071E-3</v>
      </c>
    </row>
    <row r="83" spans="2:3">
      <c r="B83" s="279" t="s">
        <v>1479</v>
      </c>
      <c r="C83" s="280">
        <f ca="1">ROUND(C13/C40,3)</f>
        <v>1.008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541" t="s">
        <v>1368</v>
      </c>
      <c r="C6" s="1206">
        <f ca="1">ROUND(F6*F8*F7*(1-F9),0)</f>
        <v>0</v>
      </c>
      <c r="D6" s="160" t="s">
        <v>2848</v>
      </c>
      <c r="E6" s="308" t="s">
        <v>1370</v>
      </c>
      <c r="F6" s="309">
        <f ca="1">INDIRECT("'数据-取费表'!u"&amp;$G$1)</f>
        <v>0</v>
      </c>
      <c r="G6" s="1568"/>
      <c r="H6" s="1201" t="s">
        <v>1003</v>
      </c>
      <c r="I6" s="3541" t="s">
        <v>1368</v>
      </c>
      <c r="J6" s="307">
        <f ca="1">ROUND(M6*M8*M7*(1-M9),0)</f>
        <v>0</v>
      </c>
      <c r="K6" s="1560" t="s">
        <v>2849</v>
      </c>
      <c r="L6" s="308" t="s">
        <v>1370</v>
      </c>
      <c r="M6" s="309">
        <f ca="1">INDIRECT("'数据-取费表'!z"&amp;$G$1)</f>
        <v>0</v>
      </c>
    </row>
    <row r="7" spans="1:37" ht="18" customHeight="1">
      <c r="A7" s="1205"/>
      <c r="B7" s="3542"/>
      <c r="C7" s="1207"/>
      <c r="D7" s="313"/>
      <c r="E7" s="1208" t="s">
        <v>1371</v>
      </c>
      <c r="F7" s="309">
        <f ca="1">IF(INDIRECT("'数据-取费表'!ah"&amp;$G$1)="",INDIRECT("'数据-取费表'!k"&amp;$G$1),INDIRECT("'数据-取费表'!ah"&amp;$G$1))</f>
        <v>0</v>
      </c>
      <c r="G7" s="1568"/>
      <c r="H7" s="310"/>
      <c r="I7" s="3542"/>
      <c r="J7" s="312"/>
      <c r="K7" s="313"/>
      <c r="L7" s="308" t="s">
        <v>1371</v>
      </c>
      <c r="M7" s="309">
        <f ca="1">F7</f>
        <v>0</v>
      </c>
    </row>
    <row r="8" spans="1:37" ht="18" customHeight="1">
      <c r="A8" s="310"/>
      <c r="B8" s="3542"/>
      <c r="C8" s="312"/>
      <c r="D8" s="313"/>
      <c r="E8" s="308" t="s">
        <v>1372</v>
      </c>
      <c r="F8" s="309">
        <f ca="1">INDIRECT("'数据-取费表'!ai"&amp;$G$1)</f>
        <v>365</v>
      </c>
      <c r="G8" s="1568"/>
      <c r="H8" s="310"/>
      <c r="I8" s="3542"/>
      <c r="J8" s="312"/>
      <c r="K8" s="313"/>
      <c r="L8" s="308" t="s">
        <v>1372</v>
      </c>
      <c r="M8" s="309">
        <f ca="1">INDIRECT("'数据-取费表'!ai"&amp;$G$1)</f>
        <v>365</v>
      </c>
    </row>
    <row r="9" spans="1:37" ht="18" customHeight="1">
      <c r="A9" s="310"/>
      <c r="B9" s="3543"/>
      <c r="C9" s="312"/>
      <c r="D9" s="313"/>
      <c r="E9" s="308" t="s">
        <v>1373</v>
      </c>
      <c r="F9" s="318">
        <f ca="1">INDIRECT("'数据-取费表'!w"&amp;$G$1)</f>
        <v>0</v>
      </c>
      <c r="G9" s="1568"/>
      <c r="H9" s="310"/>
      <c r="I9" s="354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8</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365</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539" t="s">
        <v>1513</v>
      </c>
      <c r="L53" s="354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H31" sqref="H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3936</v>
      </c>
      <c r="D1" s="1546" t="s">
        <v>70</v>
      </c>
      <c r="E1" s="1547" t="s">
        <v>1352</v>
      </c>
      <c r="F1" s="1193" t="e">
        <f ca="1">J53</f>
        <v>#N/A</v>
      </c>
      <c r="G1" s="1562" t="e">
        <f>MATCH(C1,'数据-取费表'!A6:A16,0)+5</f>
        <v>#N/A</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541" t="s">
        <v>1368</v>
      </c>
      <c r="C6" s="1206" t="e">
        <f ca="1">ROUND(F6*F8*F7*(1-F9)/10000,0)</f>
        <v>#N/A</v>
      </c>
      <c r="D6" s="160" t="s">
        <v>2851</v>
      </c>
      <c r="E6" s="308" t="s">
        <v>1370</v>
      </c>
      <c r="F6" s="309" t="e">
        <f ca="1">INDIRECT("'数据-取费表'!u"&amp;$G$1)</f>
        <v>#N/A</v>
      </c>
      <c r="G6" s="1568"/>
      <c r="H6" s="1201" t="s">
        <v>1003</v>
      </c>
      <c r="I6" s="3541" t="s">
        <v>1368</v>
      </c>
      <c r="J6" s="307" t="e">
        <f ca="1">ROUND(M6*M8*M7*(1-M9)/10000,0)</f>
        <v>#N/A</v>
      </c>
      <c r="K6" s="160" t="s">
        <v>2850</v>
      </c>
      <c r="L6" s="308" t="s">
        <v>1370</v>
      </c>
      <c r="M6" s="309" t="e">
        <f ca="1">INDIRECT("'数据-取费表'!z"&amp;$G$1)</f>
        <v>#N/A</v>
      </c>
    </row>
    <row r="7" spans="1:37" ht="18" customHeight="1">
      <c r="A7" s="1205"/>
      <c r="B7" s="3542"/>
      <c r="C7" s="1207"/>
      <c r="D7" s="313"/>
      <c r="E7" s="3083" t="s">
        <v>1371</v>
      </c>
      <c r="F7" s="309" t="e">
        <f ca="1">IF(INDIRECT("'数据-取费表'!ah"&amp;$G$1)="",INDIRECT("'数据-取费表'!k"&amp;$G$1),INDIRECT("'数据-取费表'!ah"&amp;$G$1))</f>
        <v>#N/A</v>
      </c>
      <c r="G7" s="1568"/>
      <c r="H7" s="310"/>
      <c r="I7" s="3542"/>
      <c r="J7" s="312"/>
      <c r="K7" s="313"/>
      <c r="L7" s="308" t="s">
        <v>1371</v>
      </c>
      <c r="M7" s="309" t="e">
        <f ca="1">F7</f>
        <v>#N/A</v>
      </c>
    </row>
    <row r="8" spans="1:37" ht="18" customHeight="1">
      <c r="A8" s="310"/>
      <c r="B8" s="3542"/>
      <c r="C8" s="312"/>
      <c r="D8" s="313"/>
      <c r="E8" s="308" t="s">
        <v>1372</v>
      </c>
      <c r="F8" s="309" t="e">
        <f ca="1">INDIRECT("'数据-取费表'!ai"&amp;$G$1)</f>
        <v>#N/A</v>
      </c>
      <c r="G8" s="1568"/>
      <c r="H8" s="310"/>
      <c r="I8" s="3542"/>
      <c r="J8" s="312"/>
      <c r="K8" s="313"/>
      <c r="L8" s="308" t="s">
        <v>1372</v>
      </c>
      <c r="M8" s="309" t="e">
        <f ca="1">INDIRECT("'数据-取费表'!ai"&amp;$G$1)</f>
        <v>#N/A</v>
      </c>
    </row>
    <row r="9" spans="1:37" ht="18" customHeight="1">
      <c r="A9" s="310"/>
      <c r="B9" s="3543"/>
      <c r="C9" s="312"/>
      <c r="D9" s="313"/>
      <c r="E9" s="308" t="s">
        <v>1373</v>
      </c>
      <c r="F9" s="318" t="e">
        <f ca="1">INDIRECT("'数据-取费表'!w"&amp;$G$1)</f>
        <v>#N/A</v>
      </c>
      <c r="G9" s="1568"/>
      <c r="H9" s="310"/>
      <c r="I9" s="3543"/>
      <c r="J9" s="312"/>
      <c r="K9" s="313"/>
      <c r="L9" s="319" t="s">
        <v>1373</v>
      </c>
      <c r="M9" s="320" t="e">
        <f ca="1">INDIRECT("'数据-取费表'!ab"&amp;$G$1)</f>
        <v>#N/A</v>
      </c>
    </row>
    <row r="10" spans="1:37" ht="18" customHeight="1">
      <c r="A10" s="1201" t="s">
        <v>1007</v>
      </c>
      <c r="B10" s="1549" t="s">
        <v>1374</v>
      </c>
      <c r="C10" s="322">
        <f ca="1">ROUND(IF(F10="押一",C6/12*F11,IF(F10="押二",C6/12*2*F11,IF(F10="押三",C6/12*3*F11,C11*F11))),0)</f>
        <v>0</v>
      </c>
      <c r="D10" s="1550" t="s">
        <v>2858</v>
      </c>
      <c r="E10" s="319" t="s">
        <v>1375</v>
      </c>
      <c r="F10" s="1276" t="s">
        <v>4224</v>
      </c>
      <c r="G10" s="1568"/>
      <c r="H10" s="1201" t="s">
        <v>1007</v>
      </c>
      <c r="I10" s="1549" t="s">
        <v>1374</v>
      </c>
      <c r="J10" s="307" t="e">
        <f ca="1">ROUND(IF(M10="押一",J6/12*M11,IF(M10="押二",J6/12*2*M11,IF(M10="押三",J6/12*3*M11,J11*M11))),0)</f>
        <v>#N/A</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075" t="s">
        <v>1380</v>
      </c>
      <c r="E13" s="3075"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079" t="s">
        <v>1383</v>
      </c>
      <c r="E14" s="3077"/>
      <c r="F14" s="325"/>
      <c r="G14" s="1568"/>
      <c r="H14" s="1113" t="s">
        <v>1003</v>
      </c>
      <c r="I14" s="308" t="s">
        <v>1384</v>
      </c>
      <c r="J14" s="24" t="e">
        <f ca="1">C29</f>
        <v>#N/A</v>
      </c>
      <c r="K14" s="3082"/>
      <c r="L14" s="916"/>
      <c r="M14" s="917"/>
    </row>
    <row r="15" spans="1:37" s="1581" customFormat="1" ht="18" customHeight="1" thickBot="1">
      <c r="A15" s="1113" t="s">
        <v>1004</v>
      </c>
      <c r="B15" s="308" t="s">
        <v>1385</v>
      </c>
      <c r="C15" s="24" t="e">
        <f ca="1">ROUND(C14*F15,0)</f>
        <v>#N/A</v>
      </c>
      <c r="D15" s="3076" t="s">
        <v>1386</v>
      </c>
      <c r="E15" s="3076" t="s">
        <v>1387</v>
      </c>
      <c r="F15" s="327">
        <f>'数据-取费表'!B33</f>
        <v>0.03</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080"/>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34" t="e">
        <f ca="1">ROUND(IF(AND(项目基本情况!B11="自然人",项目基本情况!B10="北京市"),J6*M17/(1+'数据-取费表'!C42),J18+J19+J20),0)</f>
        <v>#N/A</v>
      </c>
      <c r="K17" s="3079" t="s">
        <v>1395</v>
      </c>
      <c r="L17" s="307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07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085"/>
      <c r="F19" s="26"/>
      <c r="G19" s="1568"/>
      <c r="H19" s="1113" t="s">
        <v>1004</v>
      </c>
      <c r="I19" s="308" t="s">
        <v>1402</v>
      </c>
      <c r="J19" s="24" t="e">
        <f ca="1">IF(K19="按租金收入计税",ROUND(J6*M19/(1+'数据-取费表'!C42),2),ROUND(C29*M19*0.7,2))</f>
        <v>#N/A</v>
      </c>
      <c r="K19" s="1554" t="s">
        <v>1403</v>
      </c>
      <c r="L19" s="308" t="s">
        <v>1387</v>
      </c>
      <c r="M19" s="328">
        <f>IF(K19="按租金收入计税",'数据-取费表'!B51,'数据-取费表'!B50)</f>
        <v>1.2E-2</v>
      </c>
    </row>
    <row r="20" spans="1:37" s="1581" customFormat="1" ht="18" customHeight="1">
      <c r="A20" s="1113" t="s">
        <v>1007</v>
      </c>
      <c r="B20" s="308" t="s">
        <v>1404</v>
      </c>
      <c r="C20" s="24" t="e">
        <f ca="1">ROUND(C19*F20,0)</f>
        <v>#N/A</v>
      </c>
      <c r="D20" s="329" t="s">
        <v>1405</v>
      </c>
      <c r="E20" s="308" t="s">
        <v>1387</v>
      </c>
      <c r="F20" s="328">
        <f>'数据-取费表'!B37</f>
        <v>0.02</v>
      </c>
      <c r="G20" s="1580"/>
      <c r="H20" s="1113" t="s">
        <v>1354</v>
      </c>
      <c r="I20" s="160" t="s">
        <v>1406</v>
      </c>
      <c r="J20" s="25" t="e">
        <f ca="1">ROUND(M20*M21/10000,2)</f>
        <v>#N/A</v>
      </c>
      <c r="K20" s="330" t="s">
        <v>1407</v>
      </c>
      <c r="L20" s="308" t="s">
        <v>1408</v>
      </c>
      <c r="M20" s="331">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5"/>
      <c r="F22" s="26"/>
      <c r="G22" s="1568"/>
      <c r="H22" s="1113" t="s">
        <v>1007</v>
      </c>
      <c r="I22" s="308" t="s">
        <v>1414</v>
      </c>
      <c r="J22" s="24" t="e">
        <f ca="1">ROUND(J14*M22,1)</f>
        <v>#N/A</v>
      </c>
      <c r="K22" s="3078"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t="e">
        <f ca="1">ROUND(J13*M23,1)</f>
        <v>#N/A</v>
      </c>
      <c r="K23" s="3078" t="s">
        <v>1419</v>
      </c>
      <c r="L23" s="308" t="s">
        <v>1420</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t="e">
        <f ca="1">ROUND(J5*M24,1)</f>
        <v>#N/A</v>
      </c>
      <c r="K24" s="1252" t="s">
        <v>1424</v>
      </c>
      <c r="L24" s="1250" t="s">
        <v>1420</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5"/>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76"/>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080"/>
      <c r="F30" s="1204"/>
      <c r="G30" s="1568"/>
      <c r="H30" s="2926"/>
      <c r="I30" s="1582"/>
      <c r="J30" s="1583"/>
      <c r="K30" s="2701"/>
      <c r="L30" s="2927"/>
      <c r="M30" s="2928"/>
    </row>
    <row r="31" spans="1:37" ht="18" customHeight="1">
      <c r="A31" s="1113" t="s">
        <v>1003</v>
      </c>
      <c r="B31" s="308" t="s">
        <v>1394</v>
      </c>
      <c r="C31" s="2534" t="e">
        <f ca="1">ROUND(IF(AND(项目基本情况!B11="自然人",项目基本情况!B10="北京市"),C6*F31/(1+'数据-取费表'!C42),C32+C33+C34),0)</f>
        <v>#N/A</v>
      </c>
      <c r="D31" s="3079" t="s">
        <v>1395</v>
      </c>
      <c r="E31" s="307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t="e">
        <f ca="1">IF(项目基本情况!B11="自然人","——",ROUND(C6*F32/(1+'数据-取费表'!C42),2))</f>
        <v>#N/A</v>
      </c>
      <c r="D32" s="307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4074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t="e">
        <f ca="1">IF(项目基本情况!B11="自然人","——",ROUND(F34*F35/10000,2))</f>
        <v>#N/A</v>
      </c>
      <c r="D34" s="330" t="s">
        <v>1407</v>
      </c>
      <c r="E34" s="308" t="s">
        <v>1408</v>
      </c>
      <c r="F34" s="331">
        <f>'数据-取费表'!B52</f>
        <v>8</v>
      </c>
      <c r="G34" s="1568"/>
      <c r="H34" s="2926"/>
      <c r="I34" s="1582"/>
      <c r="J34" s="1583"/>
      <c r="K34" s="2931"/>
      <c r="L34" s="2932"/>
      <c r="M34" s="2932"/>
    </row>
    <row r="35" spans="1:18" ht="18" customHeight="1">
      <c r="A35" s="1263"/>
      <c r="B35" s="1261"/>
      <c r="C35" s="29"/>
      <c r="D35" s="333"/>
      <c r="E35" s="308" t="s">
        <v>1412</v>
      </c>
      <c r="F35" s="309" t="e">
        <f ca="1">INDIRECT("'数据-取费表'!r"&amp;$G$1)</f>
        <v>#N/A</v>
      </c>
      <c r="G35" s="1568"/>
      <c r="H35" s="2926"/>
      <c r="I35" s="1582"/>
      <c r="J35" s="1583"/>
      <c r="K35" s="2930"/>
      <c r="L35" s="2929"/>
      <c r="M35" s="2929"/>
    </row>
    <row r="36" spans="1:18" ht="18" customHeight="1">
      <c r="A36" s="1262" t="s">
        <v>1007</v>
      </c>
      <c r="B36" s="308" t="s">
        <v>1414</v>
      </c>
      <c r="C36" s="24" t="e">
        <f ca="1">ROUND(C29*F36,1)</f>
        <v>#N/A</v>
      </c>
      <c r="D36" s="3078" t="s">
        <v>1447</v>
      </c>
      <c r="E36" s="308" t="s">
        <v>1387</v>
      </c>
      <c r="F36" s="334" t="e">
        <f ca="1">INDIRECT("'数据-取费表'!Ak"&amp;$G$1)</f>
        <v>#N/A</v>
      </c>
      <c r="G36" s="1568"/>
      <c r="H36" s="2929"/>
      <c r="I36" s="1582"/>
      <c r="J36" s="1583"/>
      <c r="K36" s="2770"/>
      <c r="L36" s="2929"/>
      <c r="M36" s="2929"/>
    </row>
    <row r="37" spans="1:18" ht="18" customHeight="1">
      <c r="A37" s="1113" t="s">
        <v>1043</v>
      </c>
      <c r="B37" s="308" t="s">
        <v>1418</v>
      </c>
      <c r="C37" s="24" t="e">
        <f ca="1">ROUND(C13*F37,1)</f>
        <v>#N/A</v>
      </c>
      <c r="D37" s="3078" t="s">
        <v>1419</v>
      </c>
      <c r="E37" s="308" t="s">
        <v>1420</v>
      </c>
      <c r="F37" s="336" t="e">
        <f ca="1">INDIRECT("'数据-取费表'!Al"&amp;$G$1)</f>
        <v>#N/A</v>
      </c>
      <c r="G37" s="1568"/>
      <c r="H37" s="2929"/>
      <c r="I37" s="1582"/>
      <c r="J37" s="1583"/>
      <c r="K37" s="2770"/>
      <c r="L37" s="2929"/>
      <c r="M37" s="2929"/>
    </row>
    <row r="38" spans="1:18" ht="18" customHeight="1" thickBot="1">
      <c r="A38" s="1249" t="s">
        <v>1358</v>
      </c>
      <c r="B38" s="1250" t="s">
        <v>1404</v>
      </c>
      <c r="C38" s="1251" t="e">
        <f ca="1">ROUND(C5*F38,1)</f>
        <v>#N/A</v>
      </c>
      <c r="D38" s="1252" t="s">
        <v>1424</v>
      </c>
      <c r="E38" s="1250" t="s">
        <v>1420</v>
      </c>
      <c r="F38" s="1246" t="e">
        <f ca="1">INDIRECT("'数据-取费表'!Am"&amp;$G$1)</f>
        <v>#N/A</v>
      </c>
      <c r="G38" s="1568"/>
      <c r="H38" s="2929"/>
      <c r="I38" s="1582"/>
      <c r="J38" s="1583"/>
      <c r="K38" s="2933"/>
      <c r="L38" s="2929"/>
      <c r="M38" s="2929"/>
    </row>
    <row r="39" spans="1:18" ht="24.6" customHeight="1" thickTop="1">
      <c r="A39" s="1239" t="s">
        <v>999</v>
      </c>
      <c r="B39" s="1254" t="s">
        <v>1448</v>
      </c>
      <c r="C39" s="316" t="e">
        <f ca="1">C5-C30</f>
        <v>#N/A</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#N/A</v>
      </c>
      <c r="D40" s="330" t="s">
        <v>1434</v>
      </c>
      <c r="E40" s="308" t="s">
        <v>1435</v>
      </c>
      <c r="F40" s="318" t="e">
        <f ca="1">INDIRECT("'数据-取费表'!I"&amp;$G$1)</f>
        <v>#N/A</v>
      </c>
      <c r="G40" s="1568"/>
      <c r="H40" s="1645"/>
      <c r="I40" s="1582"/>
      <c r="J40" s="1583"/>
      <c r="K40" s="2933"/>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3"/>
      <c r="I41" s="1582"/>
      <c r="J41" s="1583"/>
      <c r="K41" s="2770"/>
      <c r="L41" s="1353"/>
      <c r="M41" s="1353"/>
    </row>
    <row r="42" spans="1:18" ht="18" customHeight="1">
      <c r="A42" s="314"/>
      <c r="B42" s="315"/>
      <c r="C42" s="316"/>
      <c r="D42" s="333"/>
      <c r="E42" s="308" t="s">
        <v>1442</v>
      </c>
      <c r="F42" s="318" t="e">
        <f ca="1">INDIRECT("'数据-取费表'!v"&amp;$G$1)</f>
        <v>#N/A</v>
      </c>
      <c r="G42" s="1568"/>
      <c r="H42" s="1353"/>
      <c r="I42" s="1582"/>
      <c r="J42" s="1583"/>
      <c r="K42" s="2770"/>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4075</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084" t="e">
        <f ca="1">C49+C53+C55</f>
        <v>#N/A</v>
      </c>
      <c r="D48" s="1272"/>
      <c r="E48" s="1273"/>
      <c r="F48" s="1093"/>
      <c r="G48" s="731"/>
      <c r="H48" s="732"/>
      <c r="I48" s="1605" t="s">
        <v>1495</v>
      </c>
      <c r="J48" s="1606" t="s">
        <v>4076</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2850</v>
      </c>
      <c r="E49" s="1556" t="s">
        <v>1456</v>
      </c>
      <c r="F49" s="1191"/>
      <c r="G49" s="1609"/>
      <c r="H49" s="732"/>
      <c r="I49" s="1605" t="s">
        <v>1499</v>
      </c>
      <c r="J49" s="1610">
        <v>2017</v>
      </c>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56</v>
      </c>
      <c r="K51" s="1618" t="s">
        <v>1506</v>
      </c>
      <c r="L51" s="1619" t="e">
        <f ca="1">ROUND(-PV(INDIRECT("'数据-取费表'!h"&amp;$G$1),J51,(C39-C13*C76),0),0)</f>
        <v>#N/A</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t="e">
        <f ca="1">IF(M47="住宅",IF(D1="——",MAX(J51,L48),MAX(J51,L48-'数据-取费表'!B24)),IF(D1="——",MIN(J51,L48),MIN(J51,L48-'数据-取费表'!B24)))</f>
        <v>#N/A</v>
      </c>
      <c r="K53" s="3539" t="s">
        <v>1513</v>
      </c>
      <c r="L53" s="3540"/>
      <c r="O53" s="1602" t="s">
        <v>1014</v>
      </c>
      <c r="P53" s="1603" t="s">
        <v>1514</v>
      </c>
      <c r="Q53" s="1604" t="e">
        <f ca="1">Q47+Q48</f>
        <v>#N/A</v>
      </c>
      <c r="R53" s="1604" t="s">
        <v>1015</v>
      </c>
    </row>
    <row r="54" spans="1:18" s="1568" customFormat="1" ht="13.5" thickBot="1">
      <c r="A54" s="1315"/>
      <c r="B54" s="1551" t="s">
        <v>1353</v>
      </c>
      <c r="C54" s="1090"/>
      <c r="D54" s="1550"/>
      <c r="E54" s="3081"/>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081"/>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3937</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1458</v>
      </c>
      <c r="C61" s="24" t="e">
        <f ca="1">IF(项目基本情况!B11="自然人","——",IF(D61="按租金收入计税",ROUND(C49*F61/(1+'数据-取费表'!C42),2),IF(D61="按房产原值计税",ROUND(C57*F61*0.7,2),INDIRECT("'数据-取费表'!Aj"&amp;$G$1))))</f>
        <v>#N/A</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1461</v>
      </c>
      <c r="C62" s="25" t="e">
        <f ca="1">IF(项目基本情况!B11="自然人","——",ROUND(F62*F63/10000,2))</f>
        <v>#N/A</v>
      </c>
      <c r="D62" s="1096" t="s">
        <v>1462</v>
      </c>
      <c r="E62" s="1081" t="s">
        <v>1463</v>
      </c>
      <c r="F62" s="331">
        <f t="shared" si="0"/>
        <v>8</v>
      </c>
      <c r="I62" s="1646" t="s">
        <v>1535</v>
      </c>
      <c r="J62" s="1647" t="s">
        <v>1536</v>
      </c>
      <c r="K62" s="1647" t="s">
        <v>1537</v>
      </c>
      <c r="L62" s="1647" t="s">
        <v>1538</v>
      </c>
      <c r="M62" s="1648" t="s">
        <v>1539</v>
      </c>
      <c r="O62" s="1602" t="s">
        <v>1014</v>
      </c>
      <c r="P62" s="1603" t="s">
        <v>1540</v>
      </c>
      <c r="Q62" s="1604" t="e">
        <f ca="1">Q56+Q57</f>
        <v>#N/A</v>
      </c>
      <c r="R62" s="1604" t="s">
        <v>1015</v>
      </c>
    </row>
    <row r="63" spans="1:18" s="1568" customFormat="1" ht="13.5" thickBot="1">
      <c r="A63" s="332"/>
      <c r="B63" s="1087"/>
      <c r="C63" s="29"/>
      <c r="D63" s="1097"/>
      <c r="E63" s="1081" t="s">
        <v>1464</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t="e">
        <f ca="1">ROUND(C57*F64,1)</f>
        <v>#N/A</v>
      </c>
      <c r="D64" s="1095" t="s">
        <v>1467</v>
      </c>
      <c r="E64" s="1081" t="s">
        <v>1459</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1420</v>
      </c>
      <c r="F65" s="336" t="e">
        <f t="shared" ca="1" si="0"/>
        <v>#N/A</v>
      </c>
      <c r="I65" s="1646" t="s">
        <v>1544</v>
      </c>
      <c r="J65" s="1647">
        <v>40</v>
      </c>
      <c r="K65" s="1647">
        <v>30</v>
      </c>
      <c r="L65" s="1647">
        <v>50</v>
      </c>
      <c r="M65" s="1649">
        <v>0.02</v>
      </c>
      <c r="O65" s="1602" t="s">
        <v>1008</v>
      </c>
      <c r="P65" s="1603" t="s">
        <v>1545</v>
      </c>
      <c r="Q65" s="1604" t="e">
        <f ca="1">C40+J29</f>
        <v>#N/A</v>
      </c>
      <c r="R65" s="1604" t="s">
        <v>1494</v>
      </c>
    </row>
    <row r="66" spans="1:18" s="1568" customFormat="1" ht="16.5" thickBot="1">
      <c r="A66" s="1113" t="s">
        <v>1469</v>
      </c>
      <c r="B66" s="1081" t="s">
        <v>1404</v>
      </c>
      <c r="C66" s="24" t="e">
        <f ca="1">ROUND(C48*F66,1)</f>
        <v>#N/A</v>
      </c>
      <c r="D66" s="1095" t="s">
        <v>1470</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44387</v>
      </c>
      <c r="C2" s="2058" t="s">
        <v>2340</v>
      </c>
      <c r="D2" s="2059" t="s">
        <v>2341</v>
      </c>
      <c r="E2" s="2833">
        <f>SUM(E6:E13)</f>
        <v>80197.850000000006</v>
      </c>
      <c r="F2" s="2936"/>
      <c r="G2" s="1674"/>
      <c r="H2" s="1674"/>
      <c r="I2" s="1674"/>
      <c r="J2" s="1674"/>
      <c r="K2" s="1674"/>
      <c r="L2" s="1674"/>
      <c r="M2" s="1674"/>
      <c r="N2" s="1674"/>
      <c r="O2" s="1674"/>
      <c r="P2" s="1674"/>
      <c r="Q2" s="1674"/>
      <c r="R2" s="1674"/>
      <c r="S2" s="1674"/>
    </row>
    <row r="3" spans="1:22" ht="15.75">
      <c r="A3" s="2056" t="s">
        <v>1360</v>
      </c>
      <c r="B3" s="2827">
        <f ca="1">ROUND(B2*10000/E2,0)</f>
        <v>5535</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544" t="s">
        <v>2343</v>
      </c>
      <c r="C5" s="3545"/>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44387</v>
      </c>
      <c r="C6" s="2058" t="s">
        <v>2340</v>
      </c>
      <c r="D6" s="2938"/>
      <c r="E6" s="2832">
        <f>IF(OR(A6=0,F6="否"),0,'数据-取费表'!K6+'数据-取费表'!S6)</f>
        <v>80197.850000000006</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62" t="s">
        <v>1044</v>
      </c>
      <c r="B1" s="3563"/>
      <c r="C1" s="3564"/>
      <c r="D1" s="3565">
        <f>SUM(I10,I15,I20,I21,I23)</f>
        <v>0</v>
      </c>
      <c r="E1" s="3565"/>
      <c r="F1" s="3565"/>
      <c r="G1" s="3565"/>
      <c r="H1" s="3565"/>
      <c r="I1" s="3566"/>
    </row>
    <row r="2" spans="1:9">
      <c r="A2" s="3552" t="s">
        <v>1045</v>
      </c>
      <c r="B2" s="3553" t="s">
        <v>1046</v>
      </c>
      <c r="C2" s="3553"/>
      <c r="D2" s="1211" t="s">
        <v>1047</v>
      </c>
      <c r="E2" s="1211" t="s">
        <v>1048</v>
      </c>
      <c r="F2" s="1211" t="s">
        <v>1049</v>
      </c>
      <c r="G2" s="1211" t="s">
        <v>1050</v>
      </c>
      <c r="H2" s="1211" t="s">
        <v>1051</v>
      </c>
      <c r="I2" s="1212" t="s">
        <v>1052</v>
      </c>
    </row>
    <row r="3" spans="1:9">
      <c r="A3" s="3552"/>
      <c r="B3" s="3553" t="s">
        <v>1053</v>
      </c>
      <c r="C3" s="3553"/>
      <c r="D3" s="1213"/>
      <c r="E3" s="1211"/>
      <c r="F3" s="1214"/>
      <c r="G3" s="1214"/>
      <c r="H3" s="1215"/>
      <c r="I3" s="1216">
        <f>ROUND(D3*E3*F3*G3*H3/10000,0)</f>
        <v>0</v>
      </c>
    </row>
    <row r="4" spans="1:9">
      <c r="A4" s="3552"/>
      <c r="B4" s="3553" t="s">
        <v>1054</v>
      </c>
      <c r="C4" s="3553"/>
      <c r="D4" s="1213"/>
      <c r="E4" s="1211"/>
      <c r="F4" s="1214"/>
      <c r="G4" s="1214"/>
      <c r="H4" s="1215"/>
      <c r="I4" s="1216">
        <f t="shared" ref="I4:I9" si="0">ROUND(D4*E4*F4*G4*H4/10000,0)</f>
        <v>0</v>
      </c>
    </row>
    <row r="5" spans="1:9">
      <c r="A5" s="3552"/>
      <c r="B5" s="3553" t="s">
        <v>1055</v>
      </c>
      <c r="C5" s="3553"/>
      <c r="D5" s="1213"/>
      <c r="E5" s="1211"/>
      <c r="F5" s="1214"/>
      <c r="G5" s="1214"/>
      <c r="H5" s="1215"/>
      <c r="I5" s="1216">
        <f t="shared" si="0"/>
        <v>0</v>
      </c>
    </row>
    <row r="6" spans="1:9">
      <c r="A6" s="3552"/>
      <c r="B6" s="3553" t="s">
        <v>1056</v>
      </c>
      <c r="C6" s="3553"/>
      <c r="D6" s="1213"/>
      <c r="E6" s="1211"/>
      <c r="F6" s="1214"/>
      <c r="G6" s="1214"/>
      <c r="H6" s="1215"/>
      <c r="I6" s="1216">
        <f t="shared" si="0"/>
        <v>0</v>
      </c>
    </row>
    <row r="7" spans="1:9">
      <c r="A7" s="3552"/>
      <c r="B7" s="3553" t="s">
        <v>1057</v>
      </c>
      <c r="C7" s="3553"/>
      <c r="D7" s="1213"/>
      <c r="E7" s="1211"/>
      <c r="F7" s="1214"/>
      <c r="G7" s="1214"/>
      <c r="H7" s="1215"/>
      <c r="I7" s="1216">
        <f t="shared" si="0"/>
        <v>0</v>
      </c>
    </row>
    <row r="8" spans="1:9">
      <c r="A8" s="3552"/>
      <c r="B8" s="3553" t="s">
        <v>1058</v>
      </c>
      <c r="C8" s="3553"/>
      <c r="D8" s="1213"/>
      <c r="E8" s="1211"/>
      <c r="F8" s="1214"/>
      <c r="G8" s="1214"/>
      <c r="H8" s="1215"/>
      <c r="I8" s="1216">
        <f t="shared" si="0"/>
        <v>0</v>
      </c>
    </row>
    <row r="9" spans="1:9">
      <c r="A9" s="3552"/>
      <c r="B9" s="3553" t="s">
        <v>1059</v>
      </c>
      <c r="C9" s="3553"/>
      <c r="D9" s="1213"/>
      <c r="E9" s="1211"/>
      <c r="F9" s="1214"/>
      <c r="G9" s="1214"/>
      <c r="H9" s="1215"/>
      <c r="I9" s="1216">
        <f t="shared" si="0"/>
        <v>0</v>
      </c>
    </row>
    <row r="10" spans="1:9">
      <c r="A10" s="3552"/>
      <c r="B10" s="3554" t="s">
        <v>1060</v>
      </c>
      <c r="C10" s="3554"/>
      <c r="D10" s="1217"/>
      <c r="E10" s="1217" t="e">
        <f>ROUND(D1*10000/D10/H9,0)</f>
        <v>#DIV/0!</v>
      </c>
      <c r="F10" s="1218"/>
      <c r="G10" s="1218"/>
      <c r="H10" s="1219"/>
      <c r="I10" s="1220">
        <f>SUM(I3:I9)</f>
        <v>0</v>
      </c>
    </row>
    <row r="11" spans="1:9" ht="14.25">
      <c r="A11" s="3552" t="s">
        <v>1061</v>
      </c>
      <c r="B11" s="3553" t="s">
        <v>1062</v>
      </c>
      <c r="C11" s="3553"/>
      <c r="D11" s="1213" t="s">
        <v>1063</v>
      </c>
      <c r="E11" s="1213" t="s">
        <v>1064</v>
      </c>
      <c r="F11" s="1214" t="s">
        <v>1065</v>
      </c>
      <c r="G11" s="1214" t="s">
        <v>1051</v>
      </c>
      <c r="H11" s="1221" t="s">
        <v>1066</v>
      </c>
      <c r="I11" s="1212" t="s">
        <v>1052</v>
      </c>
    </row>
    <row r="12" spans="1:9">
      <c r="A12" s="3552"/>
      <c r="B12" s="3553" t="s">
        <v>1067</v>
      </c>
      <c r="C12" s="3553"/>
      <c r="D12" s="1213"/>
      <c r="E12" s="1213"/>
      <c r="F12" s="1214"/>
      <c r="G12" s="1215"/>
      <c r="H12" s="1222"/>
      <c r="I12" s="1212">
        <f>ROUND(D12*E12*F12*G12/10000,0)</f>
        <v>0</v>
      </c>
    </row>
    <row r="13" spans="1:9">
      <c r="A13" s="3552"/>
      <c r="B13" s="3553" t="s">
        <v>1068</v>
      </c>
      <c r="C13" s="3553"/>
      <c r="D13" s="1213"/>
      <c r="E13" s="1213"/>
      <c r="F13" s="1214"/>
      <c r="G13" s="1215"/>
      <c r="H13" s="1222"/>
      <c r="I13" s="1212">
        <f>ROUND(D13*E13*F13*G13/10000,0)</f>
        <v>0</v>
      </c>
    </row>
    <row r="14" spans="1:9">
      <c r="A14" s="3552"/>
      <c r="B14" s="3553" t="s">
        <v>1069</v>
      </c>
      <c r="C14" s="3553"/>
      <c r="D14" s="1213"/>
      <c r="E14" s="1213"/>
      <c r="F14" s="1214"/>
      <c r="G14" s="1215"/>
      <c r="H14" s="1222"/>
      <c r="I14" s="1212">
        <f>ROUND(D14*E14*F14*G14/10000,0)</f>
        <v>0</v>
      </c>
    </row>
    <row r="15" spans="1:9">
      <c r="A15" s="3552"/>
      <c r="B15" s="3554" t="s">
        <v>1060</v>
      </c>
      <c r="C15" s="3554"/>
      <c r="D15" s="1217"/>
      <c r="E15" s="1217">
        <f>SUM(E12:E14)</f>
        <v>0</v>
      </c>
      <c r="F15" s="1218"/>
      <c r="G15" s="1215"/>
      <c r="H15" s="1222"/>
      <c r="I15" s="1223">
        <f>SUM(I12:I14)</f>
        <v>0</v>
      </c>
    </row>
    <row r="16" spans="1:9" ht="24">
      <c r="A16" s="3552" t="s">
        <v>1070</v>
      </c>
      <c r="B16" s="3553" t="s">
        <v>1071</v>
      </c>
      <c r="C16" s="3553"/>
      <c r="D16" s="1213" t="s">
        <v>1047</v>
      </c>
      <c r="E16" s="1224" t="s">
        <v>1072</v>
      </c>
      <c r="F16" s="1214" t="s">
        <v>1073</v>
      </c>
      <c r="G16" s="1215" t="s">
        <v>1051</v>
      </c>
      <c r="H16" s="1221" t="s">
        <v>1066</v>
      </c>
      <c r="I16" s="1212" t="s">
        <v>1052</v>
      </c>
    </row>
    <row r="17" spans="1:9" ht="14.25">
      <c r="A17" s="3552"/>
      <c r="B17" s="3553" t="s">
        <v>1074</v>
      </c>
      <c r="C17" s="3553"/>
      <c r="D17" s="1213"/>
      <c r="E17" s="1213"/>
      <c r="F17" s="1214"/>
      <c r="G17" s="1215"/>
      <c r="H17" s="1225"/>
      <c r="I17" s="1226">
        <f>ROUND(D17*E17*F17*G17/10000,0)</f>
        <v>0</v>
      </c>
    </row>
    <row r="18" spans="1:9" ht="14.25">
      <c r="A18" s="3552"/>
      <c r="B18" s="3553" t="s">
        <v>1075</v>
      </c>
      <c r="C18" s="3553"/>
      <c r="D18" s="1213"/>
      <c r="E18" s="1213"/>
      <c r="F18" s="1214"/>
      <c r="G18" s="1215"/>
      <c r="H18" s="1225"/>
      <c r="I18" s="1226">
        <f>ROUND(D18*E18*F18*G18/10000,0)</f>
        <v>0</v>
      </c>
    </row>
    <row r="19" spans="1:9" ht="14.25">
      <c r="A19" s="3552"/>
      <c r="B19" s="3553" t="s">
        <v>1076</v>
      </c>
      <c r="C19" s="3553"/>
      <c r="D19" s="1213"/>
      <c r="E19" s="1213"/>
      <c r="F19" s="1214"/>
      <c r="G19" s="1215"/>
      <c r="H19" s="1225"/>
      <c r="I19" s="1226">
        <f>ROUND(D19*E19*F19*G19/10000,0)</f>
        <v>0</v>
      </c>
    </row>
    <row r="20" spans="1:9">
      <c r="A20" s="3552"/>
      <c r="B20" s="3554" t="s">
        <v>1060</v>
      </c>
      <c r="C20" s="3554"/>
      <c r="D20" s="1217">
        <f>SUM(D17:D19)</f>
        <v>0</v>
      </c>
      <c r="E20" s="1217"/>
      <c r="F20" s="1218"/>
      <c r="G20" s="1215"/>
      <c r="H20" s="1222"/>
      <c r="I20" s="1223">
        <f>SUM(I17:I19)</f>
        <v>0</v>
      </c>
    </row>
    <row r="21" spans="1:9">
      <c r="A21" s="3552" t="s">
        <v>1077</v>
      </c>
      <c r="B21" s="3555"/>
      <c r="C21" s="3555"/>
      <c r="D21" s="3555"/>
      <c r="E21" s="3555"/>
      <c r="F21" s="3555"/>
      <c r="G21" s="3555"/>
      <c r="H21" s="1502">
        <v>0.1</v>
      </c>
      <c r="I21" s="1220">
        <f>ROUND(I10*H21,0)</f>
        <v>0</v>
      </c>
    </row>
    <row r="22" spans="1:9" ht="14.25">
      <c r="A22" s="3556" t="s">
        <v>1078</v>
      </c>
      <c r="B22" s="3557"/>
      <c r="C22" s="3558"/>
      <c r="D22" s="1227" t="s">
        <v>1079</v>
      </c>
      <c r="E22" s="1227" t="s">
        <v>1080</v>
      </c>
      <c r="F22" s="1228" t="s">
        <v>1081</v>
      </c>
      <c r="G22" s="1228" t="s">
        <v>1082</v>
      </c>
      <c r="H22" s="1221" t="s">
        <v>1083</v>
      </c>
      <c r="I22" s="1212" t="s">
        <v>1084</v>
      </c>
    </row>
    <row r="23" spans="1:9" ht="14.25" thickBot="1">
      <c r="A23" s="3559"/>
      <c r="B23" s="3560"/>
      <c r="C23" s="3561"/>
      <c r="D23" s="1229"/>
      <c r="E23" s="1229"/>
      <c r="F23" s="1229"/>
      <c r="G23" s="1230"/>
      <c r="H23" s="1231"/>
      <c r="I23" s="1232">
        <f>ROUND(E23*D23*F23*(1-G23)/10000,0)</f>
        <v>0</v>
      </c>
    </row>
    <row r="26" spans="1:9">
      <c r="A26" s="1233" t="s">
        <v>1085</v>
      </c>
      <c r="B26" s="1233"/>
      <c r="C26" s="1233"/>
      <c r="D26" s="1233"/>
      <c r="E26" s="3549">
        <f>C27-C30-C31-C32</f>
        <v>0</v>
      </c>
      <c r="F26" s="3549"/>
      <c r="G26" s="3549"/>
      <c r="H26" s="1499" t="s">
        <v>1306</v>
      </c>
    </row>
    <row r="27" spans="1:9">
      <c r="A27" s="1234">
        <v>1</v>
      </c>
      <c r="B27" s="1235" t="s">
        <v>1086</v>
      </c>
      <c r="C27" s="1235">
        <f>C28+C29</f>
        <v>0</v>
      </c>
      <c r="D27" s="1235"/>
      <c r="E27" s="3550"/>
      <c r="F27" s="3550"/>
      <c r="G27" s="3550"/>
    </row>
    <row r="28" spans="1:9">
      <c r="A28" s="1236" t="s">
        <v>1087</v>
      </c>
      <c r="B28" s="1235" t="s">
        <v>1088</v>
      </c>
      <c r="C28" s="1235"/>
      <c r="D28" s="1235"/>
      <c r="E28" s="3550"/>
      <c r="F28" s="3550"/>
      <c r="G28" s="355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51"/>
      <c r="F32" s="3551"/>
      <c r="G32" s="3551"/>
    </row>
    <row r="33" spans="1:7" hidden="1">
      <c r="A33" s="3546" t="s">
        <v>1097</v>
      </c>
      <c r="B33" s="3547"/>
      <c r="C33" s="3547"/>
      <c r="D33" s="3548"/>
      <c r="E33" s="3549"/>
      <c r="F33" s="3549"/>
      <c r="G33" s="3549"/>
    </row>
    <row r="34" spans="1:7" hidden="1">
      <c r="A34" s="1238">
        <v>1</v>
      </c>
      <c r="B34" s="1235" t="s">
        <v>1098</v>
      </c>
      <c r="C34" s="1235"/>
      <c r="D34" s="1235"/>
      <c r="E34" s="3550"/>
      <c r="F34" s="3550"/>
      <c r="G34" s="3550"/>
    </row>
    <row r="35" spans="1:7" hidden="1">
      <c r="A35" s="1238">
        <v>2</v>
      </c>
      <c r="B35" s="1235" t="s">
        <v>1099</v>
      </c>
      <c r="C35" s="1235"/>
      <c r="D35" s="1235"/>
      <c r="E35" s="3550"/>
      <c r="F35" s="3550"/>
      <c r="G35" s="3550"/>
    </row>
    <row r="36" spans="1:7" hidden="1">
      <c r="A36" s="1238">
        <v>3</v>
      </c>
      <c r="B36" s="1235" t="s">
        <v>1100</v>
      </c>
      <c r="C36" s="1235"/>
      <c r="D36" s="1235"/>
      <c r="E36" s="3550"/>
      <c r="F36" s="3550"/>
      <c r="G36" s="3550"/>
    </row>
    <row r="37" spans="1:7" hidden="1">
      <c r="A37" s="1238">
        <v>4</v>
      </c>
      <c r="B37" s="1235" t="s">
        <v>1101</v>
      </c>
      <c r="C37" s="1235"/>
      <c r="D37" s="1235"/>
      <c r="E37" s="3550"/>
      <c r="F37" s="3550"/>
      <c r="G37" s="3550"/>
    </row>
    <row r="38" spans="1:7" hidden="1">
      <c r="A38" s="3546" t="s">
        <v>1102</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估价对象为房地产，为所有。根据《国有土地使用证》[]，估价对象（分摊）出让国有建设用地使用权面积为34634.38平方米，建筑面积为80197.85平方米。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估价对象为房地产,属开发建设的综合项目（商业、办公），该项目尚在开发建设中。根据《国有土地使用证》[]，估价对象（分摊）出让国有建设用地使用权面积为34634.38平方米，规划建筑面积为80197.85平方米。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2021年12月18日（评估专业人员实地查勘之日）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80197.850000000006</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478" t="s">
        <v>2357</v>
      </c>
      <c r="D4" s="3491"/>
      <c r="E4" s="3492" t="s">
        <v>2358</v>
      </c>
      <c r="F4" s="3493"/>
      <c r="G4" s="3478" t="s">
        <v>2359</v>
      </c>
      <c r="H4" s="3491"/>
      <c r="I4" s="3478" t="s">
        <v>2360</v>
      </c>
      <c r="J4" s="3491"/>
      <c r="K4" s="2075" t="s">
        <v>2361</v>
      </c>
      <c r="L4" s="2944"/>
      <c r="M4" s="2945"/>
      <c r="N4" s="2945"/>
      <c r="O4" s="2945"/>
      <c r="P4" s="3494" t="s">
        <v>2362</v>
      </c>
      <c r="Q4" s="3495"/>
      <c r="R4" s="3500" t="s">
        <v>2358</v>
      </c>
      <c r="S4" s="3501"/>
      <c r="T4" s="3500" t="s">
        <v>2359</v>
      </c>
      <c r="U4" s="3501"/>
      <c r="V4" s="3487" t="s">
        <v>2360</v>
      </c>
      <c r="W4" s="3487"/>
      <c r="X4" s="1539"/>
      <c r="Y4" s="3500" t="s">
        <v>2362</v>
      </c>
      <c r="Z4" s="3501"/>
      <c r="AA4" s="3488" t="s">
        <v>2358</v>
      </c>
      <c r="AB4" s="3488" t="s">
        <v>2359</v>
      </c>
      <c r="AC4" s="3488" t="s">
        <v>2360</v>
      </c>
    </row>
    <row r="5" spans="1:29" ht="15">
      <c r="A5" s="364"/>
      <c r="B5" s="365"/>
      <c r="C5" s="3508" t="s">
        <v>2363</v>
      </c>
      <c r="D5" s="3509"/>
      <c r="E5" s="3515" t="s">
        <v>2364</v>
      </c>
      <c r="F5" s="3516"/>
      <c r="G5" s="3508" t="s">
        <v>2365</v>
      </c>
      <c r="H5" s="3509"/>
      <c r="I5" s="3508" t="s">
        <v>2366</v>
      </c>
      <c r="J5" s="3509"/>
      <c r="K5" s="2076"/>
      <c r="L5" s="2944"/>
      <c r="M5" s="2945"/>
      <c r="N5" s="2945"/>
      <c r="O5" s="2945"/>
      <c r="P5" s="3496"/>
      <c r="Q5" s="3497"/>
      <c r="R5" s="3502"/>
      <c r="S5" s="3503"/>
      <c r="T5" s="3502"/>
      <c r="U5" s="3503"/>
      <c r="V5" s="3487"/>
      <c r="W5" s="3487"/>
      <c r="X5" s="1539"/>
      <c r="Y5" s="3502"/>
      <c r="Z5" s="3503"/>
      <c r="AA5" s="3489"/>
      <c r="AB5" s="3489"/>
      <c r="AC5" s="3489"/>
    </row>
    <row r="6" spans="1:29" ht="15.75" thickBot="1">
      <c r="A6" s="366"/>
      <c r="B6" s="367"/>
      <c r="C6" s="3506" t="s">
        <v>2367</v>
      </c>
      <c r="D6" s="3507"/>
      <c r="E6" s="3513" t="s">
        <v>2367</v>
      </c>
      <c r="F6" s="3514"/>
      <c r="G6" s="3506" t="s">
        <v>2367</v>
      </c>
      <c r="H6" s="3507"/>
      <c r="I6" s="3506" t="s">
        <v>2367</v>
      </c>
      <c r="J6" s="3507"/>
      <c r="K6" s="2076" t="s">
        <v>2368</v>
      </c>
      <c r="L6" s="2944"/>
      <c r="M6" s="2945"/>
      <c r="N6" s="2945"/>
      <c r="O6" s="2945"/>
      <c r="P6" s="3498"/>
      <c r="Q6" s="3499"/>
      <c r="R6" s="3502"/>
      <c r="S6" s="3503"/>
      <c r="T6" s="3504"/>
      <c r="U6" s="3505"/>
      <c r="V6" s="3487"/>
      <c r="W6" s="3487"/>
      <c r="X6" s="1539"/>
      <c r="Y6" s="3504"/>
      <c r="Z6" s="3505"/>
      <c r="AA6" s="3490"/>
      <c r="AB6" s="3490"/>
      <c r="AC6" s="3490"/>
    </row>
    <row r="7" spans="1:29" s="113" customFormat="1" ht="15.75" thickBot="1">
      <c r="A7" s="368" t="s">
        <v>2369</v>
      </c>
      <c r="B7" s="369"/>
      <c r="C7" s="370">
        <f>'数据-取费表'!B2</f>
        <v>44548</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510" t="s">
        <v>2370</v>
      </c>
      <c r="Q7" s="3512"/>
      <c r="R7" s="710" t="s">
        <v>23</v>
      </c>
      <c r="S7" s="711">
        <f t="shared" ref="S7:S15" si="0">F7</f>
        <v>0</v>
      </c>
      <c r="T7" s="710" t="s">
        <v>23</v>
      </c>
      <c r="U7" s="711">
        <f t="shared" ref="U7:U15" si="1">H7</f>
        <v>0</v>
      </c>
      <c r="V7" s="710" t="s">
        <v>23</v>
      </c>
      <c r="W7" s="711">
        <f t="shared" ref="W7:W15" si="2">J7</f>
        <v>0</v>
      </c>
      <c r="X7" s="712"/>
      <c r="Y7" s="3510" t="s">
        <v>2370</v>
      </c>
      <c r="Z7" s="351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510" t="s">
        <v>2373</v>
      </c>
      <c r="Q8" s="3511"/>
      <c r="R8" s="710" t="s">
        <v>23</v>
      </c>
      <c r="S8" s="711">
        <f t="shared" si="0"/>
        <v>0</v>
      </c>
      <c r="T8" s="710" t="s">
        <v>23</v>
      </c>
      <c r="U8" s="711">
        <f t="shared" si="1"/>
        <v>0</v>
      </c>
      <c r="V8" s="710" t="s">
        <v>23</v>
      </c>
      <c r="W8" s="711">
        <f t="shared" si="2"/>
        <v>0</v>
      </c>
      <c r="X8" s="712"/>
      <c r="Y8" s="3510" t="s">
        <v>2373</v>
      </c>
      <c r="Z8" s="351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80" t="s">
        <v>2376</v>
      </c>
      <c r="Q9" s="1527" t="str">
        <f t="shared" ref="Q9:Q15" si="6">B9</f>
        <v>用途</v>
      </c>
      <c r="R9" s="710" t="s">
        <v>17</v>
      </c>
      <c r="S9" s="711">
        <f t="shared" si="0"/>
        <v>100</v>
      </c>
      <c r="T9" s="710" t="s">
        <v>17</v>
      </c>
      <c r="U9" s="711">
        <f t="shared" si="1"/>
        <v>100</v>
      </c>
      <c r="V9" s="710" t="s">
        <v>17</v>
      </c>
      <c r="W9" s="711">
        <f t="shared" si="2"/>
        <v>100</v>
      </c>
      <c r="X9" s="712"/>
      <c r="Y9" s="33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80"/>
      <c r="Q10" s="152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80"/>
      <c r="Q11" s="1527" t="str">
        <f t="shared" si="6"/>
        <v>容积率</v>
      </c>
      <c r="R11" s="710" t="s">
        <v>21</v>
      </c>
      <c r="S11" s="711" t="e">
        <f t="shared" si="0"/>
        <v>#N/A</v>
      </c>
      <c r="T11" s="710" t="s">
        <v>21</v>
      </c>
      <c r="U11" s="711" t="e">
        <f t="shared" si="1"/>
        <v>#N/A</v>
      </c>
      <c r="V11" s="710" t="s">
        <v>21</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80"/>
      <c r="Q12" s="1527">
        <f t="shared" si="6"/>
        <v>111</v>
      </c>
      <c r="R12" s="710" t="s">
        <v>21</v>
      </c>
      <c r="S12" s="711">
        <f t="shared" si="0"/>
        <v>100</v>
      </c>
      <c r="T12" s="710" t="s">
        <v>21</v>
      </c>
      <c r="U12" s="711">
        <f t="shared" si="1"/>
        <v>100</v>
      </c>
      <c r="V12" s="710" t="s">
        <v>21</v>
      </c>
      <c r="W12" s="711">
        <f t="shared" si="2"/>
        <v>100</v>
      </c>
      <c r="X12" s="712"/>
      <c r="Y12" s="33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80"/>
      <c r="Q13" s="1527">
        <f t="shared" si="6"/>
        <v>111</v>
      </c>
      <c r="R13" s="710" t="s">
        <v>21</v>
      </c>
      <c r="S13" s="711">
        <f t="shared" si="0"/>
        <v>100</v>
      </c>
      <c r="T13" s="710" t="s">
        <v>21</v>
      </c>
      <c r="U13" s="711">
        <f t="shared" si="1"/>
        <v>100</v>
      </c>
      <c r="V13" s="710" t="s">
        <v>21</v>
      </c>
      <c r="W13" s="711">
        <f t="shared" si="2"/>
        <v>100</v>
      </c>
      <c r="X13" s="712"/>
      <c r="Y13" s="337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80"/>
      <c r="Q14" s="1527">
        <f t="shared" si="6"/>
        <v>111</v>
      </c>
      <c r="R14" s="710" t="s">
        <v>21</v>
      </c>
      <c r="S14" s="711">
        <f t="shared" si="0"/>
        <v>100</v>
      </c>
      <c r="T14" s="710" t="s">
        <v>21</v>
      </c>
      <c r="U14" s="711">
        <f t="shared" si="1"/>
        <v>100</v>
      </c>
      <c r="V14" s="710" t="s">
        <v>21</v>
      </c>
      <c r="W14" s="711">
        <f t="shared" si="2"/>
        <v>100</v>
      </c>
      <c r="X14" s="712"/>
      <c r="Y14" s="3375"/>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573" t="s">
        <v>2381</v>
      </c>
      <c r="Q15" s="1536" t="str">
        <f t="shared" si="6"/>
        <v>居住社区成熟度</v>
      </c>
      <c r="R15" s="714" t="s">
        <v>21</v>
      </c>
      <c r="S15" s="715">
        <f t="shared" si="0"/>
        <v>100</v>
      </c>
      <c r="T15" s="714" t="s">
        <v>21</v>
      </c>
      <c r="U15" s="715">
        <f t="shared" si="1"/>
        <v>100</v>
      </c>
      <c r="V15" s="714" t="s">
        <v>21</v>
      </c>
      <c r="W15" s="715">
        <f t="shared" si="2"/>
        <v>100</v>
      </c>
      <c r="X15" s="1539"/>
      <c r="Y15" s="348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574"/>
      <c r="Q16" s="1536"/>
      <c r="R16" s="714"/>
      <c r="S16" s="715"/>
      <c r="T16" s="714"/>
      <c r="U16" s="715"/>
      <c r="V16" s="714"/>
      <c r="W16" s="715"/>
      <c r="X16" s="1539"/>
      <c r="Y16" s="348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574"/>
      <c r="Q17" s="1536" t="str">
        <f>B17</f>
        <v>交通便捷度</v>
      </c>
      <c r="R17" s="714" t="s">
        <v>21</v>
      </c>
      <c r="S17" s="715">
        <f>F17</f>
        <v>100</v>
      </c>
      <c r="T17" s="714" t="s">
        <v>21</v>
      </c>
      <c r="U17" s="715">
        <f>H17</f>
        <v>100</v>
      </c>
      <c r="V17" s="714" t="s">
        <v>21</v>
      </c>
      <c r="W17" s="715">
        <f>J17</f>
        <v>100</v>
      </c>
      <c r="X17" s="1539"/>
      <c r="Y17" s="348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574"/>
      <c r="Q18" s="1536"/>
      <c r="R18" s="714"/>
      <c r="S18" s="715"/>
      <c r="T18" s="714"/>
      <c r="U18" s="715"/>
      <c r="V18" s="714"/>
      <c r="W18" s="715"/>
      <c r="X18" s="1539"/>
      <c r="Y18" s="3484"/>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574"/>
      <c r="Q19" s="1536" t="str">
        <f>B19</f>
        <v>公共配套设施</v>
      </c>
      <c r="R19" s="714" t="s">
        <v>21</v>
      </c>
      <c r="S19" s="715">
        <f>F19</f>
        <v>100</v>
      </c>
      <c r="T19" s="714" t="s">
        <v>21</v>
      </c>
      <c r="U19" s="715">
        <f>H19</f>
        <v>100</v>
      </c>
      <c r="V19" s="714" t="s">
        <v>21</v>
      </c>
      <c r="W19" s="715">
        <f>J19</f>
        <v>100</v>
      </c>
      <c r="X19" s="1539"/>
      <c r="Y19" s="348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574"/>
      <c r="Q20" s="1536"/>
      <c r="R20" s="714"/>
      <c r="S20" s="715"/>
      <c r="T20" s="714"/>
      <c r="U20" s="715"/>
      <c r="V20" s="714"/>
      <c r="W20" s="715"/>
      <c r="X20" s="1539"/>
      <c r="Y20" s="3484"/>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574"/>
      <c r="Q21" s="1536" t="str">
        <f>B21</f>
        <v>基础设施水平</v>
      </c>
      <c r="R21" s="714" t="s">
        <v>17</v>
      </c>
      <c r="S21" s="715">
        <f>F21</f>
        <v>100</v>
      </c>
      <c r="T21" s="714" t="s">
        <v>17</v>
      </c>
      <c r="U21" s="715">
        <f>H21</f>
        <v>100</v>
      </c>
      <c r="V21" s="714" t="s">
        <v>17</v>
      </c>
      <c r="W21" s="715">
        <f>J21</f>
        <v>100</v>
      </c>
      <c r="X21" s="1539"/>
      <c r="Y21" s="348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574"/>
      <c r="Q22" s="1536"/>
      <c r="R22" s="714"/>
      <c r="S22" s="715"/>
      <c r="T22" s="714"/>
      <c r="U22" s="715"/>
      <c r="V22" s="714"/>
      <c r="W22" s="715"/>
      <c r="X22" s="1539"/>
      <c r="Y22" s="3484"/>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574"/>
      <c r="Q23" s="1536" t="str">
        <f>B23</f>
        <v>自然及人文环境</v>
      </c>
      <c r="R23" s="714" t="s">
        <v>21</v>
      </c>
      <c r="S23" s="715">
        <f>F23</f>
        <v>100</v>
      </c>
      <c r="T23" s="714" t="s">
        <v>21</v>
      </c>
      <c r="U23" s="715">
        <f>H23</f>
        <v>100</v>
      </c>
      <c r="V23" s="714" t="s">
        <v>21</v>
      </c>
      <c r="W23" s="715">
        <f>J23</f>
        <v>100</v>
      </c>
      <c r="X23" s="1539"/>
      <c r="Y23" s="348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574"/>
      <c r="Q24" s="1536"/>
      <c r="R24" s="714"/>
      <c r="S24" s="715"/>
      <c r="T24" s="714"/>
      <c r="U24" s="715"/>
      <c r="V24" s="714"/>
      <c r="W24" s="715"/>
      <c r="X24" s="1539"/>
      <c r="Y24" s="348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57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84"/>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574"/>
      <c r="Q26" s="1536" t="str">
        <f t="shared" si="11"/>
        <v>朝向</v>
      </c>
      <c r="R26" s="714" t="s">
        <v>21</v>
      </c>
      <c r="S26" s="715">
        <f t="shared" si="12"/>
        <v>100</v>
      </c>
      <c r="T26" s="714" t="s">
        <v>21</v>
      </c>
      <c r="U26" s="715">
        <f t="shared" si="13"/>
        <v>100</v>
      </c>
      <c r="V26" s="714" t="s">
        <v>21</v>
      </c>
      <c r="W26" s="715">
        <f t="shared" si="14"/>
        <v>100</v>
      </c>
      <c r="X26" s="1539"/>
      <c r="Y26" s="348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574"/>
      <c r="Q27" s="1527">
        <f t="shared" si="11"/>
        <v>111</v>
      </c>
      <c r="R27" s="710" t="s">
        <v>21</v>
      </c>
      <c r="S27" s="711">
        <f t="shared" si="12"/>
        <v>100</v>
      </c>
      <c r="T27" s="710" t="s">
        <v>21</v>
      </c>
      <c r="U27" s="711">
        <f t="shared" si="13"/>
        <v>100</v>
      </c>
      <c r="V27" s="710" t="s">
        <v>21</v>
      </c>
      <c r="W27" s="711">
        <f t="shared" si="14"/>
        <v>100</v>
      </c>
      <c r="X27" s="712"/>
      <c r="Y27" s="348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574"/>
      <c r="Q28" s="1536">
        <f t="shared" si="11"/>
        <v>111</v>
      </c>
      <c r="R28" s="714" t="s">
        <v>21</v>
      </c>
      <c r="S28" s="715">
        <f t="shared" si="12"/>
        <v>100</v>
      </c>
      <c r="T28" s="714" t="s">
        <v>21</v>
      </c>
      <c r="U28" s="715">
        <f t="shared" si="13"/>
        <v>100</v>
      </c>
      <c r="V28" s="714" t="s">
        <v>21</v>
      </c>
      <c r="W28" s="715">
        <f t="shared" si="14"/>
        <v>100</v>
      </c>
      <c r="X28" s="1539"/>
      <c r="Y28" s="348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574"/>
      <c r="Q29" s="1536">
        <f t="shared" si="11"/>
        <v>111</v>
      </c>
      <c r="R29" s="714" t="s">
        <v>21</v>
      </c>
      <c r="S29" s="715">
        <f t="shared" si="12"/>
        <v>100</v>
      </c>
      <c r="T29" s="714" t="s">
        <v>21</v>
      </c>
      <c r="U29" s="715">
        <f t="shared" si="13"/>
        <v>100</v>
      </c>
      <c r="V29" s="714" t="s">
        <v>21</v>
      </c>
      <c r="W29" s="715">
        <f t="shared" si="14"/>
        <v>100</v>
      </c>
      <c r="X29" s="1539"/>
      <c r="Y29" s="348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574"/>
      <c r="Q30" s="1536">
        <f t="shared" si="11"/>
        <v>111</v>
      </c>
      <c r="R30" s="714" t="s">
        <v>21</v>
      </c>
      <c r="S30" s="715">
        <f t="shared" si="12"/>
        <v>100</v>
      </c>
      <c r="T30" s="714" t="s">
        <v>21</v>
      </c>
      <c r="U30" s="715">
        <f t="shared" si="13"/>
        <v>100</v>
      </c>
      <c r="V30" s="714" t="s">
        <v>21</v>
      </c>
      <c r="W30" s="715">
        <f t="shared" si="14"/>
        <v>100</v>
      </c>
      <c r="X30" s="1539"/>
      <c r="Y30" s="3484"/>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574"/>
      <c r="Q31" s="1536">
        <f t="shared" si="11"/>
        <v>111</v>
      </c>
      <c r="R31" s="714" t="s">
        <v>21</v>
      </c>
      <c r="S31" s="715">
        <f t="shared" si="12"/>
        <v>100</v>
      </c>
      <c r="T31" s="714" t="s">
        <v>21</v>
      </c>
      <c r="U31" s="715">
        <f t="shared" si="13"/>
        <v>100</v>
      </c>
      <c r="V31" s="714" t="s">
        <v>21</v>
      </c>
      <c r="W31" s="715">
        <f t="shared" si="14"/>
        <v>100</v>
      </c>
      <c r="X31" s="1539"/>
      <c r="Y31" s="348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569" t="s">
        <v>2386</v>
      </c>
      <c r="Q32" s="1536" t="str">
        <f t="shared" si="11"/>
        <v>建筑类型</v>
      </c>
      <c r="R32" s="714" t="s">
        <v>21</v>
      </c>
      <c r="S32" s="715">
        <f t="shared" si="12"/>
        <v>100</v>
      </c>
      <c r="T32" s="714" t="s">
        <v>21</v>
      </c>
      <c r="U32" s="715">
        <f t="shared" si="13"/>
        <v>100</v>
      </c>
      <c r="V32" s="714" t="s">
        <v>21</v>
      </c>
      <c r="W32" s="715">
        <f t="shared" si="14"/>
        <v>100</v>
      </c>
      <c r="X32" s="1539"/>
      <c r="Y32" s="3486"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570"/>
      <c r="Q33" s="716" t="str">
        <f t="shared" si="11"/>
        <v>项目建筑规模</v>
      </c>
      <c r="R33" s="717" t="s">
        <v>21</v>
      </c>
      <c r="S33" s="718" t="e">
        <f t="shared" si="12"/>
        <v>#N/A</v>
      </c>
      <c r="T33" s="717" t="s">
        <v>21</v>
      </c>
      <c r="U33" s="718" t="e">
        <f t="shared" si="13"/>
        <v>#N/A</v>
      </c>
      <c r="V33" s="717" t="s">
        <v>21</v>
      </c>
      <c r="W33" s="718" t="e">
        <f t="shared" si="14"/>
        <v>#N/A</v>
      </c>
      <c r="X33" s="719"/>
      <c r="Y33" s="3486"/>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570"/>
      <c r="Q34" s="1536" t="str">
        <f t="shared" si="11"/>
        <v>建筑结构</v>
      </c>
      <c r="R34" s="714" t="s">
        <v>21</v>
      </c>
      <c r="S34" s="715">
        <f t="shared" si="12"/>
        <v>100</v>
      </c>
      <c r="T34" s="714" t="s">
        <v>21</v>
      </c>
      <c r="U34" s="715">
        <f t="shared" si="13"/>
        <v>100</v>
      </c>
      <c r="V34" s="714" t="s">
        <v>21</v>
      </c>
      <c r="W34" s="715">
        <f t="shared" si="14"/>
        <v>100</v>
      </c>
      <c r="X34" s="1539"/>
      <c r="Y34" s="3486"/>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570"/>
      <c r="Q35" s="1536" t="str">
        <f t="shared" si="11"/>
        <v>建筑品质</v>
      </c>
      <c r="R35" s="714" t="s">
        <v>21</v>
      </c>
      <c r="S35" s="715">
        <f t="shared" si="12"/>
        <v>100</v>
      </c>
      <c r="T35" s="714" t="s">
        <v>21</v>
      </c>
      <c r="U35" s="715">
        <f t="shared" si="13"/>
        <v>100</v>
      </c>
      <c r="V35" s="714" t="s">
        <v>21</v>
      </c>
      <c r="W35" s="715">
        <f t="shared" si="14"/>
        <v>100</v>
      </c>
      <c r="X35" s="1539"/>
      <c r="Y35" s="3486"/>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570"/>
      <c r="Q36" s="1536" t="str">
        <f t="shared" si="11"/>
        <v>公共部分装修</v>
      </c>
      <c r="R36" s="714" t="s">
        <v>21</v>
      </c>
      <c r="S36" s="715">
        <f t="shared" si="12"/>
        <v>100</v>
      </c>
      <c r="T36" s="714" t="s">
        <v>21</v>
      </c>
      <c r="U36" s="715">
        <f t="shared" si="13"/>
        <v>100</v>
      </c>
      <c r="V36" s="714" t="s">
        <v>21</v>
      </c>
      <c r="W36" s="715">
        <f t="shared" si="14"/>
        <v>100</v>
      </c>
      <c r="X36" s="1539"/>
      <c r="Y36" s="3486"/>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570"/>
      <c r="Q37" s="1527" t="str">
        <f t="shared" si="11"/>
        <v>成新度</v>
      </c>
      <c r="R37" s="710" t="s">
        <v>21</v>
      </c>
      <c r="S37" s="711" t="e">
        <f t="shared" si="12"/>
        <v>#N/A</v>
      </c>
      <c r="T37" s="710" t="s">
        <v>21</v>
      </c>
      <c r="U37" s="711" t="e">
        <f t="shared" si="13"/>
        <v>#N/A</v>
      </c>
      <c r="V37" s="710" t="s">
        <v>21</v>
      </c>
      <c r="W37" s="711" t="e">
        <f t="shared" si="14"/>
        <v>#N/A</v>
      </c>
      <c r="X37" s="712"/>
      <c r="Y37" s="3486"/>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570" t="s">
        <v>2386</v>
      </c>
      <c r="Q38" s="1536" t="str">
        <f t="shared" si="11"/>
        <v>物业管理</v>
      </c>
      <c r="R38" s="714" t="s">
        <v>21</v>
      </c>
      <c r="S38" s="715">
        <f t="shared" si="12"/>
        <v>100</v>
      </c>
      <c r="T38" s="714" t="s">
        <v>21</v>
      </c>
      <c r="U38" s="715">
        <f t="shared" si="13"/>
        <v>100</v>
      </c>
      <c r="V38" s="714" t="s">
        <v>21</v>
      </c>
      <c r="W38" s="715">
        <f t="shared" si="14"/>
        <v>100</v>
      </c>
      <c r="X38" s="1539"/>
      <c r="Y38" s="3486"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570"/>
      <c r="Q39" s="1536" t="str">
        <f t="shared" si="11"/>
        <v>市政基础设施</v>
      </c>
      <c r="R39" s="714" t="s">
        <v>21</v>
      </c>
      <c r="S39" s="715">
        <f t="shared" si="12"/>
        <v>100</v>
      </c>
      <c r="T39" s="714" t="s">
        <v>21</v>
      </c>
      <c r="U39" s="715">
        <f t="shared" si="13"/>
        <v>100</v>
      </c>
      <c r="V39" s="714" t="s">
        <v>21</v>
      </c>
      <c r="W39" s="715">
        <f t="shared" si="14"/>
        <v>100</v>
      </c>
      <c r="X39" s="1539"/>
      <c r="Y39" s="3486"/>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570"/>
      <c r="Q40" s="1536" t="str">
        <f t="shared" si="11"/>
        <v>房型</v>
      </c>
      <c r="R40" s="714" t="s">
        <v>21</v>
      </c>
      <c r="S40" s="715">
        <f t="shared" si="12"/>
        <v>100</v>
      </c>
      <c r="T40" s="714" t="s">
        <v>21</v>
      </c>
      <c r="U40" s="715">
        <f t="shared" si="13"/>
        <v>100</v>
      </c>
      <c r="V40" s="714" t="s">
        <v>21</v>
      </c>
      <c r="W40" s="715">
        <f t="shared" si="14"/>
        <v>100</v>
      </c>
      <c r="X40" s="1539"/>
      <c r="Y40" s="3486"/>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570"/>
      <c r="Q41" s="716" t="str">
        <f t="shared" si="11"/>
        <v>单套/主力户型建筑面积</v>
      </c>
      <c r="R41" s="717" t="s">
        <v>21</v>
      </c>
      <c r="S41" s="718">
        <f t="shared" si="12"/>
        <v>100</v>
      </c>
      <c r="T41" s="717" t="s">
        <v>21</v>
      </c>
      <c r="U41" s="718">
        <f t="shared" si="13"/>
        <v>100</v>
      </c>
      <c r="V41" s="717" t="s">
        <v>21</v>
      </c>
      <c r="W41" s="718">
        <f t="shared" si="14"/>
        <v>100</v>
      </c>
      <c r="X41" s="719"/>
      <c r="Y41" s="3486"/>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570"/>
      <c r="Q42" s="1536" t="str">
        <f t="shared" si="11"/>
        <v>内部装修</v>
      </c>
      <c r="R42" s="714" t="s">
        <v>21</v>
      </c>
      <c r="S42" s="715">
        <f t="shared" si="12"/>
        <v>100</v>
      </c>
      <c r="T42" s="714" t="s">
        <v>21</v>
      </c>
      <c r="U42" s="715">
        <f t="shared" si="13"/>
        <v>100</v>
      </c>
      <c r="V42" s="714" t="s">
        <v>21</v>
      </c>
      <c r="W42" s="715">
        <f t="shared" si="14"/>
        <v>100</v>
      </c>
      <c r="X42" s="1539"/>
      <c r="Y42" s="3486"/>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570"/>
      <c r="Q43" s="1536" t="str">
        <f t="shared" si="11"/>
        <v>内部装修维护情况</v>
      </c>
      <c r="R43" s="714" t="s">
        <v>21</v>
      </c>
      <c r="S43" s="715">
        <f t="shared" si="12"/>
        <v>100</v>
      </c>
      <c r="T43" s="714" t="s">
        <v>21</v>
      </c>
      <c r="U43" s="715">
        <f t="shared" si="13"/>
        <v>100</v>
      </c>
      <c r="V43" s="714" t="s">
        <v>21</v>
      </c>
      <c r="W43" s="715">
        <f t="shared" si="14"/>
        <v>100</v>
      </c>
      <c r="X43" s="1539"/>
      <c r="Y43" s="348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570"/>
      <c r="Q44" s="1527">
        <f t="shared" si="11"/>
        <v>111</v>
      </c>
      <c r="R44" s="710" t="s">
        <v>21</v>
      </c>
      <c r="S44" s="711">
        <f t="shared" si="12"/>
        <v>100</v>
      </c>
      <c r="T44" s="710" t="s">
        <v>21</v>
      </c>
      <c r="U44" s="711">
        <f t="shared" si="13"/>
        <v>100</v>
      </c>
      <c r="V44" s="710" t="s">
        <v>21</v>
      </c>
      <c r="W44" s="711">
        <f t="shared" si="14"/>
        <v>100</v>
      </c>
      <c r="X44" s="712"/>
      <c r="Y44" s="348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570"/>
      <c r="Q45" s="1536">
        <f t="shared" si="11"/>
        <v>111</v>
      </c>
      <c r="R45" s="714" t="s">
        <v>21</v>
      </c>
      <c r="S45" s="715">
        <f t="shared" si="12"/>
        <v>100</v>
      </c>
      <c r="T45" s="714" t="s">
        <v>21</v>
      </c>
      <c r="U45" s="715">
        <f t="shared" si="13"/>
        <v>100</v>
      </c>
      <c r="V45" s="714" t="s">
        <v>21</v>
      </c>
      <c r="W45" s="715">
        <f t="shared" si="14"/>
        <v>100</v>
      </c>
      <c r="X45" s="1539"/>
      <c r="Y45" s="348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571"/>
      <c r="Q46" s="1536">
        <f t="shared" si="11"/>
        <v>111</v>
      </c>
      <c r="R46" s="714" t="s">
        <v>20</v>
      </c>
      <c r="S46" s="715">
        <f t="shared" si="12"/>
        <v>100</v>
      </c>
      <c r="T46" s="714" t="s">
        <v>20</v>
      </c>
      <c r="U46" s="715">
        <f t="shared" si="13"/>
        <v>100</v>
      </c>
      <c r="V46" s="714" t="s">
        <v>20</v>
      </c>
      <c r="W46" s="715">
        <f t="shared" si="14"/>
        <v>100</v>
      </c>
      <c r="X46" s="1539"/>
      <c r="Y46" s="357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481" t="str">
        <f>A47</f>
        <v>成交单价（元/平方米）</v>
      </c>
      <c r="Q47" s="3481"/>
      <c r="R47" s="3568">
        <f>E47</f>
        <v>0</v>
      </c>
      <c r="S47" s="3568"/>
      <c r="T47" s="3568">
        <f>G47</f>
        <v>0</v>
      </c>
      <c r="U47" s="3568"/>
      <c r="V47" s="3568">
        <f>I47</f>
        <v>0</v>
      </c>
      <c r="W47" s="3568"/>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481" t="str">
        <f>A48</f>
        <v>比较价值（元/平方米）</v>
      </c>
      <c r="Q48" s="3481"/>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475" t="str">
        <f>A49</f>
        <v>估价对象XX用房的比较价值（楼面单价，元/平方米）</v>
      </c>
      <c r="Q49" s="3476"/>
      <c r="R49" s="3567" t="e">
        <f>IF(F1="售价",ROUND(IF(D48="简单平均",AVERAGE(R48:V48),R48*F48+T48*H48+V48*J48),0),ROUND(IF(D48="简单平均",AVERAGE(R48:V48),R48*F48+T48*H48+V48*J48),1))</f>
        <v>#DIV/0!</v>
      </c>
      <c r="S49" s="3567"/>
      <c r="T49" s="3567"/>
      <c r="U49" s="3567"/>
      <c r="V49" s="3567"/>
      <c r="W49" s="356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80197.850000000006</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478" t="s">
        <v>2467</v>
      </c>
      <c r="D4" s="3491"/>
      <c r="E4" s="3492" t="s">
        <v>2468</v>
      </c>
      <c r="F4" s="3493"/>
      <c r="G4" s="3478" t="s">
        <v>2469</v>
      </c>
      <c r="H4" s="3491"/>
      <c r="I4" s="3478" t="s">
        <v>2470</v>
      </c>
      <c r="J4" s="3491"/>
      <c r="K4" s="567" t="s">
        <v>2471</v>
      </c>
      <c r="L4" s="2944"/>
      <c r="M4" s="2945"/>
      <c r="N4" s="2945"/>
      <c r="O4" s="2945"/>
      <c r="P4" s="3494" t="s">
        <v>2472</v>
      </c>
      <c r="Q4" s="3495"/>
      <c r="R4" s="3500" t="s">
        <v>2468</v>
      </c>
      <c r="S4" s="3501"/>
      <c r="T4" s="3500" t="s">
        <v>2469</v>
      </c>
      <c r="U4" s="3501"/>
      <c r="V4" s="3487" t="s">
        <v>2470</v>
      </c>
      <c r="W4" s="3487"/>
      <c r="X4" s="1539"/>
      <c r="Y4" s="3500" t="s">
        <v>2472</v>
      </c>
      <c r="Z4" s="3501"/>
      <c r="AA4" s="3488" t="s">
        <v>2468</v>
      </c>
      <c r="AB4" s="3487" t="s">
        <v>2469</v>
      </c>
      <c r="AC4" s="3488" t="s">
        <v>2470</v>
      </c>
    </row>
    <row r="5" spans="1:29" ht="15">
      <c r="A5" s="364"/>
      <c r="B5" s="365"/>
      <c r="C5" s="3508" t="s">
        <v>2363</v>
      </c>
      <c r="D5" s="3509"/>
      <c r="E5" s="3515" t="s">
        <v>2364</v>
      </c>
      <c r="F5" s="3516"/>
      <c r="G5" s="3508" t="s">
        <v>2365</v>
      </c>
      <c r="H5" s="3509"/>
      <c r="I5" s="3508" t="s">
        <v>2366</v>
      </c>
      <c r="J5" s="3509"/>
      <c r="K5" s="567"/>
      <c r="L5" s="2944"/>
      <c r="M5" s="2945"/>
      <c r="N5" s="2945"/>
      <c r="O5" s="2945"/>
      <c r="P5" s="3496"/>
      <c r="Q5" s="3497"/>
      <c r="R5" s="3502"/>
      <c r="S5" s="3503"/>
      <c r="T5" s="3502"/>
      <c r="U5" s="3503"/>
      <c r="V5" s="3487"/>
      <c r="W5" s="3487"/>
      <c r="X5" s="1539"/>
      <c r="Y5" s="3502"/>
      <c r="Z5" s="3503"/>
      <c r="AA5" s="3489"/>
      <c r="AB5" s="3487"/>
      <c r="AC5" s="3489"/>
    </row>
    <row r="6" spans="1:29" ht="15.75" thickBot="1">
      <c r="A6" s="366"/>
      <c r="B6" s="367"/>
      <c r="C6" s="3506" t="s">
        <v>2367</v>
      </c>
      <c r="D6" s="3507"/>
      <c r="E6" s="3513" t="s">
        <v>2367</v>
      </c>
      <c r="F6" s="3514"/>
      <c r="G6" s="3506" t="s">
        <v>2367</v>
      </c>
      <c r="H6" s="3507"/>
      <c r="I6" s="3506" t="s">
        <v>2367</v>
      </c>
      <c r="J6" s="3507"/>
      <c r="K6" s="567" t="s">
        <v>2368</v>
      </c>
      <c r="L6" s="2944"/>
      <c r="M6" s="2945"/>
      <c r="N6" s="2945"/>
      <c r="O6" s="2945"/>
      <c r="P6" s="3498"/>
      <c r="Q6" s="3499"/>
      <c r="R6" s="3502"/>
      <c r="S6" s="3503"/>
      <c r="T6" s="3504"/>
      <c r="U6" s="3505"/>
      <c r="V6" s="3487"/>
      <c r="W6" s="3487"/>
      <c r="X6" s="1539"/>
      <c r="Y6" s="3504"/>
      <c r="Z6" s="3505"/>
      <c r="AA6" s="3490"/>
      <c r="AB6" s="3487"/>
      <c r="AC6" s="3490"/>
    </row>
    <row r="7" spans="1:29" s="113" customFormat="1" ht="15.75" thickBot="1">
      <c r="A7" s="368" t="s">
        <v>2369</v>
      </c>
      <c r="B7" s="369"/>
      <c r="C7" s="370">
        <f>'数据-取费表'!B2</f>
        <v>44548</v>
      </c>
      <c r="D7" s="371">
        <v>100</v>
      </c>
      <c r="E7" s="372"/>
      <c r="F7" s="373">
        <f>SUMIF(58:58,YEAR(E7)&amp;"-"&amp;MONTH(E7),59:59)</f>
        <v>0</v>
      </c>
      <c r="G7" s="372"/>
      <c r="H7" s="371">
        <f>SUMIF(58:58,YEAR(G7)&amp;"-"&amp;MONTH(G7),59:59)</f>
        <v>0</v>
      </c>
      <c r="I7" s="372"/>
      <c r="J7" s="371">
        <f>SUMIF(58:58,YEAR(I7)&amp;"-"&amp;MONTH(I7),59:59)</f>
        <v>0</v>
      </c>
      <c r="K7" s="568"/>
      <c r="L7" s="2946"/>
      <c r="M7" s="2947"/>
      <c r="N7" s="2947"/>
      <c r="O7" s="2947"/>
      <c r="P7" s="3510" t="s">
        <v>2370</v>
      </c>
      <c r="Q7" s="3512"/>
      <c r="R7" s="710" t="s">
        <v>17</v>
      </c>
      <c r="S7" s="711">
        <f t="shared" ref="S7:S15" si="0">F7</f>
        <v>0</v>
      </c>
      <c r="T7" s="710" t="s">
        <v>17</v>
      </c>
      <c r="U7" s="711">
        <f t="shared" ref="U7:U15" si="1">H7</f>
        <v>0</v>
      </c>
      <c r="V7" s="710" t="s">
        <v>17</v>
      </c>
      <c r="W7" s="711">
        <f t="shared" ref="W7:W15" si="2">J7</f>
        <v>0</v>
      </c>
      <c r="X7" s="712"/>
      <c r="Y7" s="3510" t="s">
        <v>2370</v>
      </c>
      <c r="Z7" s="351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510" t="s">
        <v>2373</v>
      </c>
      <c r="Q8" s="3511"/>
      <c r="R8" s="710" t="s">
        <v>17</v>
      </c>
      <c r="S8" s="711">
        <f t="shared" si="0"/>
        <v>0</v>
      </c>
      <c r="T8" s="710" t="s">
        <v>17</v>
      </c>
      <c r="U8" s="711">
        <f t="shared" si="1"/>
        <v>0</v>
      </c>
      <c r="V8" s="710" t="s">
        <v>17</v>
      </c>
      <c r="W8" s="711">
        <f t="shared" si="2"/>
        <v>0</v>
      </c>
      <c r="X8" s="712"/>
      <c r="Y8" s="3510" t="s">
        <v>2373</v>
      </c>
      <c r="Z8" s="351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80" t="s">
        <v>2376</v>
      </c>
      <c r="Q9" s="1527" t="str">
        <f t="shared" ref="Q9:Q15" si="6">B9</f>
        <v>用途</v>
      </c>
      <c r="R9" s="710" t="s">
        <v>17</v>
      </c>
      <c r="S9" s="711">
        <f t="shared" si="0"/>
        <v>100</v>
      </c>
      <c r="T9" s="710" t="s">
        <v>17</v>
      </c>
      <c r="U9" s="711">
        <f t="shared" si="1"/>
        <v>100</v>
      </c>
      <c r="V9" s="710" t="s">
        <v>17</v>
      </c>
      <c r="W9" s="711">
        <f t="shared" si="2"/>
        <v>100</v>
      </c>
      <c r="X9" s="712"/>
      <c r="Y9" s="33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80"/>
      <c r="Q10" s="152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80"/>
      <c r="Q11" s="152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80"/>
      <c r="Q12" s="152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80"/>
      <c r="Q13" s="152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80"/>
      <c r="Q14" s="152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573" t="s">
        <v>2381</v>
      </c>
      <c r="Q15" s="1536" t="str">
        <f t="shared" si="6"/>
        <v>商业繁华度</v>
      </c>
      <c r="R15" s="714" t="s">
        <v>17</v>
      </c>
      <c r="S15" s="715">
        <f t="shared" si="0"/>
        <v>100</v>
      </c>
      <c r="T15" s="714" t="s">
        <v>17</v>
      </c>
      <c r="U15" s="715">
        <f t="shared" si="1"/>
        <v>100</v>
      </c>
      <c r="V15" s="714" t="s">
        <v>17</v>
      </c>
      <c r="W15" s="715">
        <f t="shared" si="2"/>
        <v>100</v>
      </c>
      <c r="X15" s="1539"/>
      <c r="Y15" s="348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574"/>
      <c r="Q16" s="1536"/>
      <c r="R16" s="714"/>
      <c r="S16" s="715"/>
      <c r="T16" s="714"/>
      <c r="U16" s="715"/>
      <c r="V16" s="714"/>
      <c r="W16" s="715"/>
      <c r="X16" s="1539"/>
      <c r="Y16" s="3484"/>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574"/>
      <c r="Q17" s="1536" t="str">
        <f>B17</f>
        <v>交通便捷度</v>
      </c>
      <c r="R17" s="714" t="s">
        <v>17</v>
      </c>
      <c r="S17" s="715">
        <f>F17</f>
        <v>100</v>
      </c>
      <c r="T17" s="714" t="s">
        <v>17</v>
      </c>
      <c r="U17" s="715">
        <f>H17</f>
        <v>100</v>
      </c>
      <c r="V17" s="714" t="s">
        <v>17</v>
      </c>
      <c r="W17" s="715">
        <f>J17</f>
        <v>100</v>
      </c>
      <c r="X17" s="1539"/>
      <c r="Y17" s="348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574"/>
      <c r="Q18" s="1536"/>
      <c r="R18" s="714"/>
      <c r="S18" s="715"/>
      <c r="T18" s="714"/>
      <c r="U18" s="715"/>
      <c r="V18" s="714"/>
      <c r="W18" s="715"/>
      <c r="X18" s="1539"/>
      <c r="Y18" s="3484"/>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574"/>
      <c r="Q19" s="1536" t="str">
        <f>B19</f>
        <v>公共配套设施</v>
      </c>
      <c r="R19" s="714" t="s">
        <v>17</v>
      </c>
      <c r="S19" s="715">
        <f>F19</f>
        <v>100</v>
      </c>
      <c r="T19" s="714" t="s">
        <v>17</v>
      </c>
      <c r="U19" s="715">
        <f>H19</f>
        <v>100</v>
      </c>
      <c r="V19" s="714" t="s">
        <v>17</v>
      </c>
      <c r="W19" s="715">
        <f>J19</f>
        <v>100</v>
      </c>
      <c r="X19" s="1539"/>
      <c r="Y19" s="348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574"/>
      <c r="Q20" s="1536"/>
      <c r="R20" s="714"/>
      <c r="S20" s="715"/>
      <c r="T20" s="714"/>
      <c r="U20" s="715"/>
      <c r="V20" s="714"/>
      <c r="W20" s="715"/>
      <c r="X20" s="1539"/>
      <c r="Y20" s="3484"/>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574"/>
      <c r="Q21" s="1536" t="str">
        <f>B21</f>
        <v>基础设施水平</v>
      </c>
      <c r="R21" s="714" t="s">
        <v>17</v>
      </c>
      <c r="S21" s="715">
        <f>F21</f>
        <v>100</v>
      </c>
      <c r="T21" s="714" t="s">
        <v>17</v>
      </c>
      <c r="U21" s="715">
        <f>H21</f>
        <v>100</v>
      </c>
      <c r="V21" s="714" t="s">
        <v>17</v>
      </c>
      <c r="W21" s="715">
        <f>J21</f>
        <v>100</v>
      </c>
      <c r="X21" s="1539"/>
      <c r="Y21" s="348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574"/>
      <c r="Q22" s="1536"/>
      <c r="R22" s="714"/>
      <c r="S22" s="715"/>
      <c r="T22" s="714"/>
      <c r="U22" s="715"/>
      <c r="V22" s="714"/>
      <c r="W22" s="715"/>
      <c r="X22" s="1539"/>
      <c r="Y22" s="3484"/>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574"/>
      <c r="Q23" s="1536" t="str">
        <f>B23</f>
        <v>自然及人文环境</v>
      </c>
      <c r="R23" s="714" t="s">
        <v>17</v>
      </c>
      <c r="S23" s="715">
        <f>F23</f>
        <v>100</v>
      </c>
      <c r="T23" s="714" t="s">
        <v>17</v>
      </c>
      <c r="U23" s="715">
        <f>H23</f>
        <v>100</v>
      </c>
      <c r="V23" s="714" t="s">
        <v>17</v>
      </c>
      <c r="W23" s="715">
        <f>J23</f>
        <v>100</v>
      </c>
      <c r="X23" s="1539"/>
      <c r="Y23" s="348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574"/>
      <c r="Q24" s="1536"/>
      <c r="R24" s="714"/>
      <c r="S24" s="715"/>
      <c r="T24" s="714"/>
      <c r="U24" s="715"/>
      <c r="V24" s="714"/>
      <c r="W24" s="715"/>
      <c r="X24" s="1539"/>
      <c r="Y24" s="348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574"/>
      <c r="Q25" s="1536" t="str">
        <f t="shared" ref="Q25:Q46" si="11">B25</f>
        <v>临街状况</v>
      </c>
      <c r="R25" s="714" t="s">
        <v>17</v>
      </c>
      <c r="S25" s="715">
        <f>F25</f>
        <v>100</v>
      </c>
      <c r="T25" s="714" t="s">
        <v>17</v>
      </c>
      <c r="U25" s="715">
        <f>H25</f>
        <v>100</v>
      </c>
      <c r="V25" s="714" t="s">
        <v>17</v>
      </c>
      <c r="W25" s="715">
        <f>J25</f>
        <v>100</v>
      </c>
      <c r="X25" s="1539"/>
      <c r="Y25" s="348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574"/>
      <c r="Q26" s="1536" t="str">
        <f t="shared" si="11"/>
        <v>平面位置/可视性</v>
      </c>
      <c r="R26" s="714" t="s">
        <v>17</v>
      </c>
      <c r="S26" s="715">
        <f>F26</f>
        <v>100</v>
      </c>
      <c r="T26" s="714" t="s">
        <v>17</v>
      </c>
      <c r="U26" s="715">
        <f>H26</f>
        <v>100</v>
      </c>
      <c r="V26" s="714" t="s">
        <v>17</v>
      </c>
      <c r="W26" s="715">
        <f>J26</f>
        <v>100</v>
      </c>
      <c r="X26" s="1539"/>
      <c r="Y26" s="348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574"/>
      <c r="Q27" s="1527" t="str">
        <f t="shared" si="11"/>
        <v>人流量</v>
      </c>
      <c r="R27" s="710" t="s">
        <v>17</v>
      </c>
      <c r="S27" s="711">
        <f>F27</f>
        <v>100</v>
      </c>
      <c r="T27" s="710" t="s">
        <v>17</v>
      </c>
      <c r="U27" s="711">
        <f>H27</f>
        <v>100</v>
      </c>
      <c r="V27" s="710" t="s">
        <v>17</v>
      </c>
      <c r="W27" s="711">
        <f>J27</f>
        <v>100</v>
      </c>
      <c r="X27" s="712"/>
      <c r="Y27" s="348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57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8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574"/>
      <c r="Q29" s="1536">
        <f t="shared" si="11"/>
        <v>111</v>
      </c>
      <c r="R29" s="714" t="s">
        <v>17</v>
      </c>
      <c r="S29" s="715">
        <f t="shared" si="12"/>
        <v>100</v>
      </c>
      <c r="T29" s="714" t="s">
        <v>17</v>
      </c>
      <c r="U29" s="715">
        <f t="shared" si="13"/>
        <v>100</v>
      </c>
      <c r="V29" s="714" t="s">
        <v>17</v>
      </c>
      <c r="W29" s="715">
        <f t="shared" si="14"/>
        <v>100</v>
      </c>
      <c r="X29" s="1539"/>
      <c r="Y29" s="348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574"/>
      <c r="Q30" s="1536">
        <f t="shared" si="11"/>
        <v>111</v>
      </c>
      <c r="R30" s="714" t="s">
        <v>17</v>
      </c>
      <c r="S30" s="715">
        <f t="shared" si="12"/>
        <v>100</v>
      </c>
      <c r="T30" s="714" t="s">
        <v>17</v>
      </c>
      <c r="U30" s="715">
        <f t="shared" si="13"/>
        <v>100</v>
      </c>
      <c r="V30" s="714" t="s">
        <v>17</v>
      </c>
      <c r="W30" s="715">
        <f t="shared" si="14"/>
        <v>100</v>
      </c>
      <c r="X30" s="1539"/>
      <c r="Y30" s="348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574"/>
      <c r="Q31" s="1536">
        <f t="shared" si="11"/>
        <v>111</v>
      </c>
      <c r="R31" s="714" t="s">
        <v>17</v>
      </c>
      <c r="S31" s="715">
        <f t="shared" si="12"/>
        <v>100</v>
      </c>
      <c r="T31" s="714" t="s">
        <v>17</v>
      </c>
      <c r="U31" s="715">
        <f t="shared" si="13"/>
        <v>100</v>
      </c>
      <c r="V31" s="714" t="s">
        <v>17</v>
      </c>
      <c r="W31" s="715">
        <f t="shared" si="14"/>
        <v>100</v>
      </c>
      <c r="X31" s="1539"/>
      <c r="Y31" s="348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569" t="s">
        <v>2386</v>
      </c>
      <c r="Q32" s="1536" t="str">
        <f t="shared" si="11"/>
        <v>商业类型</v>
      </c>
      <c r="R32" s="714" t="s">
        <v>17</v>
      </c>
      <c r="S32" s="715">
        <f t="shared" si="12"/>
        <v>100</v>
      </c>
      <c r="T32" s="714" t="s">
        <v>17</v>
      </c>
      <c r="U32" s="715">
        <f t="shared" si="13"/>
        <v>100</v>
      </c>
      <c r="V32" s="714" t="s">
        <v>17</v>
      </c>
      <c r="W32" s="715">
        <f t="shared" si="14"/>
        <v>100</v>
      </c>
      <c r="X32" s="1539"/>
      <c r="Y32" s="3486"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570"/>
      <c r="Q33" s="716" t="str">
        <f t="shared" si="11"/>
        <v>项目建筑规模</v>
      </c>
      <c r="R33" s="717" t="s">
        <v>17</v>
      </c>
      <c r="S33" s="718" t="e">
        <f t="shared" si="12"/>
        <v>#N/A</v>
      </c>
      <c r="T33" s="717" t="s">
        <v>17</v>
      </c>
      <c r="U33" s="718" t="e">
        <f t="shared" si="13"/>
        <v>#N/A</v>
      </c>
      <c r="V33" s="717" t="s">
        <v>17</v>
      </c>
      <c r="W33" s="718" t="e">
        <f t="shared" si="14"/>
        <v>#N/A</v>
      </c>
      <c r="X33" s="719"/>
      <c r="Y33" s="3486"/>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570"/>
      <c r="Q34" s="1536" t="str">
        <f t="shared" si="11"/>
        <v>建筑结构</v>
      </c>
      <c r="R34" s="714" t="s">
        <v>17</v>
      </c>
      <c r="S34" s="715">
        <f t="shared" si="12"/>
        <v>100</v>
      </c>
      <c r="T34" s="714" t="s">
        <v>17</v>
      </c>
      <c r="U34" s="715">
        <f t="shared" si="13"/>
        <v>100</v>
      </c>
      <c r="V34" s="714" t="s">
        <v>17</v>
      </c>
      <c r="W34" s="715">
        <f t="shared" si="14"/>
        <v>100</v>
      </c>
      <c r="X34" s="1539"/>
      <c r="Y34" s="3486"/>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570"/>
      <c r="Q35" s="1536" t="str">
        <f t="shared" si="11"/>
        <v>公共部分装修</v>
      </c>
      <c r="R35" s="714" t="s">
        <v>17</v>
      </c>
      <c r="S35" s="715">
        <f t="shared" si="12"/>
        <v>100</v>
      </c>
      <c r="T35" s="714" t="s">
        <v>17</v>
      </c>
      <c r="U35" s="715">
        <f t="shared" si="13"/>
        <v>100</v>
      </c>
      <c r="V35" s="714" t="s">
        <v>17</v>
      </c>
      <c r="W35" s="715">
        <f t="shared" si="14"/>
        <v>100</v>
      </c>
      <c r="X35" s="1539"/>
      <c r="Y35" s="3486"/>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570"/>
      <c r="Q36" s="1536" t="str">
        <f t="shared" si="11"/>
        <v>成新度</v>
      </c>
      <c r="R36" s="714" t="s">
        <v>17</v>
      </c>
      <c r="S36" s="715" t="e">
        <f t="shared" si="12"/>
        <v>#N/A</v>
      </c>
      <c r="T36" s="714" t="s">
        <v>17</v>
      </c>
      <c r="U36" s="715" t="e">
        <f t="shared" si="13"/>
        <v>#N/A</v>
      </c>
      <c r="V36" s="714" t="s">
        <v>17</v>
      </c>
      <c r="W36" s="715" t="e">
        <f t="shared" si="14"/>
        <v>#N/A</v>
      </c>
      <c r="X36" s="1539"/>
      <c r="Y36" s="3486"/>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570"/>
      <c r="Q37" s="1527" t="str">
        <f t="shared" si="11"/>
        <v>市政基础设施</v>
      </c>
      <c r="R37" s="710" t="s">
        <v>17</v>
      </c>
      <c r="S37" s="711">
        <f t="shared" si="12"/>
        <v>100</v>
      </c>
      <c r="T37" s="710" t="s">
        <v>17</v>
      </c>
      <c r="U37" s="711">
        <f t="shared" si="13"/>
        <v>100</v>
      </c>
      <c r="V37" s="710" t="s">
        <v>17</v>
      </c>
      <c r="W37" s="711">
        <f t="shared" si="14"/>
        <v>100</v>
      </c>
      <c r="X37" s="712"/>
      <c r="Y37" s="3486"/>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570" t="s">
        <v>2386</v>
      </c>
      <c r="Q38" s="1536" t="str">
        <f t="shared" si="11"/>
        <v>业态</v>
      </c>
      <c r="R38" s="714" t="s">
        <v>17</v>
      </c>
      <c r="S38" s="715">
        <f t="shared" si="12"/>
        <v>100</v>
      </c>
      <c r="T38" s="714" t="s">
        <v>17</v>
      </c>
      <c r="U38" s="715">
        <f t="shared" si="13"/>
        <v>100</v>
      </c>
      <c r="V38" s="714" t="s">
        <v>17</v>
      </c>
      <c r="W38" s="715">
        <f t="shared" si="14"/>
        <v>100</v>
      </c>
      <c r="X38" s="1539"/>
      <c r="Y38" s="3486"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570"/>
      <c r="Q39" s="1536" t="str">
        <f t="shared" si="11"/>
        <v>层高</v>
      </c>
      <c r="R39" s="714" t="s">
        <v>17</v>
      </c>
      <c r="S39" s="715">
        <f t="shared" si="12"/>
        <v>100</v>
      </c>
      <c r="T39" s="714" t="s">
        <v>17</v>
      </c>
      <c r="U39" s="715">
        <f t="shared" si="13"/>
        <v>100</v>
      </c>
      <c r="V39" s="714" t="s">
        <v>17</v>
      </c>
      <c r="W39" s="715">
        <f t="shared" si="14"/>
        <v>100</v>
      </c>
      <c r="X39" s="1539"/>
      <c r="Y39" s="3486"/>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570"/>
      <c r="Q40" s="1536" t="str">
        <f t="shared" si="11"/>
        <v>单套建筑面积</v>
      </c>
      <c r="R40" s="714" t="s">
        <v>17</v>
      </c>
      <c r="S40" s="715">
        <f t="shared" si="12"/>
        <v>100</v>
      </c>
      <c r="T40" s="714" t="s">
        <v>17</v>
      </c>
      <c r="U40" s="715">
        <f t="shared" si="13"/>
        <v>100</v>
      </c>
      <c r="V40" s="714" t="s">
        <v>17</v>
      </c>
      <c r="W40" s="715">
        <f t="shared" si="14"/>
        <v>100</v>
      </c>
      <c r="X40" s="1539"/>
      <c r="Y40" s="3486"/>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570"/>
      <c r="Q41" s="716" t="str">
        <f t="shared" si="11"/>
        <v>进深比</v>
      </c>
      <c r="R41" s="717" t="s">
        <v>17</v>
      </c>
      <c r="S41" s="718">
        <f t="shared" si="12"/>
        <v>100</v>
      </c>
      <c r="T41" s="717" t="s">
        <v>17</v>
      </c>
      <c r="U41" s="718">
        <f t="shared" si="13"/>
        <v>100</v>
      </c>
      <c r="V41" s="717" t="s">
        <v>17</v>
      </c>
      <c r="W41" s="718">
        <f t="shared" si="14"/>
        <v>100</v>
      </c>
      <c r="X41" s="719"/>
      <c r="Y41" s="3486"/>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570"/>
      <c r="Q42" s="1536" t="str">
        <f t="shared" si="11"/>
        <v>内部装修</v>
      </c>
      <c r="R42" s="714" t="s">
        <v>17</v>
      </c>
      <c r="S42" s="715">
        <f t="shared" si="12"/>
        <v>100</v>
      </c>
      <c r="T42" s="714" t="s">
        <v>17</v>
      </c>
      <c r="U42" s="715">
        <f t="shared" si="13"/>
        <v>100</v>
      </c>
      <c r="V42" s="714" t="s">
        <v>17</v>
      </c>
      <c r="W42" s="715">
        <f t="shared" si="14"/>
        <v>100</v>
      </c>
      <c r="X42" s="1539"/>
      <c r="Y42" s="3486"/>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570"/>
      <c r="Q43" s="1536" t="str">
        <f t="shared" si="11"/>
        <v>内部装修维护情况</v>
      </c>
      <c r="R43" s="714" t="s">
        <v>17</v>
      </c>
      <c r="S43" s="715">
        <f t="shared" si="12"/>
        <v>100</v>
      </c>
      <c r="T43" s="714" t="s">
        <v>17</v>
      </c>
      <c r="U43" s="715">
        <f t="shared" si="13"/>
        <v>100</v>
      </c>
      <c r="V43" s="714" t="s">
        <v>17</v>
      </c>
      <c r="W43" s="715">
        <f t="shared" si="14"/>
        <v>100</v>
      </c>
      <c r="X43" s="1539"/>
      <c r="Y43" s="348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570"/>
      <c r="Q44" s="1527">
        <f t="shared" si="11"/>
        <v>111</v>
      </c>
      <c r="R44" s="710" t="s">
        <v>17</v>
      </c>
      <c r="S44" s="711">
        <f t="shared" si="12"/>
        <v>100</v>
      </c>
      <c r="T44" s="710" t="s">
        <v>17</v>
      </c>
      <c r="U44" s="711">
        <f t="shared" si="13"/>
        <v>100</v>
      </c>
      <c r="V44" s="710" t="s">
        <v>17</v>
      </c>
      <c r="W44" s="711">
        <f t="shared" si="14"/>
        <v>100</v>
      </c>
      <c r="X44" s="712"/>
      <c r="Y44" s="348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570"/>
      <c r="Q45" s="1536">
        <f t="shared" si="11"/>
        <v>111</v>
      </c>
      <c r="R45" s="714" t="s">
        <v>17</v>
      </c>
      <c r="S45" s="715">
        <f t="shared" si="12"/>
        <v>100</v>
      </c>
      <c r="T45" s="714" t="s">
        <v>17</v>
      </c>
      <c r="U45" s="715">
        <f t="shared" si="13"/>
        <v>100</v>
      </c>
      <c r="V45" s="714" t="s">
        <v>17</v>
      </c>
      <c r="W45" s="715">
        <f t="shared" si="14"/>
        <v>100</v>
      </c>
      <c r="X45" s="1539"/>
      <c r="Y45" s="348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571"/>
      <c r="Q46" s="1536">
        <f t="shared" si="11"/>
        <v>111</v>
      </c>
      <c r="R46" s="714" t="s">
        <v>17</v>
      </c>
      <c r="S46" s="715">
        <f t="shared" si="12"/>
        <v>100</v>
      </c>
      <c r="T46" s="714" t="s">
        <v>17</v>
      </c>
      <c r="U46" s="715">
        <f t="shared" si="13"/>
        <v>100</v>
      </c>
      <c r="V46" s="714" t="s">
        <v>17</v>
      </c>
      <c r="W46" s="715">
        <f t="shared" si="14"/>
        <v>100</v>
      </c>
      <c r="X46" s="1539"/>
      <c r="Y46" s="357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481" t="str">
        <f>A47</f>
        <v>成交单价（元/平方米）</v>
      </c>
      <c r="Q47" s="3481"/>
      <c r="R47" s="3487">
        <f>E47</f>
        <v>0</v>
      </c>
      <c r="S47" s="3487"/>
      <c r="T47" s="3487">
        <f>G47</f>
        <v>0</v>
      </c>
      <c r="U47" s="3487"/>
      <c r="V47" s="3487">
        <f>I47</f>
        <v>0</v>
      </c>
      <c r="W47" s="3487"/>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481" t="str">
        <f>A48</f>
        <v>比较价值（元/平方米）</v>
      </c>
      <c r="Q48" s="3481"/>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475" t="str">
        <f>A49</f>
        <v>估价对象XX用房的比较价值（楼面单价，元/平方米）</v>
      </c>
      <c r="Q49" s="3476"/>
      <c r="R49" s="3567" t="e">
        <f>IF(F1="售价",ROUND(IF(D48="简单平均",AVERAGE(R48:V48),R48*F48+T48*H48+V48*J48),0),ROUND(IF(D48="简单平均",AVERAGE(R48:V48),R48*F48+T48*H48+V48*J48),1))</f>
        <v>#DIV/0!</v>
      </c>
      <c r="S49" s="3567"/>
      <c r="T49" s="3567"/>
      <c r="U49" s="3567"/>
      <c r="V49" s="3567"/>
      <c r="W49" s="356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80197.850000000006</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78" t="s">
        <v>2467</v>
      </c>
      <c r="D4" s="3491"/>
      <c r="E4" s="3492" t="s">
        <v>2468</v>
      </c>
      <c r="F4" s="3493"/>
      <c r="G4" s="3478" t="s">
        <v>2469</v>
      </c>
      <c r="H4" s="3491"/>
      <c r="I4" s="3478" t="s">
        <v>2470</v>
      </c>
      <c r="J4" s="3491"/>
      <c r="K4" s="567" t="s">
        <v>2471</v>
      </c>
      <c r="L4" s="2944"/>
      <c r="M4" s="2945"/>
      <c r="N4" s="2945"/>
      <c r="O4" s="2945"/>
      <c r="P4" s="3581" t="s">
        <v>2472</v>
      </c>
      <c r="Q4" s="3582"/>
      <c r="R4" s="3585" t="s">
        <v>2468</v>
      </c>
      <c r="S4" s="3586"/>
      <c r="T4" s="3585" t="s">
        <v>2469</v>
      </c>
      <c r="U4" s="3586"/>
      <c r="V4" s="3587" t="s">
        <v>2470</v>
      </c>
      <c r="W4" s="3587"/>
      <c r="X4" s="2144"/>
      <c r="Y4" s="3585" t="s">
        <v>2472</v>
      </c>
      <c r="Z4" s="3586"/>
      <c r="AA4" s="3589" t="s">
        <v>2468</v>
      </c>
      <c r="AB4" s="3589" t="s">
        <v>2469</v>
      </c>
      <c r="AC4" s="3578" t="s">
        <v>2470</v>
      </c>
    </row>
    <row r="5" spans="1:29" ht="15">
      <c r="A5" s="364"/>
      <c r="B5" s="365"/>
      <c r="C5" s="3508" t="s">
        <v>2363</v>
      </c>
      <c r="D5" s="3509"/>
      <c r="E5" s="3515" t="s">
        <v>2364</v>
      </c>
      <c r="F5" s="3516"/>
      <c r="G5" s="3508" t="s">
        <v>2365</v>
      </c>
      <c r="H5" s="3509"/>
      <c r="I5" s="3508" t="s">
        <v>2366</v>
      </c>
      <c r="J5" s="3509"/>
      <c r="K5" s="567"/>
      <c r="L5" s="2944"/>
      <c r="M5" s="2945"/>
      <c r="N5" s="2945"/>
      <c r="O5" s="2945"/>
      <c r="P5" s="3583"/>
      <c r="Q5" s="3497"/>
      <c r="R5" s="3502"/>
      <c r="S5" s="3503"/>
      <c r="T5" s="3502"/>
      <c r="U5" s="3503"/>
      <c r="V5" s="3487"/>
      <c r="W5" s="3487"/>
      <c r="X5" s="1539"/>
      <c r="Y5" s="3502"/>
      <c r="Z5" s="3503"/>
      <c r="AA5" s="3489"/>
      <c r="AB5" s="3489"/>
      <c r="AC5" s="3579"/>
    </row>
    <row r="6" spans="1:29" ht="15.75" thickBot="1">
      <c r="A6" s="366"/>
      <c r="B6" s="367"/>
      <c r="C6" s="3506" t="s">
        <v>2367</v>
      </c>
      <c r="D6" s="3507"/>
      <c r="E6" s="3513" t="s">
        <v>2367</v>
      </c>
      <c r="F6" s="3514"/>
      <c r="G6" s="3506" t="s">
        <v>2367</v>
      </c>
      <c r="H6" s="3507"/>
      <c r="I6" s="3506" t="s">
        <v>2367</v>
      </c>
      <c r="J6" s="3507"/>
      <c r="K6" s="567" t="s">
        <v>2368</v>
      </c>
      <c r="L6" s="2944"/>
      <c r="M6" s="2945"/>
      <c r="N6" s="2945"/>
      <c r="O6" s="2945"/>
      <c r="P6" s="3584"/>
      <c r="Q6" s="3499"/>
      <c r="R6" s="3502"/>
      <c r="S6" s="3503"/>
      <c r="T6" s="3504"/>
      <c r="U6" s="3505"/>
      <c r="V6" s="3487"/>
      <c r="W6" s="3487"/>
      <c r="X6" s="1539"/>
      <c r="Y6" s="3504"/>
      <c r="Z6" s="3505"/>
      <c r="AA6" s="3490"/>
      <c r="AB6" s="3490"/>
      <c r="AC6" s="3580"/>
    </row>
    <row r="7" spans="1:29" s="113" customFormat="1" ht="15.75" thickBot="1">
      <c r="A7" s="368" t="s">
        <v>2369</v>
      </c>
      <c r="B7" s="369"/>
      <c r="C7" s="370">
        <f>'数据-取费表'!B2</f>
        <v>44548</v>
      </c>
      <c r="D7" s="371">
        <v>100</v>
      </c>
      <c r="E7" s="372"/>
      <c r="F7" s="373">
        <f>SUMIF(59:59,YEAR(E7)&amp;"-"&amp;MONTH(E7),60:60)</f>
        <v>0</v>
      </c>
      <c r="G7" s="372"/>
      <c r="H7" s="371">
        <f>SUMIF(59:59,YEAR(G7)&amp;"-"&amp;MONTH(G7),60:60)</f>
        <v>0</v>
      </c>
      <c r="I7" s="372"/>
      <c r="J7" s="371">
        <f>SUMIF(59:59,YEAR(I7)&amp;"-"&amp;MONTH(I7),60:60)</f>
        <v>0</v>
      </c>
      <c r="K7" s="568"/>
      <c r="L7" s="2946"/>
      <c r="M7" s="2947"/>
      <c r="N7" s="2947"/>
      <c r="O7" s="2947"/>
      <c r="P7" s="3588" t="s">
        <v>2370</v>
      </c>
      <c r="Q7" s="3512"/>
      <c r="R7" s="710" t="s">
        <v>17</v>
      </c>
      <c r="S7" s="711">
        <f t="shared" ref="S7:S15" si="0">F7</f>
        <v>0</v>
      </c>
      <c r="T7" s="710" t="s">
        <v>17</v>
      </c>
      <c r="U7" s="711">
        <f t="shared" ref="U7:U15" si="1">H7</f>
        <v>0</v>
      </c>
      <c r="V7" s="710" t="s">
        <v>17</v>
      </c>
      <c r="W7" s="711">
        <f t="shared" ref="W7:W15" si="2">J7</f>
        <v>0</v>
      </c>
      <c r="X7" s="712"/>
      <c r="Y7" s="3510" t="s">
        <v>2370</v>
      </c>
      <c r="Z7" s="351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588" t="s">
        <v>2373</v>
      </c>
      <c r="Q8" s="3511"/>
      <c r="R8" s="710" t="s">
        <v>17</v>
      </c>
      <c r="S8" s="711">
        <f t="shared" si="0"/>
        <v>0</v>
      </c>
      <c r="T8" s="710" t="s">
        <v>17</v>
      </c>
      <c r="U8" s="711">
        <f t="shared" si="1"/>
        <v>0</v>
      </c>
      <c r="V8" s="710" t="s">
        <v>17</v>
      </c>
      <c r="W8" s="711">
        <f t="shared" si="2"/>
        <v>0</v>
      </c>
      <c r="X8" s="712"/>
      <c r="Y8" s="3510" t="s">
        <v>2373</v>
      </c>
      <c r="Z8" s="351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80" t="s">
        <v>2376</v>
      </c>
      <c r="Q9" s="1527" t="str">
        <f t="shared" ref="Q9:Q15" si="6">B9</f>
        <v>用途</v>
      </c>
      <c r="R9" s="710" t="s">
        <v>17</v>
      </c>
      <c r="S9" s="711">
        <f t="shared" si="0"/>
        <v>100</v>
      </c>
      <c r="T9" s="710" t="s">
        <v>17</v>
      </c>
      <c r="U9" s="711">
        <f t="shared" si="1"/>
        <v>100</v>
      </c>
      <c r="V9" s="710" t="s">
        <v>17</v>
      </c>
      <c r="W9" s="711">
        <f t="shared" si="2"/>
        <v>100</v>
      </c>
      <c r="X9" s="712"/>
      <c r="Y9" s="3375"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80"/>
      <c r="Q10" s="152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80"/>
      <c r="Q11" s="152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80"/>
      <c r="Q12" s="152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80"/>
      <c r="Q13" s="152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80"/>
      <c r="Q14" s="152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573" t="s">
        <v>2381</v>
      </c>
      <c r="Q15" s="1536" t="str">
        <f t="shared" si="6"/>
        <v>办公集聚程度</v>
      </c>
      <c r="R15" s="714" t="s">
        <v>17</v>
      </c>
      <c r="S15" s="715">
        <f t="shared" si="0"/>
        <v>100</v>
      </c>
      <c r="T15" s="714" t="s">
        <v>17</v>
      </c>
      <c r="U15" s="715">
        <f t="shared" si="1"/>
        <v>100</v>
      </c>
      <c r="V15" s="714" t="s">
        <v>17</v>
      </c>
      <c r="W15" s="715">
        <f t="shared" si="2"/>
        <v>100</v>
      </c>
      <c r="X15" s="1539"/>
      <c r="Y15" s="3483"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574"/>
      <c r="Q16" s="1536"/>
      <c r="R16" s="714"/>
      <c r="S16" s="715"/>
      <c r="T16" s="714"/>
      <c r="U16" s="715"/>
      <c r="V16" s="714"/>
      <c r="W16" s="715"/>
      <c r="X16" s="1539"/>
      <c r="Y16" s="3484"/>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574"/>
      <c r="Q17" s="1536" t="str">
        <f>B17</f>
        <v>交通便捷度</v>
      </c>
      <c r="R17" s="714" t="s">
        <v>17</v>
      </c>
      <c r="S17" s="715">
        <f>F17</f>
        <v>100</v>
      </c>
      <c r="T17" s="714" t="s">
        <v>17</v>
      </c>
      <c r="U17" s="715">
        <f>H17</f>
        <v>100</v>
      </c>
      <c r="V17" s="714" t="s">
        <v>17</v>
      </c>
      <c r="W17" s="715">
        <f>J17</f>
        <v>100</v>
      </c>
      <c r="X17" s="1539"/>
      <c r="Y17" s="348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574"/>
      <c r="Q18" s="1536"/>
      <c r="R18" s="714"/>
      <c r="S18" s="715"/>
      <c r="T18" s="714"/>
      <c r="U18" s="715"/>
      <c r="V18" s="714"/>
      <c r="W18" s="715"/>
      <c r="X18" s="1539"/>
      <c r="Y18" s="3484"/>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574"/>
      <c r="Q19" s="1536" t="str">
        <f>B19</f>
        <v>公共配套设施</v>
      </c>
      <c r="R19" s="714" t="s">
        <v>17</v>
      </c>
      <c r="S19" s="715">
        <f>F19</f>
        <v>100</v>
      </c>
      <c r="T19" s="714" t="s">
        <v>17</v>
      </c>
      <c r="U19" s="715">
        <f>H19</f>
        <v>100</v>
      </c>
      <c r="V19" s="714" t="s">
        <v>17</v>
      </c>
      <c r="W19" s="715">
        <f>J19</f>
        <v>100</v>
      </c>
      <c r="X19" s="1539"/>
      <c r="Y19" s="348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574"/>
      <c r="Q20" s="1536"/>
      <c r="R20" s="714"/>
      <c r="S20" s="715"/>
      <c r="T20" s="714"/>
      <c r="U20" s="715"/>
      <c r="V20" s="714"/>
      <c r="W20" s="715"/>
      <c r="X20" s="1539"/>
      <c r="Y20" s="3484"/>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574"/>
      <c r="Q21" s="1536" t="str">
        <f>B21</f>
        <v>基础设施水平</v>
      </c>
      <c r="R21" s="714" t="s">
        <v>17</v>
      </c>
      <c r="S21" s="715">
        <f>F21</f>
        <v>100</v>
      </c>
      <c r="T21" s="714" t="s">
        <v>17</v>
      </c>
      <c r="U21" s="715">
        <f>H21</f>
        <v>100</v>
      </c>
      <c r="V21" s="714" t="s">
        <v>17</v>
      </c>
      <c r="W21" s="715">
        <f>J21</f>
        <v>100</v>
      </c>
      <c r="X21" s="1539"/>
      <c r="Y21" s="348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574"/>
      <c r="Q22" s="1536"/>
      <c r="R22" s="714"/>
      <c r="S22" s="715"/>
      <c r="T22" s="714"/>
      <c r="U22" s="715"/>
      <c r="V22" s="714"/>
      <c r="W22" s="715"/>
      <c r="X22" s="1539"/>
      <c r="Y22" s="3484"/>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574"/>
      <c r="Q23" s="1536" t="str">
        <f>B23</f>
        <v>环境质量</v>
      </c>
      <c r="R23" s="714" t="s">
        <v>17</v>
      </c>
      <c r="S23" s="715">
        <f>F23</f>
        <v>100</v>
      </c>
      <c r="T23" s="714" t="s">
        <v>17</v>
      </c>
      <c r="U23" s="715">
        <f>H23</f>
        <v>100</v>
      </c>
      <c r="V23" s="714" t="s">
        <v>17</v>
      </c>
      <c r="W23" s="715">
        <f>J23</f>
        <v>100</v>
      </c>
      <c r="X23" s="1539"/>
      <c r="Y23" s="348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574"/>
      <c r="Q24" s="1536"/>
      <c r="R24" s="714"/>
      <c r="S24" s="715"/>
      <c r="T24" s="714"/>
      <c r="U24" s="715"/>
      <c r="V24" s="714"/>
      <c r="W24" s="715"/>
      <c r="X24" s="1539"/>
      <c r="Y24" s="3484"/>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574"/>
      <c r="Q25" s="1536" t="str">
        <f>B25</f>
        <v>毗邻道路的类型与等级</v>
      </c>
      <c r="R25" s="714" t="s">
        <v>17</v>
      </c>
      <c r="S25" s="715">
        <f>F25</f>
        <v>100</v>
      </c>
      <c r="T25" s="714" t="s">
        <v>17</v>
      </c>
      <c r="U25" s="715">
        <f>H25</f>
        <v>100</v>
      </c>
      <c r="V25" s="714" t="s">
        <v>17</v>
      </c>
      <c r="W25" s="715">
        <f>J25</f>
        <v>100</v>
      </c>
      <c r="X25" s="1539"/>
      <c r="Y25" s="348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574"/>
      <c r="Q26" s="1536"/>
      <c r="R26" s="714"/>
      <c r="S26" s="715"/>
      <c r="T26" s="714"/>
      <c r="U26" s="715"/>
      <c r="V26" s="714"/>
      <c r="W26" s="715"/>
      <c r="X26" s="1539"/>
      <c r="Y26" s="348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574"/>
      <c r="Q27" s="1536" t="str">
        <f t="shared" ref="Q27:Q47" si="11">B27</f>
        <v>楼层</v>
      </c>
      <c r="R27" s="714" t="s">
        <v>17</v>
      </c>
      <c r="S27" s="715">
        <f>F27</f>
        <v>100</v>
      </c>
      <c r="T27" s="714" t="s">
        <v>17</v>
      </c>
      <c r="U27" s="715">
        <f>H27</f>
        <v>100</v>
      </c>
      <c r="V27" s="714" t="s">
        <v>17</v>
      </c>
      <c r="W27" s="715">
        <f>J27</f>
        <v>100</v>
      </c>
      <c r="X27" s="1539"/>
      <c r="Y27" s="348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574"/>
      <c r="Q28" s="1527" t="str">
        <f t="shared" si="11"/>
        <v>朝向</v>
      </c>
      <c r="R28" s="710" t="s">
        <v>17</v>
      </c>
      <c r="S28" s="711">
        <f>F28</f>
        <v>100</v>
      </c>
      <c r="T28" s="710" t="s">
        <v>17</v>
      </c>
      <c r="U28" s="711">
        <f>H28</f>
        <v>100</v>
      </c>
      <c r="V28" s="710" t="s">
        <v>17</v>
      </c>
      <c r="W28" s="711">
        <f>J28</f>
        <v>100</v>
      </c>
      <c r="X28" s="712"/>
      <c r="Y28" s="348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574"/>
      <c r="Q29" s="1536">
        <f t="shared" si="11"/>
        <v>111</v>
      </c>
      <c r="R29" s="714" t="s">
        <v>17</v>
      </c>
      <c r="S29" s="715">
        <f t="shared" ref="S29:S47" si="12">F29</f>
        <v>100</v>
      </c>
      <c r="T29" s="714" t="s">
        <v>17</v>
      </c>
      <c r="U29" s="715">
        <f t="shared" ref="U29:U47" si="13">H29</f>
        <v>100</v>
      </c>
      <c r="V29" s="714" t="s">
        <v>17</v>
      </c>
      <c r="W29" s="715">
        <f t="shared" ref="W29:W47" si="14">J29</f>
        <v>100</v>
      </c>
      <c r="X29" s="1539"/>
      <c r="Y29" s="348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574"/>
      <c r="Q30" s="1536">
        <f t="shared" si="11"/>
        <v>111</v>
      </c>
      <c r="R30" s="714" t="s">
        <v>17</v>
      </c>
      <c r="S30" s="715">
        <f t="shared" si="12"/>
        <v>100</v>
      </c>
      <c r="T30" s="714" t="s">
        <v>17</v>
      </c>
      <c r="U30" s="715">
        <f t="shared" si="13"/>
        <v>100</v>
      </c>
      <c r="V30" s="714" t="s">
        <v>17</v>
      </c>
      <c r="W30" s="715">
        <f t="shared" si="14"/>
        <v>100</v>
      </c>
      <c r="X30" s="1539"/>
      <c r="Y30" s="348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574"/>
      <c r="Q31" s="1536">
        <f t="shared" si="11"/>
        <v>111</v>
      </c>
      <c r="R31" s="714" t="s">
        <v>17</v>
      </c>
      <c r="S31" s="715">
        <f t="shared" si="12"/>
        <v>100</v>
      </c>
      <c r="T31" s="714" t="s">
        <v>17</v>
      </c>
      <c r="U31" s="715">
        <f t="shared" si="13"/>
        <v>100</v>
      </c>
      <c r="V31" s="714" t="s">
        <v>17</v>
      </c>
      <c r="W31" s="715">
        <f t="shared" si="14"/>
        <v>100</v>
      </c>
      <c r="X31" s="1539"/>
      <c r="Y31" s="348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574"/>
      <c r="Q32" s="1536">
        <f t="shared" si="11"/>
        <v>111</v>
      </c>
      <c r="R32" s="714" t="s">
        <v>17</v>
      </c>
      <c r="S32" s="715">
        <f t="shared" si="12"/>
        <v>100</v>
      </c>
      <c r="T32" s="714" t="s">
        <v>17</v>
      </c>
      <c r="U32" s="715">
        <f t="shared" si="13"/>
        <v>100</v>
      </c>
      <c r="V32" s="714" t="s">
        <v>17</v>
      </c>
      <c r="W32" s="715">
        <f t="shared" si="14"/>
        <v>100</v>
      </c>
      <c r="X32" s="1539"/>
      <c r="Y32" s="3484"/>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569" t="s">
        <v>2386</v>
      </c>
      <c r="Q33" s="1536" t="str">
        <f t="shared" si="11"/>
        <v>建筑类型</v>
      </c>
      <c r="R33" s="714" t="s">
        <v>17</v>
      </c>
      <c r="S33" s="715">
        <f t="shared" si="12"/>
        <v>100</v>
      </c>
      <c r="T33" s="714" t="s">
        <v>17</v>
      </c>
      <c r="U33" s="715">
        <f t="shared" si="13"/>
        <v>100</v>
      </c>
      <c r="V33" s="714" t="s">
        <v>17</v>
      </c>
      <c r="W33" s="715">
        <f t="shared" si="14"/>
        <v>100</v>
      </c>
      <c r="X33" s="1539"/>
      <c r="Y33" s="3486"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570"/>
      <c r="Q34" s="716" t="str">
        <f t="shared" si="11"/>
        <v>项目建筑规模</v>
      </c>
      <c r="R34" s="717" t="s">
        <v>17</v>
      </c>
      <c r="S34" s="718" t="e">
        <f t="shared" si="12"/>
        <v>#N/A</v>
      </c>
      <c r="T34" s="717" t="s">
        <v>17</v>
      </c>
      <c r="U34" s="718" t="e">
        <f t="shared" si="13"/>
        <v>#N/A</v>
      </c>
      <c r="V34" s="717" t="s">
        <v>17</v>
      </c>
      <c r="W34" s="718" t="e">
        <f t="shared" si="14"/>
        <v>#N/A</v>
      </c>
      <c r="X34" s="719"/>
      <c r="Y34" s="3486"/>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570"/>
      <c r="Q35" s="1536" t="str">
        <f t="shared" si="11"/>
        <v>建筑结构</v>
      </c>
      <c r="R35" s="714" t="s">
        <v>17</v>
      </c>
      <c r="S35" s="715">
        <f t="shared" si="12"/>
        <v>100</v>
      </c>
      <c r="T35" s="714" t="s">
        <v>17</v>
      </c>
      <c r="U35" s="715">
        <f t="shared" si="13"/>
        <v>100</v>
      </c>
      <c r="V35" s="714" t="s">
        <v>17</v>
      </c>
      <c r="W35" s="715">
        <f t="shared" si="14"/>
        <v>100</v>
      </c>
      <c r="X35" s="1539"/>
      <c r="Y35" s="3486"/>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570"/>
      <c r="Q36" s="1536" t="str">
        <f t="shared" si="11"/>
        <v>公共部分装修</v>
      </c>
      <c r="R36" s="714" t="s">
        <v>17</v>
      </c>
      <c r="S36" s="715">
        <f t="shared" si="12"/>
        <v>100</v>
      </c>
      <c r="T36" s="714" t="s">
        <v>17</v>
      </c>
      <c r="U36" s="715">
        <f t="shared" si="13"/>
        <v>100</v>
      </c>
      <c r="V36" s="714" t="s">
        <v>17</v>
      </c>
      <c r="W36" s="715">
        <f t="shared" si="14"/>
        <v>100</v>
      </c>
      <c r="X36" s="1539"/>
      <c r="Y36" s="3486"/>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570"/>
      <c r="Q37" s="1536" t="str">
        <f t="shared" si="11"/>
        <v>成新度</v>
      </c>
      <c r="R37" s="714" t="s">
        <v>17</v>
      </c>
      <c r="S37" s="715" t="e">
        <f t="shared" si="12"/>
        <v>#N/A</v>
      </c>
      <c r="T37" s="714" t="s">
        <v>17</v>
      </c>
      <c r="U37" s="715" t="e">
        <f t="shared" si="13"/>
        <v>#N/A</v>
      </c>
      <c r="V37" s="714" t="s">
        <v>17</v>
      </c>
      <c r="W37" s="715" t="e">
        <f t="shared" si="14"/>
        <v>#N/A</v>
      </c>
      <c r="X37" s="1539"/>
      <c r="Y37" s="3486"/>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570"/>
      <c r="Q38" s="1527" t="str">
        <f t="shared" si="11"/>
        <v>写字楼等级</v>
      </c>
      <c r="R38" s="710" t="s">
        <v>17</v>
      </c>
      <c r="S38" s="711">
        <f t="shared" si="12"/>
        <v>100</v>
      </c>
      <c r="T38" s="710" t="s">
        <v>17</v>
      </c>
      <c r="U38" s="711">
        <f t="shared" si="13"/>
        <v>100</v>
      </c>
      <c r="V38" s="710" t="s">
        <v>17</v>
      </c>
      <c r="W38" s="711">
        <f t="shared" si="14"/>
        <v>100</v>
      </c>
      <c r="X38" s="712"/>
      <c r="Y38" s="3486"/>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570" t="s">
        <v>2386</v>
      </c>
      <c r="Q39" s="1536" t="str">
        <f t="shared" si="11"/>
        <v>物业管理</v>
      </c>
      <c r="R39" s="714" t="s">
        <v>17</v>
      </c>
      <c r="S39" s="715">
        <f t="shared" si="12"/>
        <v>100</v>
      </c>
      <c r="T39" s="714" t="s">
        <v>17</v>
      </c>
      <c r="U39" s="715">
        <f t="shared" si="13"/>
        <v>100</v>
      </c>
      <c r="V39" s="714" t="s">
        <v>17</v>
      </c>
      <c r="W39" s="715">
        <f t="shared" si="14"/>
        <v>100</v>
      </c>
      <c r="X39" s="1539"/>
      <c r="Y39" s="3486"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570"/>
      <c r="Q40" s="1536" t="str">
        <f t="shared" si="11"/>
        <v>市政基础设施</v>
      </c>
      <c r="R40" s="714" t="s">
        <v>17</v>
      </c>
      <c r="S40" s="715">
        <f t="shared" si="12"/>
        <v>100</v>
      </c>
      <c r="T40" s="714" t="s">
        <v>17</v>
      </c>
      <c r="U40" s="715">
        <f t="shared" si="13"/>
        <v>100</v>
      </c>
      <c r="V40" s="714" t="s">
        <v>17</v>
      </c>
      <c r="W40" s="715">
        <f t="shared" si="14"/>
        <v>100</v>
      </c>
      <c r="X40" s="1539"/>
      <c r="Y40" s="3486"/>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570"/>
      <c r="Q41" s="1536" t="str">
        <f t="shared" si="11"/>
        <v>层高</v>
      </c>
      <c r="R41" s="714" t="s">
        <v>17</v>
      </c>
      <c r="S41" s="715">
        <f t="shared" si="12"/>
        <v>100</v>
      </c>
      <c r="T41" s="714" t="s">
        <v>17</v>
      </c>
      <c r="U41" s="715">
        <f t="shared" si="13"/>
        <v>100</v>
      </c>
      <c r="V41" s="714" t="s">
        <v>17</v>
      </c>
      <c r="W41" s="715">
        <f t="shared" si="14"/>
        <v>100</v>
      </c>
      <c r="X41" s="1539"/>
      <c r="Y41" s="3486"/>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570"/>
      <c r="Q42" s="716" t="str">
        <f t="shared" si="11"/>
        <v>单套建筑面积</v>
      </c>
      <c r="R42" s="717" t="s">
        <v>17</v>
      </c>
      <c r="S42" s="718">
        <f t="shared" si="12"/>
        <v>100</v>
      </c>
      <c r="T42" s="717" t="s">
        <v>17</v>
      </c>
      <c r="U42" s="718">
        <f t="shared" si="13"/>
        <v>100</v>
      </c>
      <c r="V42" s="717" t="s">
        <v>17</v>
      </c>
      <c r="W42" s="718">
        <f t="shared" si="14"/>
        <v>100</v>
      </c>
      <c r="X42" s="719"/>
      <c r="Y42" s="3486"/>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570"/>
      <c r="Q43" s="1536" t="str">
        <f t="shared" si="11"/>
        <v>内部装修</v>
      </c>
      <c r="R43" s="714" t="s">
        <v>17</v>
      </c>
      <c r="S43" s="715">
        <f t="shared" si="12"/>
        <v>100</v>
      </c>
      <c r="T43" s="714" t="s">
        <v>17</v>
      </c>
      <c r="U43" s="715">
        <f t="shared" si="13"/>
        <v>100</v>
      </c>
      <c r="V43" s="714" t="s">
        <v>17</v>
      </c>
      <c r="W43" s="715">
        <f t="shared" si="14"/>
        <v>100</v>
      </c>
      <c r="X43" s="1539"/>
      <c r="Y43" s="3486"/>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570"/>
      <c r="Q44" s="1536" t="str">
        <f t="shared" si="11"/>
        <v>内部装修维护情况</v>
      </c>
      <c r="R44" s="714" t="s">
        <v>17</v>
      </c>
      <c r="S44" s="715">
        <f t="shared" si="12"/>
        <v>100</v>
      </c>
      <c r="T44" s="714" t="s">
        <v>17</v>
      </c>
      <c r="U44" s="715">
        <f t="shared" si="13"/>
        <v>100</v>
      </c>
      <c r="V44" s="714" t="s">
        <v>17</v>
      </c>
      <c r="W44" s="715">
        <f t="shared" si="14"/>
        <v>100</v>
      </c>
      <c r="X44" s="1539"/>
      <c r="Y44" s="348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570"/>
      <c r="Q45" s="1527">
        <f t="shared" si="11"/>
        <v>111</v>
      </c>
      <c r="R45" s="710" t="s">
        <v>17</v>
      </c>
      <c r="S45" s="711">
        <f t="shared" si="12"/>
        <v>100</v>
      </c>
      <c r="T45" s="710" t="s">
        <v>17</v>
      </c>
      <c r="U45" s="711">
        <f t="shared" si="13"/>
        <v>100</v>
      </c>
      <c r="V45" s="710" t="s">
        <v>17</v>
      </c>
      <c r="W45" s="711">
        <f t="shared" si="14"/>
        <v>100</v>
      </c>
      <c r="X45" s="712"/>
      <c r="Y45" s="348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570"/>
      <c r="Q46" s="1536">
        <f t="shared" si="11"/>
        <v>111</v>
      </c>
      <c r="R46" s="714" t="s">
        <v>17</v>
      </c>
      <c r="S46" s="715">
        <f t="shared" si="12"/>
        <v>100</v>
      </c>
      <c r="T46" s="714" t="s">
        <v>17</v>
      </c>
      <c r="U46" s="715">
        <f t="shared" si="13"/>
        <v>100</v>
      </c>
      <c r="V46" s="714" t="s">
        <v>17</v>
      </c>
      <c r="W46" s="715">
        <f t="shared" si="14"/>
        <v>100</v>
      </c>
      <c r="X46" s="1539"/>
      <c r="Y46" s="348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571"/>
      <c r="Q47" s="1536">
        <f t="shared" si="11"/>
        <v>111</v>
      </c>
      <c r="R47" s="714" t="s">
        <v>17</v>
      </c>
      <c r="S47" s="715">
        <f t="shared" si="12"/>
        <v>100</v>
      </c>
      <c r="T47" s="714" t="s">
        <v>17</v>
      </c>
      <c r="U47" s="715">
        <f t="shared" si="13"/>
        <v>100</v>
      </c>
      <c r="V47" s="714" t="s">
        <v>17</v>
      </c>
      <c r="W47" s="715">
        <f t="shared" si="14"/>
        <v>100</v>
      </c>
      <c r="X47" s="1539"/>
      <c r="Y47" s="357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480" t="str">
        <f>A48</f>
        <v>成交单价（元/平方米）</v>
      </c>
      <c r="Q48" s="3481"/>
      <c r="R48" s="3568">
        <f>E48</f>
        <v>0</v>
      </c>
      <c r="S48" s="3568"/>
      <c r="T48" s="3568">
        <f>G48</f>
        <v>0</v>
      </c>
      <c r="U48" s="3568"/>
      <c r="V48" s="3568">
        <f>I48</f>
        <v>0</v>
      </c>
      <c r="W48" s="3568"/>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480" t="str">
        <f>A49</f>
        <v>比较价值（元/平方米）</v>
      </c>
      <c r="Q49" s="3481"/>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575" t="str">
        <f>A50</f>
        <v>估价对象XX用房的比较价值（楼面单价，元/平方米）</v>
      </c>
      <c r="Q50" s="3576"/>
      <c r="R50" s="3577" t="e">
        <f>IF(F1="售价",ROUND(IF(D49="简单平均",AVERAGE(R49:V49),R49*F49+T49*H49+V49*J49),0),ROUND(IF(D49="简单平均",AVERAGE(R49:V49),R49*F49+T49*H49+V49*J49),1))</f>
        <v>#DIV/0!</v>
      </c>
      <c r="S50" s="3577"/>
      <c r="T50" s="3577"/>
      <c r="U50" s="3577"/>
      <c r="V50" s="3577"/>
      <c r="W50" s="357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80197.850000000006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78" t="s">
        <v>2467</v>
      </c>
      <c r="D4" s="3491"/>
      <c r="E4" s="3492" t="s">
        <v>2468</v>
      </c>
      <c r="F4" s="3493"/>
      <c r="G4" s="3478" t="s">
        <v>2469</v>
      </c>
      <c r="H4" s="3491"/>
      <c r="I4" s="3478" t="s">
        <v>2470</v>
      </c>
      <c r="J4" s="3491"/>
      <c r="K4" s="567" t="s">
        <v>2471</v>
      </c>
      <c r="L4" s="1044"/>
      <c r="M4" s="1045"/>
      <c r="N4" s="1045"/>
      <c r="O4" s="1045"/>
      <c r="P4" s="3494" t="s">
        <v>2472</v>
      </c>
      <c r="Q4" s="3495"/>
      <c r="R4" s="3500" t="s">
        <v>2468</v>
      </c>
      <c r="S4" s="3501"/>
      <c r="T4" s="3500" t="s">
        <v>2469</v>
      </c>
      <c r="U4" s="3501"/>
      <c r="V4" s="3487" t="s">
        <v>2470</v>
      </c>
      <c r="W4" s="3487"/>
      <c r="X4" s="1539"/>
      <c r="Y4" s="3500" t="s">
        <v>2472</v>
      </c>
      <c r="Z4" s="3501"/>
      <c r="AA4" s="3488" t="s">
        <v>2468</v>
      </c>
      <c r="AB4" s="3489" t="s">
        <v>2469</v>
      </c>
      <c r="AC4" s="3488" t="s">
        <v>2470</v>
      </c>
    </row>
    <row r="5" spans="1:29" ht="15">
      <c r="A5" s="364"/>
      <c r="B5" s="365"/>
      <c r="C5" s="3508" t="s">
        <v>2363</v>
      </c>
      <c r="D5" s="3509"/>
      <c r="E5" s="3515" t="s">
        <v>2364</v>
      </c>
      <c r="F5" s="3516"/>
      <c r="G5" s="3508" t="s">
        <v>2365</v>
      </c>
      <c r="H5" s="3509"/>
      <c r="I5" s="3508" t="s">
        <v>2366</v>
      </c>
      <c r="J5" s="3509"/>
      <c r="K5" s="567"/>
      <c r="L5" s="1044"/>
      <c r="M5" s="1045"/>
      <c r="N5" s="1045"/>
      <c r="O5" s="1045"/>
      <c r="P5" s="3496"/>
      <c r="Q5" s="3497"/>
      <c r="R5" s="3502"/>
      <c r="S5" s="3503"/>
      <c r="T5" s="3502"/>
      <c r="U5" s="3503"/>
      <c r="V5" s="3487"/>
      <c r="W5" s="3487"/>
      <c r="X5" s="1539"/>
      <c r="Y5" s="3502"/>
      <c r="Z5" s="3503"/>
      <c r="AA5" s="3489"/>
      <c r="AB5" s="3489"/>
      <c r="AC5" s="3489"/>
    </row>
    <row r="6" spans="1:29" ht="15.75" thickBot="1">
      <c r="A6" s="366"/>
      <c r="B6" s="367"/>
      <c r="C6" s="3506" t="s">
        <v>2367</v>
      </c>
      <c r="D6" s="3507"/>
      <c r="E6" s="3513" t="s">
        <v>2367</v>
      </c>
      <c r="F6" s="3514"/>
      <c r="G6" s="3506" t="s">
        <v>2367</v>
      </c>
      <c r="H6" s="3507"/>
      <c r="I6" s="3506" t="s">
        <v>2367</v>
      </c>
      <c r="J6" s="3507"/>
      <c r="K6" s="567" t="s">
        <v>2368</v>
      </c>
      <c r="L6" s="1044"/>
      <c r="M6" s="1045"/>
      <c r="N6" s="1045"/>
      <c r="O6" s="1045"/>
      <c r="P6" s="3498"/>
      <c r="Q6" s="3499"/>
      <c r="R6" s="3502"/>
      <c r="S6" s="3503"/>
      <c r="T6" s="3504"/>
      <c r="U6" s="3505"/>
      <c r="V6" s="3487"/>
      <c r="W6" s="3487"/>
      <c r="X6" s="1539"/>
      <c r="Y6" s="3504"/>
      <c r="Z6" s="3505"/>
      <c r="AA6" s="3490"/>
      <c r="AB6" s="3490"/>
      <c r="AC6" s="3490"/>
    </row>
    <row r="7" spans="1:29" s="113" customFormat="1" ht="15.75" thickBot="1">
      <c r="A7" s="368" t="s">
        <v>2369</v>
      </c>
      <c r="B7" s="369"/>
      <c r="C7" s="370">
        <f>'数据-取费表'!B2</f>
        <v>44548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0" t="s">
        <v>2370</v>
      </c>
      <c r="Q7" s="3512"/>
      <c r="R7" s="710" t="s">
        <v>17</v>
      </c>
      <c r="S7" s="711">
        <f t="shared" ref="S7:S15" si="0">F7</f>
        <v>0</v>
      </c>
      <c r="T7" s="710" t="s">
        <v>17</v>
      </c>
      <c r="U7" s="711">
        <f t="shared" ref="U7:U15" si="1">H7</f>
        <v>0</v>
      </c>
      <c r="V7" s="710" t="s">
        <v>17</v>
      </c>
      <c r="W7" s="711">
        <f t="shared" ref="W7:W15" si="2">J7</f>
        <v>0</v>
      </c>
      <c r="X7" s="712"/>
      <c r="Y7" s="3510" t="s">
        <v>2370</v>
      </c>
      <c r="Z7" s="351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0" t="s">
        <v>2373</v>
      </c>
      <c r="Q8" s="3511"/>
      <c r="R8" s="710" t="s">
        <v>17</v>
      </c>
      <c r="S8" s="711">
        <f t="shared" si="0"/>
        <v>0</v>
      </c>
      <c r="T8" s="710" t="s">
        <v>17</v>
      </c>
      <c r="U8" s="711">
        <f t="shared" si="1"/>
        <v>0</v>
      </c>
      <c r="V8" s="710" t="s">
        <v>17</v>
      </c>
      <c r="W8" s="711">
        <f t="shared" si="2"/>
        <v>0</v>
      </c>
      <c r="X8" s="712"/>
      <c r="Y8" s="3510" t="s">
        <v>2373</v>
      </c>
      <c r="Z8" s="351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1" t="s">
        <v>2376</v>
      </c>
      <c r="Q9" s="1527" t="str">
        <f t="shared" ref="Q9:Q15" si="6">B9</f>
        <v>用途</v>
      </c>
      <c r="R9" s="710" t="s">
        <v>17</v>
      </c>
      <c r="S9" s="711">
        <f t="shared" si="0"/>
        <v>100</v>
      </c>
      <c r="T9" s="710" t="s">
        <v>17</v>
      </c>
      <c r="U9" s="711">
        <f t="shared" si="1"/>
        <v>100</v>
      </c>
      <c r="V9" s="710" t="s">
        <v>17</v>
      </c>
      <c r="W9" s="711">
        <f t="shared" si="2"/>
        <v>100</v>
      </c>
      <c r="X9" s="712"/>
      <c r="Y9" s="33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1"/>
      <c r="Q10" s="152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1"/>
      <c r="Q11" s="152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81"/>
      <c r="Q12" s="152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81"/>
      <c r="Q13" s="152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81"/>
      <c r="Q14" s="152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3" t="s">
        <v>2381</v>
      </c>
      <c r="Q15" s="1536" t="str">
        <f t="shared" si="6"/>
        <v>产业集聚程度</v>
      </c>
      <c r="R15" s="714" t="s">
        <v>17</v>
      </c>
      <c r="S15" s="715">
        <f t="shared" si="0"/>
        <v>100</v>
      </c>
      <c r="T15" s="714" t="s">
        <v>17</v>
      </c>
      <c r="U15" s="715">
        <f t="shared" si="1"/>
        <v>100</v>
      </c>
      <c r="V15" s="714" t="s">
        <v>17</v>
      </c>
      <c r="W15" s="715">
        <f t="shared" si="2"/>
        <v>100</v>
      </c>
      <c r="X15" s="1539"/>
      <c r="Y15" s="348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84"/>
      <c r="Q16" s="1536"/>
      <c r="R16" s="714"/>
      <c r="S16" s="715"/>
      <c r="T16" s="714"/>
      <c r="U16" s="715"/>
      <c r="V16" s="714"/>
      <c r="W16" s="715"/>
      <c r="X16" s="1539"/>
      <c r="Y16" s="3484"/>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4"/>
      <c r="Q17" s="1536" t="str">
        <f>B17</f>
        <v>交通便捷度</v>
      </c>
      <c r="R17" s="714" t="s">
        <v>17</v>
      </c>
      <c r="S17" s="715">
        <f>F17</f>
        <v>100</v>
      </c>
      <c r="T17" s="714" t="s">
        <v>17</v>
      </c>
      <c r="U17" s="715">
        <f>H17</f>
        <v>100</v>
      </c>
      <c r="V17" s="714" t="s">
        <v>17</v>
      </c>
      <c r="W17" s="715">
        <f>J17</f>
        <v>100</v>
      </c>
      <c r="X17" s="1539"/>
      <c r="Y17" s="348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84"/>
      <c r="Q18" s="1536"/>
      <c r="R18" s="714"/>
      <c r="S18" s="715"/>
      <c r="T18" s="714"/>
      <c r="U18" s="715"/>
      <c r="V18" s="714"/>
      <c r="W18" s="715"/>
      <c r="X18" s="1539"/>
      <c r="Y18" s="3484"/>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4"/>
      <c r="Q19" s="1536" t="str">
        <f>B19</f>
        <v>公共配套设施</v>
      </c>
      <c r="R19" s="714" t="s">
        <v>17</v>
      </c>
      <c r="S19" s="715">
        <f>F19</f>
        <v>100</v>
      </c>
      <c r="T19" s="714" t="s">
        <v>17</v>
      </c>
      <c r="U19" s="715">
        <f>H19</f>
        <v>100</v>
      </c>
      <c r="V19" s="714" t="s">
        <v>17</v>
      </c>
      <c r="W19" s="715">
        <f>J19</f>
        <v>100</v>
      </c>
      <c r="X19" s="1539"/>
      <c r="Y19" s="348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84"/>
      <c r="Q20" s="1536"/>
      <c r="R20" s="714"/>
      <c r="S20" s="715"/>
      <c r="T20" s="714"/>
      <c r="U20" s="715"/>
      <c r="V20" s="714"/>
      <c r="W20" s="715"/>
      <c r="X20" s="1539"/>
      <c r="Y20" s="3484"/>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4"/>
      <c r="Q21" s="1536" t="str">
        <f>B21</f>
        <v>基础设施水平</v>
      </c>
      <c r="R21" s="714" t="s">
        <v>17</v>
      </c>
      <c r="S21" s="715">
        <f>F21</f>
        <v>100</v>
      </c>
      <c r="T21" s="714" t="s">
        <v>17</v>
      </c>
      <c r="U21" s="715">
        <f>H21</f>
        <v>100</v>
      </c>
      <c r="V21" s="714" t="s">
        <v>17</v>
      </c>
      <c r="W21" s="715">
        <f>J21</f>
        <v>100</v>
      </c>
      <c r="X21" s="1539"/>
      <c r="Y21" s="348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84"/>
      <c r="Q22" s="1536"/>
      <c r="R22" s="714"/>
      <c r="S22" s="715"/>
      <c r="T22" s="714"/>
      <c r="U22" s="715"/>
      <c r="V22" s="714"/>
      <c r="W22" s="715"/>
      <c r="X22" s="1539"/>
      <c r="Y22" s="3484"/>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4"/>
      <c r="Q23" s="1536" t="str">
        <f>B23</f>
        <v>环境质量</v>
      </c>
      <c r="R23" s="714" t="s">
        <v>17</v>
      </c>
      <c r="S23" s="715">
        <f>F23</f>
        <v>100</v>
      </c>
      <c r="T23" s="714" t="s">
        <v>17</v>
      </c>
      <c r="U23" s="715">
        <f>H23</f>
        <v>100</v>
      </c>
      <c r="V23" s="714" t="s">
        <v>17</v>
      </c>
      <c r="W23" s="715">
        <f>J23</f>
        <v>100</v>
      </c>
      <c r="X23" s="1539"/>
      <c r="Y23" s="348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84"/>
      <c r="Q24" s="1536"/>
      <c r="R24" s="714"/>
      <c r="S24" s="715"/>
      <c r="T24" s="714"/>
      <c r="U24" s="715"/>
      <c r="V24" s="714"/>
      <c r="W24" s="715"/>
      <c r="X24" s="1539"/>
      <c r="Y24" s="348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4"/>
      <c r="Q25" s="1536">
        <f>B25</f>
        <v>111</v>
      </c>
      <c r="R25" s="714" t="s">
        <v>17</v>
      </c>
      <c r="S25" s="715">
        <f>F25</f>
        <v>100</v>
      </c>
      <c r="T25" s="714" t="s">
        <v>17</v>
      </c>
      <c r="U25" s="715">
        <f>H25</f>
        <v>100</v>
      </c>
      <c r="V25" s="714" t="s">
        <v>17</v>
      </c>
      <c r="W25" s="715">
        <f>J25</f>
        <v>100</v>
      </c>
      <c r="X25" s="1539"/>
      <c r="Y25" s="348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4"/>
      <c r="Q26" s="1536">
        <f t="shared" ref="Q26:Q40" si="11">B26</f>
        <v>111</v>
      </c>
      <c r="R26" s="714" t="s">
        <v>17</v>
      </c>
      <c r="S26" s="715">
        <f>F26</f>
        <v>100</v>
      </c>
      <c r="T26" s="714" t="s">
        <v>17</v>
      </c>
      <c r="U26" s="715">
        <f>H26</f>
        <v>100</v>
      </c>
      <c r="V26" s="714" t="s">
        <v>17</v>
      </c>
      <c r="W26" s="715">
        <f>J26</f>
        <v>100</v>
      </c>
      <c r="X26" s="1539"/>
      <c r="Y26" s="348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4"/>
      <c r="Q27" s="1527">
        <f t="shared" si="11"/>
        <v>111</v>
      </c>
      <c r="R27" s="710" t="s">
        <v>17</v>
      </c>
      <c r="S27" s="711">
        <f>F27</f>
        <v>100</v>
      </c>
      <c r="T27" s="710" t="s">
        <v>17</v>
      </c>
      <c r="U27" s="711">
        <f>H27</f>
        <v>100</v>
      </c>
      <c r="V27" s="710" t="s">
        <v>17</v>
      </c>
      <c r="W27" s="711">
        <f>J27</f>
        <v>100</v>
      </c>
      <c r="X27" s="712"/>
      <c r="Y27" s="348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4"/>
      <c r="Q28" s="1536">
        <f t="shared" si="11"/>
        <v>111</v>
      </c>
      <c r="R28" s="714" t="s">
        <v>17</v>
      </c>
      <c r="S28" s="715">
        <f t="shared" ref="S28:S40" si="12">F28</f>
        <v>100</v>
      </c>
      <c r="T28" s="714" t="s">
        <v>17</v>
      </c>
      <c r="U28" s="715">
        <f t="shared" ref="U28:U40" si="13">H28</f>
        <v>100</v>
      </c>
      <c r="V28" s="714" t="s">
        <v>17</v>
      </c>
      <c r="W28" s="715">
        <f t="shared" ref="W28:W40" si="14">J28</f>
        <v>100</v>
      </c>
      <c r="X28" s="1539"/>
      <c r="Y28" s="3484"/>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85" t="s">
        <v>2386</v>
      </c>
      <c r="Q29" s="1536" t="str">
        <f t="shared" si="11"/>
        <v>建筑类型</v>
      </c>
      <c r="R29" s="714" t="s">
        <v>17</v>
      </c>
      <c r="S29" s="715">
        <f t="shared" si="12"/>
        <v>100</v>
      </c>
      <c r="T29" s="714" t="s">
        <v>17</v>
      </c>
      <c r="U29" s="715">
        <f t="shared" si="13"/>
        <v>100</v>
      </c>
      <c r="V29" s="714" t="s">
        <v>17</v>
      </c>
      <c r="W29" s="715">
        <f t="shared" si="14"/>
        <v>100</v>
      </c>
      <c r="X29" s="1539"/>
      <c r="Y29" s="3486"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6"/>
      <c r="Q30" s="716" t="str">
        <f t="shared" si="11"/>
        <v>项目建筑规模</v>
      </c>
      <c r="R30" s="717" t="s">
        <v>17</v>
      </c>
      <c r="S30" s="718" t="e">
        <f t="shared" si="12"/>
        <v>#N/A</v>
      </c>
      <c r="T30" s="717" t="s">
        <v>17</v>
      </c>
      <c r="U30" s="718" t="e">
        <f t="shared" si="13"/>
        <v>#N/A</v>
      </c>
      <c r="V30" s="717" t="s">
        <v>17</v>
      </c>
      <c r="W30" s="718" t="e">
        <f t="shared" si="14"/>
        <v>#N/A</v>
      </c>
      <c r="X30" s="719"/>
      <c r="Y30" s="3486"/>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6"/>
      <c r="Q31" s="1536" t="str">
        <f t="shared" si="11"/>
        <v>建筑结构</v>
      </c>
      <c r="R31" s="714" t="s">
        <v>17</v>
      </c>
      <c r="S31" s="715">
        <f t="shared" si="12"/>
        <v>100</v>
      </c>
      <c r="T31" s="714" t="s">
        <v>17</v>
      </c>
      <c r="U31" s="715">
        <f t="shared" si="13"/>
        <v>100</v>
      </c>
      <c r="V31" s="714" t="s">
        <v>17</v>
      </c>
      <c r="W31" s="715">
        <f t="shared" si="14"/>
        <v>100</v>
      </c>
      <c r="X31" s="1539"/>
      <c r="Y31" s="3486"/>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6"/>
      <c r="Q32" s="1536" t="str">
        <f t="shared" si="11"/>
        <v>公共部分装修</v>
      </c>
      <c r="R32" s="714" t="s">
        <v>17</v>
      </c>
      <c r="S32" s="715">
        <f t="shared" si="12"/>
        <v>100</v>
      </c>
      <c r="T32" s="714" t="s">
        <v>17</v>
      </c>
      <c r="U32" s="715">
        <f t="shared" si="13"/>
        <v>100</v>
      </c>
      <c r="V32" s="714" t="s">
        <v>17</v>
      </c>
      <c r="W32" s="715">
        <f t="shared" si="14"/>
        <v>100</v>
      </c>
      <c r="X32" s="1539"/>
      <c r="Y32" s="3486"/>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6"/>
      <c r="Q33" s="1536" t="str">
        <f t="shared" si="11"/>
        <v>成新度</v>
      </c>
      <c r="R33" s="714" t="s">
        <v>17</v>
      </c>
      <c r="S33" s="715" t="e">
        <f t="shared" si="12"/>
        <v>#N/A</v>
      </c>
      <c r="T33" s="714" t="s">
        <v>17</v>
      </c>
      <c r="U33" s="715" t="e">
        <f t="shared" si="13"/>
        <v>#N/A</v>
      </c>
      <c r="V33" s="714" t="s">
        <v>17</v>
      </c>
      <c r="W33" s="715" t="e">
        <f t="shared" si="14"/>
        <v>#N/A</v>
      </c>
      <c r="X33" s="1539"/>
      <c r="Y33" s="3486"/>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6"/>
      <c r="Q34" s="1527" t="str">
        <f t="shared" si="11"/>
        <v>物业管理</v>
      </c>
      <c r="R34" s="710" t="s">
        <v>17</v>
      </c>
      <c r="S34" s="711">
        <f t="shared" si="12"/>
        <v>100</v>
      </c>
      <c r="T34" s="710" t="s">
        <v>17</v>
      </c>
      <c r="U34" s="711">
        <f t="shared" si="13"/>
        <v>100</v>
      </c>
      <c r="V34" s="710" t="s">
        <v>17</v>
      </c>
      <c r="W34" s="711">
        <f t="shared" si="14"/>
        <v>100</v>
      </c>
      <c r="X34" s="712"/>
      <c r="Y34" s="3486"/>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6" t="s">
        <v>2386</v>
      </c>
      <c r="Q35" s="1536" t="str">
        <f t="shared" si="11"/>
        <v>市政基础设施</v>
      </c>
      <c r="R35" s="714" t="s">
        <v>17</v>
      </c>
      <c r="S35" s="715">
        <f t="shared" si="12"/>
        <v>100</v>
      </c>
      <c r="T35" s="714" t="s">
        <v>17</v>
      </c>
      <c r="U35" s="715">
        <f t="shared" si="13"/>
        <v>100</v>
      </c>
      <c r="V35" s="714" t="s">
        <v>17</v>
      </c>
      <c r="W35" s="715">
        <f t="shared" si="14"/>
        <v>100</v>
      </c>
      <c r="X35" s="1539"/>
      <c r="Y35" s="3486"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6"/>
      <c r="Q36" s="1536" t="str">
        <f t="shared" si="11"/>
        <v>内部装修</v>
      </c>
      <c r="R36" s="714" t="s">
        <v>17</v>
      </c>
      <c r="S36" s="715">
        <f t="shared" si="12"/>
        <v>100</v>
      </c>
      <c r="T36" s="714" t="s">
        <v>17</v>
      </c>
      <c r="U36" s="715">
        <f t="shared" si="13"/>
        <v>100</v>
      </c>
      <c r="V36" s="714" t="s">
        <v>17</v>
      </c>
      <c r="W36" s="715">
        <f t="shared" si="14"/>
        <v>100</v>
      </c>
      <c r="X36" s="1539"/>
      <c r="Y36" s="3486"/>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6"/>
      <c r="Q37" s="1536" t="str">
        <f t="shared" si="11"/>
        <v>内部装修状况</v>
      </c>
      <c r="R37" s="714" t="s">
        <v>17</v>
      </c>
      <c r="S37" s="715">
        <f t="shared" si="12"/>
        <v>100</v>
      </c>
      <c r="T37" s="714" t="s">
        <v>17</v>
      </c>
      <c r="U37" s="715">
        <f t="shared" si="13"/>
        <v>100</v>
      </c>
      <c r="V37" s="714" t="s">
        <v>17</v>
      </c>
      <c r="W37" s="715">
        <f t="shared" si="14"/>
        <v>100</v>
      </c>
      <c r="X37" s="1539"/>
      <c r="Y37" s="348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6"/>
      <c r="Q38" s="716">
        <f t="shared" si="11"/>
        <v>111</v>
      </c>
      <c r="R38" s="717" t="s">
        <v>17</v>
      </c>
      <c r="S38" s="718">
        <f t="shared" si="12"/>
        <v>100</v>
      </c>
      <c r="T38" s="717" t="s">
        <v>17</v>
      </c>
      <c r="U38" s="718">
        <f t="shared" si="13"/>
        <v>100</v>
      </c>
      <c r="V38" s="717" t="s">
        <v>17</v>
      </c>
      <c r="W38" s="718">
        <f t="shared" si="14"/>
        <v>100</v>
      </c>
      <c r="X38" s="719"/>
      <c r="Y38" s="348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6"/>
      <c r="Q39" s="1536">
        <f t="shared" si="11"/>
        <v>111</v>
      </c>
      <c r="R39" s="714" t="s">
        <v>17</v>
      </c>
      <c r="S39" s="715">
        <f t="shared" si="12"/>
        <v>100</v>
      </c>
      <c r="T39" s="714" t="s">
        <v>17</v>
      </c>
      <c r="U39" s="715">
        <f t="shared" si="13"/>
        <v>100</v>
      </c>
      <c r="V39" s="714" t="s">
        <v>17</v>
      </c>
      <c r="W39" s="715">
        <f t="shared" si="14"/>
        <v>100</v>
      </c>
      <c r="X39" s="1539"/>
      <c r="Y39" s="348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72"/>
      <c r="Q40" s="1536">
        <f t="shared" si="11"/>
        <v>111</v>
      </c>
      <c r="R40" s="714" t="s">
        <v>17</v>
      </c>
      <c r="S40" s="715">
        <f t="shared" si="12"/>
        <v>100</v>
      </c>
      <c r="T40" s="714" t="s">
        <v>17</v>
      </c>
      <c r="U40" s="715">
        <f t="shared" si="13"/>
        <v>100</v>
      </c>
      <c r="V40" s="714" t="s">
        <v>17</v>
      </c>
      <c r="W40" s="715">
        <f t="shared" si="14"/>
        <v>100</v>
      </c>
      <c r="X40" s="1539"/>
      <c r="Y40" s="357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81" t="str">
        <f>A41</f>
        <v>成交单价（元/平方米）</v>
      </c>
      <c r="Q41" s="3481"/>
      <c r="R41" s="3568">
        <f>E41</f>
        <v>0</v>
      </c>
      <c r="S41" s="3568"/>
      <c r="T41" s="3568">
        <f>G41</f>
        <v>0</v>
      </c>
      <c r="U41" s="3568"/>
      <c r="V41" s="3568">
        <f>I41</f>
        <v>0</v>
      </c>
      <c r="W41" s="3568"/>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81" t="str">
        <f>A42</f>
        <v>比较价值（元/平方米）</v>
      </c>
      <c r="Q42" s="3481"/>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75" t="str">
        <f>A43</f>
        <v>估价对象XX用房的比较价值（楼面单价，元/平方米）</v>
      </c>
      <c r="Q43" s="3476"/>
      <c r="R43" s="3567" t="e">
        <f>IF(F1="售价",ROUND(IF(D42="简单平均",AVERAGE(R42:V42),R42*F42+T42*H42+V42*J42),0),ROUND(IF(D42="简单平均",AVERAGE(R42:V42),R42*F42+T42*H42+V42*J42),1))</f>
        <v>#DIV/0!</v>
      </c>
      <c r="S43" s="3567"/>
      <c r="T43" s="3567"/>
      <c r="U43" s="3567"/>
      <c r="V43" s="3567"/>
      <c r="W43" s="356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78" t="s">
        <v>2467</v>
      </c>
      <c r="D4" s="3491"/>
      <c r="E4" s="3492" t="s">
        <v>2468</v>
      </c>
      <c r="F4" s="3493"/>
      <c r="G4" s="3478" t="s">
        <v>2469</v>
      </c>
      <c r="H4" s="3491"/>
      <c r="I4" s="3478" t="s">
        <v>2470</v>
      </c>
      <c r="J4" s="3491"/>
      <c r="K4" s="567" t="s">
        <v>2471</v>
      </c>
      <c r="L4" s="2944"/>
      <c r="M4" s="2945"/>
      <c r="N4" s="2945"/>
      <c r="O4" s="2945"/>
      <c r="P4" s="3494" t="s">
        <v>2472</v>
      </c>
      <c r="Q4" s="3495"/>
      <c r="R4" s="3500" t="s">
        <v>2468</v>
      </c>
      <c r="S4" s="3501"/>
      <c r="T4" s="3500" t="s">
        <v>2469</v>
      </c>
      <c r="U4" s="3501"/>
      <c r="V4" s="3487" t="s">
        <v>2470</v>
      </c>
      <c r="W4" s="3487"/>
      <c r="X4" s="1539"/>
      <c r="Y4" s="3500" t="s">
        <v>2472</v>
      </c>
      <c r="Z4" s="3501"/>
      <c r="AA4" s="3488" t="s">
        <v>2468</v>
      </c>
      <c r="AB4" s="3489" t="s">
        <v>2469</v>
      </c>
      <c r="AC4" s="3488" t="s">
        <v>2470</v>
      </c>
    </row>
    <row r="5" spans="1:29" ht="15">
      <c r="A5" s="364"/>
      <c r="B5" s="365"/>
      <c r="C5" s="3508" t="s">
        <v>2363</v>
      </c>
      <c r="D5" s="3509"/>
      <c r="E5" s="3515" t="s">
        <v>2364</v>
      </c>
      <c r="F5" s="3516"/>
      <c r="G5" s="3508" t="s">
        <v>2365</v>
      </c>
      <c r="H5" s="3509"/>
      <c r="I5" s="3508" t="s">
        <v>2366</v>
      </c>
      <c r="J5" s="3509"/>
      <c r="K5" s="567"/>
      <c r="L5" s="2944"/>
      <c r="M5" s="2945"/>
      <c r="N5" s="2945"/>
      <c r="O5" s="2945"/>
      <c r="P5" s="3496"/>
      <c r="Q5" s="3497"/>
      <c r="R5" s="3502"/>
      <c r="S5" s="3503"/>
      <c r="T5" s="3502"/>
      <c r="U5" s="3503"/>
      <c r="V5" s="3487"/>
      <c r="W5" s="3487"/>
      <c r="X5" s="1539"/>
      <c r="Y5" s="3502"/>
      <c r="Z5" s="3503"/>
      <c r="AA5" s="3489"/>
      <c r="AB5" s="3489"/>
      <c r="AC5" s="3489"/>
    </row>
    <row r="6" spans="1:29" ht="15.75" thickBot="1">
      <c r="A6" s="366"/>
      <c r="B6" s="367"/>
      <c r="C6" s="3506" t="s">
        <v>2367</v>
      </c>
      <c r="D6" s="3507"/>
      <c r="E6" s="3513" t="s">
        <v>2367</v>
      </c>
      <c r="F6" s="3514"/>
      <c r="G6" s="3506" t="s">
        <v>2367</v>
      </c>
      <c r="H6" s="3507"/>
      <c r="I6" s="3506" t="s">
        <v>2367</v>
      </c>
      <c r="J6" s="3507"/>
      <c r="K6" s="567" t="s">
        <v>2368</v>
      </c>
      <c r="L6" s="2944"/>
      <c r="M6" s="2945"/>
      <c r="N6" s="2945"/>
      <c r="O6" s="2945"/>
      <c r="P6" s="3498"/>
      <c r="Q6" s="3499"/>
      <c r="R6" s="3502"/>
      <c r="S6" s="3503"/>
      <c r="T6" s="3504"/>
      <c r="U6" s="3505"/>
      <c r="V6" s="3487"/>
      <c r="W6" s="3487"/>
      <c r="X6" s="1539"/>
      <c r="Y6" s="3504"/>
      <c r="Z6" s="3505"/>
      <c r="AA6" s="3490"/>
      <c r="AB6" s="3490"/>
      <c r="AC6" s="3490"/>
    </row>
    <row r="7" spans="1:29" s="113" customFormat="1" ht="15.75" thickBot="1">
      <c r="A7" s="368" t="s">
        <v>2369</v>
      </c>
      <c r="B7" s="369"/>
      <c r="C7" s="370">
        <f>'数据-取费表'!B2</f>
        <v>44548</v>
      </c>
      <c r="D7" s="371">
        <v>100</v>
      </c>
      <c r="E7" s="372"/>
      <c r="F7" s="373">
        <f>SUMIF(48:48,YEAR(E7)&amp;"-"&amp;MONTH(E7),49:49)</f>
        <v>0</v>
      </c>
      <c r="G7" s="372"/>
      <c r="H7" s="371">
        <f>SUMIF(48:48,YEAR(G7)&amp;"-"&amp;MONTH(G7),49:49)</f>
        <v>0</v>
      </c>
      <c r="I7" s="372"/>
      <c r="J7" s="371">
        <f>SUMIF(48:48,YEAR(I7)&amp;"-"&amp;MONTH(I7),49:49)</f>
        <v>0</v>
      </c>
      <c r="K7" s="568"/>
      <c r="L7" s="2946"/>
      <c r="M7" s="2947"/>
      <c r="N7" s="2947"/>
      <c r="O7" s="2947"/>
      <c r="P7" s="3510" t="s">
        <v>2370</v>
      </c>
      <c r="Q7" s="3512"/>
      <c r="R7" s="710" t="s">
        <v>17</v>
      </c>
      <c r="S7" s="711">
        <f t="shared" ref="S7:S14" si="0">F7</f>
        <v>0</v>
      </c>
      <c r="T7" s="710" t="s">
        <v>17</v>
      </c>
      <c r="U7" s="711">
        <f t="shared" ref="U7:U14" si="1">H7</f>
        <v>0</v>
      </c>
      <c r="V7" s="710" t="s">
        <v>17</v>
      </c>
      <c r="W7" s="711">
        <f t="shared" ref="W7:W14" si="2">J7</f>
        <v>0</v>
      </c>
      <c r="X7" s="712"/>
      <c r="Y7" s="3510" t="s">
        <v>2370</v>
      </c>
      <c r="Z7" s="351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510" t="s">
        <v>2373</v>
      </c>
      <c r="Q8" s="3511"/>
      <c r="R8" s="710" t="s">
        <v>17</v>
      </c>
      <c r="S8" s="711">
        <f t="shared" si="0"/>
        <v>0</v>
      </c>
      <c r="T8" s="710" t="s">
        <v>17</v>
      </c>
      <c r="U8" s="711">
        <f t="shared" si="1"/>
        <v>0</v>
      </c>
      <c r="V8" s="710" t="s">
        <v>17</v>
      </c>
      <c r="W8" s="711">
        <f t="shared" si="2"/>
        <v>0</v>
      </c>
      <c r="X8" s="712"/>
      <c r="Y8" s="3510" t="s">
        <v>2373</v>
      </c>
      <c r="Z8" s="351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81" t="s">
        <v>2376</v>
      </c>
      <c r="Q9" s="1527" t="str">
        <f t="shared" ref="Q9:Q14" si="6">B9</f>
        <v>用途</v>
      </c>
      <c r="R9" s="710" t="s">
        <v>17</v>
      </c>
      <c r="S9" s="711">
        <f t="shared" si="0"/>
        <v>100</v>
      </c>
      <c r="T9" s="710" t="s">
        <v>17</v>
      </c>
      <c r="U9" s="711">
        <f t="shared" si="1"/>
        <v>100</v>
      </c>
      <c r="V9" s="710" t="s">
        <v>17</v>
      </c>
      <c r="W9" s="711">
        <f t="shared" si="2"/>
        <v>100</v>
      </c>
      <c r="X9" s="712"/>
      <c r="Y9" s="337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81"/>
      <c r="Q10" s="152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81"/>
      <c r="Q11" s="152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81"/>
      <c r="Q12" s="152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81"/>
      <c r="Q13" s="152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83" t="s">
        <v>2381</v>
      </c>
      <c r="Q14" s="1536" t="str">
        <f t="shared" si="6"/>
        <v>交通便捷度</v>
      </c>
      <c r="R14" s="714" t="s">
        <v>17</v>
      </c>
      <c r="S14" s="715">
        <f t="shared" si="0"/>
        <v>100</v>
      </c>
      <c r="T14" s="714" t="s">
        <v>17</v>
      </c>
      <c r="U14" s="715">
        <f t="shared" si="1"/>
        <v>100</v>
      </c>
      <c r="V14" s="714" t="s">
        <v>17</v>
      </c>
      <c r="W14" s="715">
        <f t="shared" si="2"/>
        <v>100</v>
      </c>
      <c r="X14" s="1539"/>
      <c r="Y14" s="348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84"/>
      <c r="Q15" s="1536"/>
      <c r="R15" s="714"/>
      <c r="S15" s="715"/>
      <c r="T15" s="714"/>
      <c r="U15" s="715"/>
      <c r="V15" s="714"/>
      <c r="W15" s="715"/>
      <c r="X15" s="1539"/>
      <c r="Y15" s="3484"/>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84"/>
      <c r="Q16" s="1536" t="str">
        <f>B16</f>
        <v>公共配套设施</v>
      </c>
      <c r="R16" s="714" t="s">
        <v>17</v>
      </c>
      <c r="S16" s="715">
        <f>F16</f>
        <v>100</v>
      </c>
      <c r="T16" s="714" t="s">
        <v>17</v>
      </c>
      <c r="U16" s="715">
        <f>H16</f>
        <v>100</v>
      </c>
      <c r="V16" s="714" t="s">
        <v>17</v>
      </c>
      <c r="W16" s="715">
        <f>J16</f>
        <v>100</v>
      </c>
      <c r="X16" s="1539"/>
      <c r="Y16" s="348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84"/>
      <c r="Q17" s="1536"/>
      <c r="R17" s="714"/>
      <c r="S17" s="715"/>
      <c r="T17" s="714"/>
      <c r="U17" s="715"/>
      <c r="V17" s="714"/>
      <c r="W17" s="715"/>
      <c r="X17" s="1539"/>
      <c r="Y17" s="3484"/>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84"/>
      <c r="Q18" s="1536" t="str">
        <f>B18</f>
        <v>基础设施水平</v>
      </c>
      <c r="R18" s="714" t="s">
        <v>17</v>
      </c>
      <c r="S18" s="715">
        <f>F18</f>
        <v>100</v>
      </c>
      <c r="T18" s="714" t="s">
        <v>17</v>
      </c>
      <c r="U18" s="715">
        <f>H18</f>
        <v>100</v>
      </c>
      <c r="V18" s="714" t="s">
        <v>17</v>
      </c>
      <c r="W18" s="715">
        <f>J18</f>
        <v>100</v>
      </c>
      <c r="X18" s="1539"/>
      <c r="Y18" s="348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84"/>
      <c r="Q19" s="1536"/>
      <c r="R19" s="714"/>
      <c r="S19" s="715"/>
      <c r="T19" s="714"/>
      <c r="U19" s="715"/>
      <c r="V19" s="714"/>
      <c r="W19" s="715"/>
      <c r="X19" s="1539"/>
      <c r="Y19" s="3484"/>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84"/>
      <c r="Q20" s="1536" t="str">
        <f>B20</f>
        <v>自然及人文环境</v>
      </c>
      <c r="R20" s="714" t="s">
        <v>17</v>
      </c>
      <c r="S20" s="715">
        <f>F20</f>
        <v>100</v>
      </c>
      <c r="T20" s="714" t="s">
        <v>17</v>
      </c>
      <c r="U20" s="715">
        <f>H20</f>
        <v>100</v>
      </c>
      <c r="V20" s="714" t="s">
        <v>17</v>
      </c>
      <c r="W20" s="715">
        <f>J20</f>
        <v>100</v>
      </c>
      <c r="X20" s="1539"/>
      <c r="Y20" s="348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84"/>
      <c r="Q21" s="1536"/>
      <c r="R21" s="714"/>
      <c r="S21" s="715"/>
      <c r="T21" s="714"/>
      <c r="U21" s="715"/>
      <c r="V21" s="714"/>
      <c r="W21" s="715"/>
      <c r="X21" s="1539"/>
      <c r="Y21" s="348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84"/>
      <c r="Q22" s="1536" t="str">
        <f>B22</f>
        <v>楼层</v>
      </c>
      <c r="R22" s="714" t="s">
        <v>17</v>
      </c>
      <c r="S22" s="715">
        <f>F22</f>
        <v>100</v>
      </c>
      <c r="T22" s="714" t="s">
        <v>17</v>
      </c>
      <c r="U22" s="715">
        <f>H22</f>
        <v>100</v>
      </c>
      <c r="V22" s="714" t="s">
        <v>17</v>
      </c>
      <c r="W22" s="715">
        <f>J22</f>
        <v>100</v>
      </c>
      <c r="X22" s="1539"/>
      <c r="Y22" s="348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84"/>
      <c r="Q23" s="1536">
        <f>B23</f>
        <v>111</v>
      </c>
      <c r="R23" s="714" t="s">
        <v>17</v>
      </c>
      <c r="S23" s="715">
        <f>F23</f>
        <v>100</v>
      </c>
      <c r="T23" s="714" t="s">
        <v>17</v>
      </c>
      <c r="U23" s="715">
        <f>H23</f>
        <v>100</v>
      </c>
      <c r="V23" s="714" t="s">
        <v>17</v>
      </c>
      <c r="W23" s="715">
        <f>J23</f>
        <v>100</v>
      </c>
      <c r="X23" s="1539"/>
      <c r="Y23" s="348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84"/>
      <c r="Q24" s="1536">
        <f t="shared" ref="Q24:Q36" si="11">B24</f>
        <v>111</v>
      </c>
      <c r="R24" s="714" t="s">
        <v>17</v>
      </c>
      <c r="S24" s="715">
        <f>F24</f>
        <v>100</v>
      </c>
      <c r="T24" s="714" t="s">
        <v>17</v>
      </c>
      <c r="U24" s="715">
        <f>H24</f>
        <v>100</v>
      </c>
      <c r="V24" s="714" t="s">
        <v>17</v>
      </c>
      <c r="W24" s="715">
        <f>J24</f>
        <v>100</v>
      </c>
      <c r="X24" s="1539"/>
      <c r="Y24" s="348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84"/>
      <c r="Q25" s="1527">
        <f t="shared" si="11"/>
        <v>111</v>
      </c>
      <c r="R25" s="710" t="s">
        <v>17</v>
      </c>
      <c r="S25" s="711">
        <f>F25</f>
        <v>100</v>
      </c>
      <c r="T25" s="710" t="s">
        <v>17</v>
      </c>
      <c r="U25" s="711">
        <f>H25</f>
        <v>100</v>
      </c>
      <c r="V25" s="710" t="s">
        <v>17</v>
      </c>
      <c r="W25" s="711">
        <f>J25</f>
        <v>100</v>
      </c>
      <c r="X25" s="712"/>
      <c r="Y25" s="3484"/>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85"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86"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86"/>
      <c r="Q27" s="716" t="str">
        <f t="shared" si="11"/>
        <v>项目停车位配比</v>
      </c>
      <c r="R27" s="717" t="s">
        <v>17</v>
      </c>
      <c r="S27" s="718">
        <f t="shared" si="12"/>
        <v>100</v>
      </c>
      <c r="T27" s="717" t="s">
        <v>17</v>
      </c>
      <c r="U27" s="718">
        <f t="shared" si="13"/>
        <v>100</v>
      </c>
      <c r="V27" s="717" t="s">
        <v>17</v>
      </c>
      <c r="W27" s="718">
        <f t="shared" si="14"/>
        <v>100</v>
      </c>
      <c r="X27" s="719"/>
      <c r="Y27" s="3486"/>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86"/>
      <c r="Q28" s="1536" t="str">
        <f t="shared" si="11"/>
        <v>公共部分装修</v>
      </c>
      <c r="R28" s="714" t="s">
        <v>17</v>
      </c>
      <c r="S28" s="715">
        <f t="shared" si="12"/>
        <v>100</v>
      </c>
      <c r="T28" s="714" t="s">
        <v>17</v>
      </c>
      <c r="U28" s="715">
        <f t="shared" si="13"/>
        <v>100</v>
      </c>
      <c r="V28" s="714" t="s">
        <v>17</v>
      </c>
      <c r="W28" s="715">
        <f t="shared" si="14"/>
        <v>100</v>
      </c>
      <c r="X28" s="1539"/>
      <c r="Y28" s="3486"/>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86"/>
      <c r="Q29" s="1536" t="str">
        <f t="shared" si="11"/>
        <v>成新率</v>
      </c>
      <c r="R29" s="714" t="s">
        <v>17</v>
      </c>
      <c r="S29" s="715" t="e">
        <f t="shared" si="12"/>
        <v>#N/A</v>
      </c>
      <c r="T29" s="714" t="s">
        <v>17</v>
      </c>
      <c r="U29" s="715" t="e">
        <f t="shared" si="13"/>
        <v>#N/A</v>
      </c>
      <c r="V29" s="714" t="s">
        <v>17</v>
      </c>
      <c r="W29" s="715" t="e">
        <f t="shared" si="14"/>
        <v>#N/A</v>
      </c>
      <c r="X29" s="1539"/>
      <c r="Y29" s="3486"/>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86"/>
      <c r="Q30" s="1536" t="str">
        <f t="shared" si="11"/>
        <v>物业等级</v>
      </c>
      <c r="R30" s="714" t="s">
        <v>17</v>
      </c>
      <c r="S30" s="715">
        <f t="shared" si="12"/>
        <v>100</v>
      </c>
      <c r="T30" s="714" t="s">
        <v>17</v>
      </c>
      <c r="U30" s="715">
        <f t="shared" si="13"/>
        <v>100</v>
      </c>
      <c r="V30" s="714" t="s">
        <v>17</v>
      </c>
      <c r="W30" s="715">
        <f t="shared" si="14"/>
        <v>100</v>
      </c>
      <c r="X30" s="1539"/>
      <c r="Y30" s="3486"/>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86"/>
      <c r="Q31" s="1527" t="str">
        <f t="shared" si="11"/>
        <v>停车位面积</v>
      </c>
      <c r="R31" s="710" t="s">
        <v>17</v>
      </c>
      <c r="S31" s="711" t="e">
        <f t="shared" si="12"/>
        <v>#N/A</v>
      </c>
      <c r="T31" s="710" t="s">
        <v>17</v>
      </c>
      <c r="U31" s="711" t="e">
        <f t="shared" si="13"/>
        <v>#N/A</v>
      </c>
      <c r="V31" s="710" t="s">
        <v>17</v>
      </c>
      <c r="W31" s="711" t="e">
        <f t="shared" si="14"/>
        <v>#N/A</v>
      </c>
      <c r="X31" s="712"/>
      <c r="Y31" s="3486"/>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86" t="s">
        <v>2386</v>
      </c>
      <c r="Q32" s="1536" t="str">
        <f t="shared" si="11"/>
        <v>车位类型</v>
      </c>
      <c r="R32" s="714" t="s">
        <v>17</v>
      </c>
      <c r="S32" s="715">
        <f t="shared" si="12"/>
        <v>100</v>
      </c>
      <c r="T32" s="714" t="s">
        <v>17</v>
      </c>
      <c r="U32" s="715">
        <f t="shared" si="13"/>
        <v>100</v>
      </c>
      <c r="V32" s="714" t="s">
        <v>17</v>
      </c>
      <c r="W32" s="715">
        <f t="shared" si="14"/>
        <v>100</v>
      </c>
      <c r="X32" s="1539"/>
      <c r="Y32" s="3486"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86"/>
      <c r="Q33" s="1536" t="str">
        <f t="shared" si="11"/>
        <v>是否直接入户</v>
      </c>
      <c r="R33" s="714" t="s">
        <v>17</v>
      </c>
      <c r="S33" s="715">
        <f t="shared" si="12"/>
        <v>100</v>
      </c>
      <c r="T33" s="714" t="s">
        <v>17</v>
      </c>
      <c r="U33" s="715">
        <f t="shared" si="13"/>
        <v>100</v>
      </c>
      <c r="V33" s="714" t="s">
        <v>17</v>
      </c>
      <c r="W33" s="715">
        <f t="shared" si="14"/>
        <v>100</v>
      </c>
      <c r="X33" s="1539"/>
      <c r="Y33" s="348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86"/>
      <c r="Q34" s="1536">
        <f t="shared" si="11"/>
        <v>111</v>
      </c>
      <c r="R34" s="714" t="s">
        <v>17</v>
      </c>
      <c r="S34" s="715">
        <f t="shared" si="12"/>
        <v>100</v>
      </c>
      <c r="T34" s="714" t="s">
        <v>17</v>
      </c>
      <c r="U34" s="715">
        <f t="shared" si="13"/>
        <v>100</v>
      </c>
      <c r="V34" s="714" t="s">
        <v>17</v>
      </c>
      <c r="W34" s="715">
        <f t="shared" si="14"/>
        <v>100</v>
      </c>
      <c r="X34" s="1539"/>
      <c r="Y34" s="348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86"/>
      <c r="Q35" s="716">
        <f t="shared" si="11"/>
        <v>111</v>
      </c>
      <c r="R35" s="717" t="s">
        <v>17</v>
      </c>
      <c r="S35" s="718">
        <f t="shared" si="12"/>
        <v>100</v>
      </c>
      <c r="T35" s="717" t="s">
        <v>17</v>
      </c>
      <c r="U35" s="718">
        <f t="shared" si="13"/>
        <v>100</v>
      </c>
      <c r="V35" s="717" t="s">
        <v>17</v>
      </c>
      <c r="W35" s="718">
        <f t="shared" si="14"/>
        <v>100</v>
      </c>
      <c r="X35" s="719"/>
      <c r="Y35" s="348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86"/>
      <c r="Q36" s="1536">
        <f t="shared" si="11"/>
        <v>111</v>
      </c>
      <c r="R36" s="714" t="s">
        <v>17</v>
      </c>
      <c r="S36" s="715">
        <f t="shared" si="12"/>
        <v>100</v>
      </c>
      <c r="T36" s="714" t="s">
        <v>17</v>
      </c>
      <c r="U36" s="715">
        <f t="shared" si="13"/>
        <v>100</v>
      </c>
      <c r="V36" s="714" t="s">
        <v>17</v>
      </c>
      <c r="W36" s="715">
        <f t="shared" si="14"/>
        <v>100</v>
      </c>
      <c r="X36" s="1539"/>
      <c r="Y36" s="3486"/>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481" t="str">
        <f>A37</f>
        <v>成交单价</v>
      </c>
      <c r="Q37" s="3481"/>
      <c r="R37" s="3568">
        <f>E37</f>
        <v>0</v>
      </c>
      <c r="S37" s="3568"/>
      <c r="T37" s="3568">
        <f>G37</f>
        <v>0</v>
      </c>
      <c r="U37" s="3568"/>
      <c r="V37" s="3568">
        <f>I37</f>
        <v>0</v>
      </c>
      <c r="W37" s="3568"/>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481" t="str">
        <f>A38</f>
        <v>比较价值（元/平方米）</v>
      </c>
      <c r="Q38" s="3481"/>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475" t="str">
        <f>A39</f>
        <v>估价对象XX用房的比较价值（楼面单价，元/平方米）</v>
      </c>
      <c r="Q39" s="3476"/>
      <c r="R39" s="3590" t="e">
        <f>IF(F1="售价",ROUND(IF(D38="简单平均",AVERAGE(R38:W38),R38*F38+T38*H38+V38*J38),0),ROUND(IF(D38="简单平均",AVERAGE(R38:V38),R38*F38+T38*H38+V38*J38),1))</f>
        <v>#DIV/0!</v>
      </c>
      <c r="S39" s="3590"/>
      <c r="T39" s="3590"/>
      <c r="U39" s="3590"/>
      <c r="V39" s="3590"/>
      <c r="W39" s="3590"/>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78" t="s">
        <v>2467</v>
      </c>
      <c r="D4" s="3491"/>
      <c r="E4" s="3492" t="s">
        <v>2468</v>
      </c>
      <c r="F4" s="3493"/>
      <c r="G4" s="3478" t="s">
        <v>2469</v>
      </c>
      <c r="H4" s="3491"/>
      <c r="I4" s="3478" t="s">
        <v>2470</v>
      </c>
      <c r="J4" s="3491"/>
      <c r="K4" s="567" t="s">
        <v>2471</v>
      </c>
      <c r="L4" s="2944"/>
      <c r="M4" s="2945"/>
      <c r="N4" s="2945"/>
      <c r="O4" s="2945"/>
      <c r="P4" s="3494" t="s">
        <v>2472</v>
      </c>
      <c r="Q4" s="3495"/>
      <c r="R4" s="3500" t="s">
        <v>2468</v>
      </c>
      <c r="S4" s="3501"/>
      <c r="T4" s="3500" t="s">
        <v>2469</v>
      </c>
      <c r="U4" s="3501"/>
      <c r="V4" s="3487" t="s">
        <v>2470</v>
      </c>
      <c r="W4" s="3487"/>
      <c r="X4" s="1539"/>
      <c r="Y4" s="3500" t="s">
        <v>2472</v>
      </c>
      <c r="Z4" s="3501"/>
      <c r="AA4" s="3488" t="s">
        <v>2468</v>
      </c>
      <c r="AB4" s="3489" t="s">
        <v>2469</v>
      </c>
      <c r="AC4" s="3488" t="s">
        <v>2470</v>
      </c>
    </row>
    <row r="5" spans="1:29" ht="15">
      <c r="A5" s="364"/>
      <c r="B5" s="365"/>
      <c r="C5" s="3508" t="s">
        <v>2363</v>
      </c>
      <c r="D5" s="3509"/>
      <c r="E5" s="3515" t="s">
        <v>2364</v>
      </c>
      <c r="F5" s="3516"/>
      <c r="G5" s="3508" t="s">
        <v>2365</v>
      </c>
      <c r="H5" s="3509"/>
      <c r="I5" s="3508" t="s">
        <v>2366</v>
      </c>
      <c r="J5" s="3509"/>
      <c r="K5" s="567"/>
      <c r="L5" s="2944"/>
      <c r="M5" s="2945"/>
      <c r="N5" s="2945"/>
      <c r="O5" s="2945"/>
      <c r="P5" s="3496"/>
      <c r="Q5" s="3497"/>
      <c r="R5" s="3502"/>
      <c r="S5" s="3503"/>
      <c r="T5" s="3502"/>
      <c r="U5" s="3503"/>
      <c r="V5" s="3487"/>
      <c r="W5" s="3487"/>
      <c r="X5" s="1539"/>
      <c r="Y5" s="3502"/>
      <c r="Z5" s="3503"/>
      <c r="AA5" s="3489"/>
      <c r="AB5" s="3489"/>
      <c r="AC5" s="3489"/>
    </row>
    <row r="6" spans="1:29" ht="15.75" thickBot="1">
      <c r="A6" s="366"/>
      <c r="B6" s="367"/>
      <c r="C6" s="3506" t="s">
        <v>2367</v>
      </c>
      <c r="D6" s="3507"/>
      <c r="E6" s="3513" t="s">
        <v>2367</v>
      </c>
      <c r="F6" s="3514"/>
      <c r="G6" s="3506" t="s">
        <v>2367</v>
      </c>
      <c r="H6" s="3507"/>
      <c r="I6" s="3506" t="s">
        <v>2367</v>
      </c>
      <c r="J6" s="3507"/>
      <c r="K6" s="567" t="s">
        <v>2368</v>
      </c>
      <c r="L6" s="2944"/>
      <c r="M6" s="2945"/>
      <c r="N6" s="2945"/>
      <c r="O6" s="2945"/>
      <c r="P6" s="3498"/>
      <c r="Q6" s="3499"/>
      <c r="R6" s="3502"/>
      <c r="S6" s="3503"/>
      <c r="T6" s="3504"/>
      <c r="U6" s="3505"/>
      <c r="V6" s="3487"/>
      <c r="W6" s="3487"/>
      <c r="X6" s="1539"/>
      <c r="Y6" s="3504"/>
      <c r="Z6" s="3505"/>
      <c r="AA6" s="3490"/>
      <c r="AB6" s="3490"/>
      <c r="AC6" s="3490"/>
    </row>
    <row r="7" spans="1:29" s="113" customFormat="1" ht="15.75" thickBot="1">
      <c r="A7" s="368" t="s">
        <v>2369</v>
      </c>
      <c r="B7" s="369"/>
      <c r="C7" s="370">
        <f>'数据-取费表'!B2</f>
        <v>44548</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510" t="s">
        <v>2370</v>
      </c>
      <c r="Q7" s="3512"/>
      <c r="R7" s="710" t="s">
        <v>17</v>
      </c>
      <c r="S7" s="711">
        <f t="shared" ref="S7:S14" si="0">F7</f>
        <v>0</v>
      </c>
      <c r="T7" s="710" t="s">
        <v>17</v>
      </c>
      <c r="U7" s="711">
        <f t="shared" ref="U7:U14" si="1">H7</f>
        <v>0</v>
      </c>
      <c r="V7" s="710" t="s">
        <v>17</v>
      </c>
      <c r="W7" s="711">
        <f t="shared" ref="W7:W14" si="2">J7</f>
        <v>0</v>
      </c>
      <c r="X7" s="712"/>
      <c r="Y7" s="3510" t="s">
        <v>2370</v>
      </c>
      <c r="Z7" s="351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510" t="s">
        <v>2373</v>
      </c>
      <c r="Q8" s="3511"/>
      <c r="R8" s="710" t="s">
        <v>17</v>
      </c>
      <c r="S8" s="711">
        <f t="shared" si="0"/>
        <v>0</v>
      </c>
      <c r="T8" s="710" t="s">
        <v>17</v>
      </c>
      <c r="U8" s="711">
        <f t="shared" si="1"/>
        <v>0</v>
      </c>
      <c r="V8" s="710" t="s">
        <v>17</v>
      </c>
      <c r="W8" s="711">
        <f t="shared" si="2"/>
        <v>0</v>
      </c>
      <c r="X8" s="712"/>
      <c r="Y8" s="3510" t="s">
        <v>2373</v>
      </c>
      <c r="Z8" s="351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81" t="s">
        <v>2376</v>
      </c>
      <c r="Q9" s="1527" t="str">
        <f t="shared" ref="Q9:Q14" si="6">B9</f>
        <v>用途</v>
      </c>
      <c r="R9" s="710" t="s">
        <v>17</v>
      </c>
      <c r="S9" s="711">
        <f t="shared" si="0"/>
        <v>100</v>
      </c>
      <c r="T9" s="710" t="s">
        <v>17</v>
      </c>
      <c r="U9" s="711">
        <f t="shared" si="1"/>
        <v>100</v>
      </c>
      <c r="V9" s="710" t="s">
        <v>17</v>
      </c>
      <c r="W9" s="711">
        <f t="shared" si="2"/>
        <v>100</v>
      </c>
      <c r="X9" s="712"/>
      <c r="Y9" s="337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81"/>
      <c r="Q10" s="152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81"/>
      <c r="Q11" s="152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81"/>
      <c r="Q12" s="152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481"/>
      <c r="Q13" s="152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83" t="s">
        <v>2381</v>
      </c>
      <c r="Q14" s="1536" t="str">
        <f t="shared" si="6"/>
        <v>交通便捷度</v>
      </c>
      <c r="R14" s="714" t="s">
        <v>17</v>
      </c>
      <c r="S14" s="715">
        <f t="shared" si="0"/>
        <v>100</v>
      </c>
      <c r="T14" s="714" t="s">
        <v>17</v>
      </c>
      <c r="U14" s="715">
        <f t="shared" si="1"/>
        <v>100</v>
      </c>
      <c r="V14" s="714" t="s">
        <v>17</v>
      </c>
      <c r="W14" s="715">
        <f t="shared" si="2"/>
        <v>100</v>
      </c>
      <c r="X14" s="1539"/>
      <c r="Y14" s="348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84"/>
      <c r="Q15" s="1536"/>
      <c r="R15" s="714"/>
      <c r="S15" s="715"/>
      <c r="T15" s="714"/>
      <c r="U15" s="715"/>
      <c r="V15" s="714"/>
      <c r="W15" s="715"/>
      <c r="X15" s="1539"/>
      <c r="Y15" s="3484"/>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84"/>
      <c r="Q16" s="1536" t="str">
        <f>B16</f>
        <v>公共配套设施</v>
      </c>
      <c r="R16" s="714" t="s">
        <v>17</v>
      </c>
      <c r="S16" s="715">
        <f>F16</f>
        <v>100</v>
      </c>
      <c r="T16" s="714" t="s">
        <v>17</v>
      </c>
      <c r="U16" s="715">
        <f>H16</f>
        <v>100</v>
      </c>
      <c r="V16" s="714" t="s">
        <v>17</v>
      </c>
      <c r="W16" s="715">
        <f>J16</f>
        <v>100</v>
      </c>
      <c r="X16" s="1539"/>
      <c r="Y16" s="348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84"/>
      <c r="Q17" s="1536"/>
      <c r="R17" s="714"/>
      <c r="S17" s="715"/>
      <c r="T17" s="714"/>
      <c r="U17" s="715"/>
      <c r="V17" s="714"/>
      <c r="W17" s="715"/>
      <c r="X17" s="1539"/>
      <c r="Y17" s="3484"/>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84"/>
      <c r="Q18" s="1536" t="str">
        <f>B18</f>
        <v>基础设施水平</v>
      </c>
      <c r="R18" s="714" t="s">
        <v>17</v>
      </c>
      <c r="S18" s="715">
        <f>F18</f>
        <v>100</v>
      </c>
      <c r="T18" s="714" t="s">
        <v>17</v>
      </c>
      <c r="U18" s="715">
        <f>H18</f>
        <v>100</v>
      </c>
      <c r="V18" s="714" t="s">
        <v>17</v>
      </c>
      <c r="W18" s="715">
        <f>J18</f>
        <v>100</v>
      </c>
      <c r="X18" s="1539"/>
      <c r="Y18" s="348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84"/>
      <c r="Q19" s="1536"/>
      <c r="R19" s="714"/>
      <c r="S19" s="715"/>
      <c r="T19" s="714"/>
      <c r="U19" s="715"/>
      <c r="V19" s="714"/>
      <c r="W19" s="715"/>
      <c r="X19" s="1539"/>
      <c r="Y19" s="3484"/>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84"/>
      <c r="Q20" s="1536" t="str">
        <f>B20</f>
        <v>自然及人文环境</v>
      </c>
      <c r="R20" s="714" t="s">
        <v>17</v>
      </c>
      <c r="S20" s="715">
        <f>F20</f>
        <v>100</v>
      </c>
      <c r="T20" s="714" t="s">
        <v>17</v>
      </c>
      <c r="U20" s="715">
        <f>H20</f>
        <v>100</v>
      </c>
      <c r="V20" s="714" t="s">
        <v>17</v>
      </c>
      <c r="W20" s="715">
        <f>J20</f>
        <v>100</v>
      </c>
      <c r="X20" s="1539"/>
      <c r="Y20" s="348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84"/>
      <c r="Q21" s="1536"/>
      <c r="R21" s="714"/>
      <c r="S21" s="715"/>
      <c r="T21" s="714"/>
      <c r="U21" s="715"/>
      <c r="V21" s="714"/>
      <c r="W21" s="715"/>
      <c r="X21" s="1539"/>
      <c r="Y21" s="348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84"/>
      <c r="Q22" s="1536" t="str">
        <f>B22</f>
        <v>楼层</v>
      </c>
      <c r="R22" s="714" t="s">
        <v>17</v>
      </c>
      <c r="S22" s="715">
        <f>F22</f>
        <v>100</v>
      </c>
      <c r="T22" s="714" t="s">
        <v>17</v>
      </c>
      <c r="U22" s="715">
        <f>H22</f>
        <v>100</v>
      </c>
      <c r="V22" s="714" t="s">
        <v>17</v>
      </c>
      <c r="W22" s="715">
        <f>J22</f>
        <v>100</v>
      </c>
      <c r="X22" s="1539"/>
      <c r="Y22" s="348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84"/>
      <c r="Q23" s="1536">
        <f>B23</f>
        <v>111</v>
      </c>
      <c r="R23" s="714" t="s">
        <v>17</v>
      </c>
      <c r="S23" s="715">
        <f>F23</f>
        <v>100</v>
      </c>
      <c r="T23" s="714" t="s">
        <v>17</v>
      </c>
      <c r="U23" s="715">
        <f>H23</f>
        <v>100</v>
      </c>
      <c r="V23" s="714" t="s">
        <v>17</v>
      </c>
      <c r="W23" s="715">
        <f>J23</f>
        <v>100</v>
      </c>
      <c r="X23" s="1539"/>
      <c r="Y23" s="348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84"/>
      <c r="Q24" s="1536">
        <f t="shared" ref="Q24:Q34" si="11">B24</f>
        <v>111</v>
      </c>
      <c r="R24" s="714" t="s">
        <v>17</v>
      </c>
      <c r="S24" s="715">
        <f>F24</f>
        <v>100</v>
      </c>
      <c r="T24" s="714" t="s">
        <v>17</v>
      </c>
      <c r="U24" s="715">
        <f>H24</f>
        <v>100</v>
      </c>
      <c r="V24" s="714" t="s">
        <v>17</v>
      </c>
      <c r="W24" s="715">
        <f>J24</f>
        <v>100</v>
      </c>
      <c r="X24" s="1539"/>
      <c r="Y24" s="348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84"/>
      <c r="Q25" s="1527">
        <f t="shared" si="11"/>
        <v>111</v>
      </c>
      <c r="R25" s="710" t="s">
        <v>17</v>
      </c>
      <c r="S25" s="711">
        <f>F25</f>
        <v>100</v>
      </c>
      <c r="T25" s="710" t="s">
        <v>17</v>
      </c>
      <c r="U25" s="711">
        <f>H25</f>
        <v>100</v>
      </c>
      <c r="V25" s="710" t="s">
        <v>17</v>
      </c>
      <c r="W25" s="711">
        <f>J25</f>
        <v>100</v>
      </c>
      <c r="X25" s="712"/>
      <c r="Y25" s="3484"/>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485"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86"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86"/>
      <c r="Q27" s="716" t="str">
        <f t="shared" si="11"/>
        <v>成新率</v>
      </c>
      <c r="R27" s="717" t="s">
        <v>17</v>
      </c>
      <c r="S27" s="718" t="e">
        <f t="shared" si="12"/>
        <v>#N/A</v>
      </c>
      <c r="T27" s="717" t="s">
        <v>17</v>
      </c>
      <c r="U27" s="718" t="e">
        <f t="shared" si="13"/>
        <v>#N/A</v>
      </c>
      <c r="V27" s="717" t="s">
        <v>17</v>
      </c>
      <c r="W27" s="718" t="e">
        <f t="shared" si="14"/>
        <v>#N/A</v>
      </c>
      <c r="X27" s="719"/>
      <c r="Y27" s="3486"/>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86"/>
      <c r="Q28" s="1536" t="str">
        <f t="shared" si="11"/>
        <v>物业等级</v>
      </c>
      <c r="R28" s="714" t="s">
        <v>17</v>
      </c>
      <c r="S28" s="715">
        <f t="shared" si="12"/>
        <v>100</v>
      </c>
      <c r="T28" s="714" t="s">
        <v>17</v>
      </c>
      <c r="U28" s="715">
        <f t="shared" si="13"/>
        <v>100</v>
      </c>
      <c r="V28" s="714" t="s">
        <v>17</v>
      </c>
      <c r="W28" s="715">
        <f t="shared" si="14"/>
        <v>100</v>
      </c>
      <c r="X28" s="1539"/>
      <c r="Y28" s="3486"/>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86"/>
      <c r="Q29" s="1536" t="str">
        <f t="shared" si="11"/>
        <v>有无电梯</v>
      </c>
      <c r="R29" s="714" t="s">
        <v>17</v>
      </c>
      <c r="S29" s="715">
        <f t="shared" si="12"/>
        <v>100</v>
      </c>
      <c r="T29" s="714" t="s">
        <v>17</v>
      </c>
      <c r="U29" s="715">
        <f t="shared" si="13"/>
        <v>100</v>
      </c>
      <c r="V29" s="714" t="s">
        <v>17</v>
      </c>
      <c r="W29" s="715">
        <f t="shared" si="14"/>
        <v>100</v>
      </c>
      <c r="X29" s="1539"/>
      <c r="Y29" s="3486"/>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86"/>
      <c r="Q30" s="1536" t="str">
        <f t="shared" si="11"/>
        <v>建筑面积</v>
      </c>
      <c r="R30" s="714" t="s">
        <v>17</v>
      </c>
      <c r="S30" s="715" t="e">
        <f t="shared" si="12"/>
        <v>#N/A</v>
      </c>
      <c r="T30" s="714" t="s">
        <v>17</v>
      </c>
      <c r="U30" s="715" t="e">
        <f t="shared" si="13"/>
        <v>#N/A</v>
      </c>
      <c r="V30" s="714" t="s">
        <v>17</v>
      </c>
      <c r="W30" s="715" t="e">
        <f t="shared" si="14"/>
        <v>#N/A</v>
      </c>
      <c r="X30" s="1539"/>
      <c r="Y30" s="3486"/>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86"/>
      <c r="Q31" s="1527" t="str">
        <f t="shared" si="11"/>
        <v>是否封闭</v>
      </c>
      <c r="R31" s="710" t="s">
        <v>17</v>
      </c>
      <c r="S31" s="711">
        <f t="shared" si="12"/>
        <v>100</v>
      </c>
      <c r="T31" s="710" t="s">
        <v>17</v>
      </c>
      <c r="U31" s="711">
        <f t="shared" si="13"/>
        <v>100</v>
      </c>
      <c r="V31" s="710" t="s">
        <v>17</v>
      </c>
      <c r="W31" s="711">
        <f t="shared" si="14"/>
        <v>100</v>
      </c>
      <c r="X31" s="712"/>
      <c r="Y31" s="348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86" t="s">
        <v>2386</v>
      </c>
      <c r="Q32" s="1536">
        <f t="shared" si="11"/>
        <v>111</v>
      </c>
      <c r="R32" s="714" t="s">
        <v>17</v>
      </c>
      <c r="S32" s="715">
        <f t="shared" si="12"/>
        <v>100</v>
      </c>
      <c r="T32" s="714" t="s">
        <v>17</v>
      </c>
      <c r="U32" s="715">
        <f t="shared" si="13"/>
        <v>100</v>
      </c>
      <c r="V32" s="714" t="s">
        <v>17</v>
      </c>
      <c r="W32" s="715">
        <f t="shared" si="14"/>
        <v>100</v>
      </c>
      <c r="X32" s="1539"/>
      <c r="Y32" s="3486"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86"/>
      <c r="Q33" s="1536">
        <f t="shared" si="11"/>
        <v>111</v>
      </c>
      <c r="R33" s="714" t="s">
        <v>17</v>
      </c>
      <c r="S33" s="715">
        <f t="shared" si="12"/>
        <v>100</v>
      </c>
      <c r="T33" s="714" t="s">
        <v>17</v>
      </c>
      <c r="U33" s="715">
        <f t="shared" si="13"/>
        <v>100</v>
      </c>
      <c r="V33" s="714" t="s">
        <v>17</v>
      </c>
      <c r="W33" s="715">
        <f t="shared" si="14"/>
        <v>100</v>
      </c>
      <c r="X33" s="1539"/>
      <c r="Y33" s="348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486"/>
      <c r="Q34" s="1536">
        <f t="shared" si="11"/>
        <v>111</v>
      </c>
      <c r="R34" s="714" t="s">
        <v>17</v>
      </c>
      <c r="S34" s="715">
        <f t="shared" si="12"/>
        <v>100</v>
      </c>
      <c r="T34" s="714" t="s">
        <v>17</v>
      </c>
      <c r="U34" s="715">
        <f t="shared" si="13"/>
        <v>100</v>
      </c>
      <c r="V34" s="714" t="s">
        <v>17</v>
      </c>
      <c r="W34" s="715">
        <f t="shared" si="14"/>
        <v>100</v>
      </c>
      <c r="X34" s="1539"/>
      <c r="Y34" s="3486"/>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481" t="str">
        <f>A35</f>
        <v>成交单价（元/平方米）</v>
      </c>
      <c r="Q35" s="3481"/>
      <c r="R35" s="3568">
        <f>E35</f>
        <v>0</v>
      </c>
      <c r="S35" s="3568"/>
      <c r="T35" s="3568">
        <f>G35</f>
        <v>0</v>
      </c>
      <c r="U35" s="3568"/>
      <c r="V35" s="3568">
        <f>I35</f>
        <v>0</v>
      </c>
      <c r="W35" s="3568"/>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481" t="str">
        <f>A36</f>
        <v>比较价值（元/平方米）</v>
      </c>
      <c r="Q36" s="3481"/>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475" t="str">
        <f>A37</f>
        <v>估价对象XX用房的比较价值（楼面单价，元/平方米）</v>
      </c>
      <c r="Q37" s="3476"/>
      <c r="R37" s="3590" t="e">
        <f>IF(F1="售价",ROUND(IF(D36="简单平均",AVERAGE(R36:W36),R36*F36+T36*H36+V36*J36),0),ROUND(IF(D36="简单平均",AVERAGE(R36:V36),R36*F36+T36*H36+V36*J36),1))</f>
        <v>#DIV/0!</v>
      </c>
      <c r="S37" s="3590"/>
      <c r="T37" s="3590"/>
      <c r="U37" s="3590"/>
      <c r="V37" s="3590"/>
      <c r="W37" s="3590"/>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78" t="s">
        <v>2467</v>
      </c>
      <c r="D4" s="3491"/>
      <c r="E4" s="3492" t="s">
        <v>2468</v>
      </c>
      <c r="F4" s="3493"/>
      <c r="G4" s="3478" t="s">
        <v>2469</v>
      </c>
      <c r="H4" s="3491"/>
      <c r="I4" s="3478" t="s">
        <v>2470</v>
      </c>
      <c r="J4" s="3491"/>
      <c r="K4" s="567" t="s">
        <v>2471</v>
      </c>
      <c r="L4" s="2944"/>
      <c r="M4" s="2945"/>
      <c r="N4" s="2945"/>
      <c r="O4" s="2945"/>
      <c r="P4" s="3494" t="s">
        <v>2472</v>
      </c>
      <c r="Q4" s="3495"/>
      <c r="R4" s="3500" t="s">
        <v>2468</v>
      </c>
      <c r="S4" s="3501"/>
      <c r="T4" s="3500" t="s">
        <v>2469</v>
      </c>
      <c r="U4" s="3501"/>
      <c r="V4" s="3487" t="s">
        <v>2470</v>
      </c>
      <c r="W4" s="3487"/>
      <c r="X4" s="1539"/>
      <c r="Y4" s="3500" t="s">
        <v>2472</v>
      </c>
      <c r="Z4" s="3501"/>
      <c r="AA4" s="3488" t="s">
        <v>2468</v>
      </c>
      <c r="AB4" s="3489" t="s">
        <v>2469</v>
      </c>
      <c r="AC4" s="3488" t="s">
        <v>2470</v>
      </c>
    </row>
    <row r="5" spans="1:29" ht="15">
      <c r="A5" s="364"/>
      <c r="B5" s="365"/>
      <c r="C5" s="3508" t="s">
        <v>2363</v>
      </c>
      <c r="D5" s="3509"/>
      <c r="E5" s="3515" t="s">
        <v>2364</v>
      </c>
      <c r="F5" s="3516"/>
      <c r="G5" s="3508" t="s">
        <v>2365</v>
      </c>
      <c r="H5" s="3509"/>
      <c r="I5" s="3508" t="s">
        <v>2366</v>
      </c>
      <c r="J5" s="3509"/>
      <c r="K5" s="567"/>
      <c r="L5" s="2944"/>
      <c r="M5" s="2945"/>
      <c r="N5" s="2945"/>
      <c r="O5" s="2945"/>
      <c r="P5" s="3496"/>
      <c r="Q5" s="3497"/>
      <c r="R5" s="3502"/>
      <c r="S5" s="3503"/>
      <c r="T5" s="3502"/>
      <c r="U5" s="3503"/>
      <c r="V5" s="3487"/>
      <c r="W5" s="3487"/>
      <c r="X5" s="1539"/>
      <c r="Y5" s="3502"/>
      <c r="Z5" s="3503"/>
      <c r="AA5" s="3489"/>
      <c r="AB5" s="3489"/>
      <c r="AC5" s="3489"/>
    </row>
    <row r="6" spans="1:29" ht="15.75" thickBot="1">
      <c r="A6" s="366"/>
      <c r="B6" s="367"/>
      <c r="C6" s="3591" t="s">
        <v>2618</v>
      </c>
      <c r="D6" s="3592"/>
      <c r="E6" s="3593" t="s">
        <v>2618</v>
      </c>
      <c r="F6" s="3594"/>
      <c r="G6" s="3591" t="s">
        <v>2618</v>
      </c>
      <c r="H6" s="3592"/>
      <c r="I6" s="3591" t="s">
        <v>2618</v>
      </c>
      <c r="J6" s="3592"/>
      <c r="K6" s="567" t="s">
        <v>2368</v>
      </c>
      <c r="L6" s="2944"/>
      <c r="M6" s="2945"/>
      <c r="N6" s="2945"/>
      <c r="O6" s="2945"/>
      <c r="P6" s="3498"/>
      <c r="Q6" s="3499"/>
      <c r="R6" s="3502"/>
      <c r="S6" s="3503"/>
      <c r="T6" s="3504"/>
      <c r="U6" s="3505"/>
      <c r="V6" s="3487"/>
      <c r="W6" s="3487"/>
      <c r="X6" s="1539"/>
      <c r="Y6" s="3504"/>
      <c r="Z6" s="3505"/>
      <c r="AA6" s="3490"/>
      <c r="AB6" s="3490"/>
      <c r="AC6" s="3490"/>
    </row>
    <row r="7" spans="1:29" s="113" customFormat="1" ht="15.75" thickBot="1">
      <c r="A7" s="368" t="s">
        <v>2369</v>
      </c>
      <c r="B7" s="369"/>
      <c r="C7" s="370">
        <f>'数据-取费表'!B2</f>
        <v>44548</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510" t="s">
        <v>2370</v>
      </c>
      <c r="Q7" s="3512"/>
      <c r="R7" s="710" t="s">
        <v>17</v>
      </c>
      <c r="S7" s="711">
        <f t="shared" ref="S7:S15" si="0">F7</f>
        <v>0</v>
      </c>
      <c r="T7" s="710" t="s">
        <v>17</v>
      </c>
      <c r="U7" s="711">
        <f t="shared" ref="U7:U15" si="1">H7</f>
        <v>0</v>
      </c>
      <c r="V7" s="710" t="s">
        <v>17</v>
      </c>
      <c r="W7" s="711">
        <f t="shared" ref="W7:W15" si="2">J7</f>
        <v>0</v>
      </c>
      <c r="X7" s="712"/>
      <c r="Y7" s="3510" t="s">
        <v>2370</v>
      </c>
      <c r="Z7" s="351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510" t="s">
        <v>2373</v>
      </c>
      <c r="Q8" s="3511"/>
      <c r="R8" s="710" t="s">
        <v>17</v>
      </c>
      <c r="S8" s="711">
        <f t="shared" si="0"/>
        <v>0</v>
      </c>
      <c r="T8" s="710" t="s">
        <v>17</v>
      </c>
      <c r="U8" s="711">
        <f t="shared" si="1"/>
        <v>0</v>
      </c>
      <c r="V8" s="710" t="s">
        <v>17</v>
      </c>
      <c r="W8" s="711">
        <f t="shared" si="2"/>
        <v>0</v>
      </c>
      <c r="X8" s="712"/>
      <c r="Y8" s="3510" t="s">
        <v>2373</v>
      </c>
      <c r="Z8" s="351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481" t="s">
        <v>2376</v>
      </c>
      <c r="Q9" s="1527" t="str">
        <f t="shared" ref="Q9:Q15" si="6">B9</f>
        <v>用途</v>
      </c>
      <c r="R9" s="710" t="s">
        <v>17</v>
      </c>
      <c r="S9" s="711">
        <f t="shared" si="0"/>
        <v>100</v>
      </c>
      <c r="T9" s="710" t="s">
        <v>17</v>
      </c>
      <c r="U9" s="711">
        <f t="shared" si="1"/>
        <v>100</v>
      </c>
      <c r="V9" s="710" t="s">
        <v>17</v>
      </c>
      <c r="W9" s="711">
        <f t="shared" si="2"/>
        <v>100</v>
      </c>
      <c r="X9" s="712"/>
      <c r="Y9" s="337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107</v>
      </c>
      <c r="G10" s="391"/>
      <c r="H10" s="132">
        <f>ROUND(100/'数据-取费表'!G16,0)</f>
        <v>107</v>
      </c>
      <c r="I10" s="391"/>
      <c r="J10" s="132">
        <f>ROUND(100/'数据-取费表'!G16,0)</f>
        <v>107</v>
      </c>
      <c r="K10" s="628"/>
      <c r="L10" s="2948"/>
      <c r="M10" s="2949"/>
      <c r="N10" s="2949"/>
      <c r="O10" s="3002"/>
      <c r="P10" s="3481"/>
      <c r="Q10" s="1527" t="str">
        <f t="shared" si="6"/>
        <v>土地使用年限（年）</v>
      </c>
      <c r="R10" s="710" t="s">
        <v>17</v>
      </c>
      <c r="S10" s="711">
        <f t="shared" si="0"/>
        <v>107</v>
      </c>
      <c r="T10" s="710" t="s">
        <v>17</v>
      </c>
      <c r="U10" s="711">
        <f t="shared" si="1"/>
        <v>107</v>
      </c>
      <c r="V10" s="710" t="s">
        <v>17</v>
      </c>
      <c r="W10" s="711">
        <f t="shared" si="2"/>
        <v>107</v>
      </c>
      <c r="X10" s="712"/>
      <c r="Y10" s="3375"/>
      <c r="Z10" s="55" t="str">
        <f t="shared" si="7"/>
        <v>土地使用年限（年）</v>
      </c>
      <c r="AA10" s="713">
        <f t="shared" si="3"/>
        <v>0.93457943925233644</v>
      </c>
      <c r="AB10" s="713">
        <f t="shared" si="4"/>
        <v>0.93457943925233644</v>
      </c>
      <c r="AC10" s="713">
        <f t="shared" si="5"/>
        <v>0.93457943925233644</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81"/>
      <c r="Q11" s="152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81"/>
      <c r="Q12" s="152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81"/>
      <c r="Q13" s="152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81"/>
      <c r="Q14" s="152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83" t="s">
        <v>2381</v>
      </c>
      <c r="Q15" s="1536" t="str">
        <f t="shared" si="6"/>
        <v>产业集聚程度</v>
      </c>
      <c r="R15" s="714" t="s">
        <v>17</v>
      </c>
      <c r="S15" s="715">
        <f t="shared" si="0"/>
        <v>100</v>
      </c>
      <c r="T15" s="714" t="s">
        <v>17</v>
      </c>
      <c r="U15" s="715">
        <f t="shared" si="1"/>
        <v>100</v>
      </c>
      <c r="V15" s="714" t="s">
        <v>17</v>
      </c>
      <c r="W15" s="715">
        <f t="shared" si="2"/>
        <v>100</v>
      </c>
      <c r="X15" s="1539"/>
      <c r="Y15" s="3483"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84"/>
      <c r="Q16" s="1536"/>
      <c r="R16" s="714"/>
      <c r="S16" s="715"/>
      <c r="T16" s="714"/>
      <c r="U16" s="715"/>
      <c r="V16" s="714"/>
      <c r="W16" s="715"/>
      <c r="X16" s="1539"/>
      <c r="Y16" s="3484"/>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84"/>
      <c r="Q17" s="1536" t="str">
        <f>B17</f>
        <v>交通便捷度</v>
      </c>
      <c r="R17" s="714" t="s">
        <v>17</v>
      </c>
      <c r="S17" s="715">
        <f>F17</f>
        <v>100</v>
      </c>
      <c r="T17" s="714" t="s">
        <v>17</v>
      </c>
      <c r="U17" s="715">
        <f>H17</f>
        <v>100</v>
      </c>
      <c r="V17" s="714" t="s">
        <v>17</v>
      </c>
      <c r="W17" s="715">
        <f>J17</f>
        <v>100</v>
      </c>
      <c r="X17" s="1539"/>
      <c r="Y17" s="348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84"/>
      <c r="Q18" s="1536"/>
      <c r="R18" s="714"/>
      <c r="S18" s="715"/>
      <c r="T18" s="714"/>
      <c r="U18" s="715"/>
      <c r="V18" s="714"/>
      <c r="W18" s="715"/>
      <c r="X18" s="1539"/>
      <c r="Y18" s="3484"/>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84"/>
      <c r="Q19" s="1536" t="str">
        <f t="shared" ref="Q19:Q33" si="8">B19</f>
        <v>区域土地利用方向</v>
      </c>
      <c r="R19" s="714" t="s">
        <v>17</v>
      </c>
      <c r="S19" s="715">
        <f>F19</f>
        <v>100</v>
      </c>
      <c r="T19" s="714" t="s">
        <v>17</v>
      </c>
      <c r="U19" s="715">
        <f>H19</f>
        <v>100</v>
      </c>
      <c r="V19" s="714" t="s">
        <v>17</v>
      </c>
      <c r="W19" s="715">
        <f>J19</f>
        <v>100</v>
      </c>
      <c r="X19" s="1539"/>
      <c r="Y19" s="348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84"/>
      <c r="Q20" s="1536"/>
      <c r="R20" s="714"/>
      <c r="S20" s="715"/>
      <c r="T20" s="714"/>
      <c r="U20" s="715"/>
      <c r="V20" s="714"/>
      <c r="W20" s="715"/>
      <c r="X20" s="1539"/>
      <c r="Y20" s="3484"/>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84"/>
      <c r="Q21" s="1536" t="str">
        <f t="shared" si="8"/>
        <v>环境状况</v>
      </c>
      <c r="R21" s="714" t="s">
        <v>17</v>
      </c>
      <c r="S21" s="715">
        <f>F21</f>
        <v>100</v>
      </c>
      <c r="T21" s="714" t="s">
        <v>17</v>
      </c>
      <c r="U21" s="715">
        <f>H21</f>
        <v>100</v>
      </c>
      <c r="V21" s="714" t="s">
        <v>17</v>
      </c>
      <c r="W21" s="715">
        <f>J21</f>
        <v>100</v>
      </c>
      <c r="X21" s="1539"/>
      <c r="Y21" s="348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84"/>
      <c r="Q22" s="1536"/>
      <c r="R22" s="714"/>
      <c r="S22" s="715"/>
      <c r="T22" s="714"/>
      <c r="U22" s="715"/>
      <c r="V22" s="714"/>
      <c r="W22" s="715"/>
      <c r="X22" s="1539"/>
      <c r="Y22" s="3484"/>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84"/>
      <c r="Q23" s="1527" t="str">
        <f t="shared" si="8"/>
        <v>公共配套设施</v>
      </c>
      <c r="R23" s="710" t="s">
        <v>17</v>
      </c>
      <c r="S23" s="711">
        <f>F23</f>
        <v>100</v>
      </c>
      <c r="T23" s="710" t="s">
        <v>17</v>
      </c>
      <c r="U23" s="711">
        <f>H23</f>
        <v>100</v>
      </c>
      <c r="V23" s="710" t="s">
        <v>17</v>
      </c>
      <c r="W23" s="711">
        <f>J23</f>
        <v>100</v>
      </c>
      <c r="X23" s="712"/>
      <c r="Y23" s="348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84"/>
      <c r="Q24" s="1527"/>
      <c r="R24" s="710"/>
      <c r="S24" s="711"/>
      <c r="T24" s="710"/>
      <c r="U24" s="711"/>
      <c r="V24" s="710"/>
      <c r="W24" s="711"/>
      <c r="X24" s="712"/>
      <c r="Y24" s="3484"/>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84"/>
      <c r="Q25" s="1527" t="str">
        <f t="shared" ref="Q25" si="9">B25</f>
        <v>基础设施水平</v>
      </c>
      <c r="R25" s="710" t="s">
        <v>17</v>
      </c>
      <c r="S25" s="711">
        <f>F25</f>
        <v>100</v>
      </c>
      <c r="T25" s="710" t="s">
        <v>17</v>
      </c>
      <c r="U25" s="711">
        <f>H25</f>
        <v>100</v>
      </c>
      <c r="V25" s="710" t="s">
        <v>17</v>
      </c>
      <c r="W25" s="711">
        <f>J25</f>
        <v>100</v>
      </c>
      <c r="X25" s="712"/>
      <c r="Y25" s="348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84"/>
      <c r="Q26" s="1527"/>
      <c r="R26" s="710"/>
      <c r="S26" s="711"/>
      <c r="T26" s="710"/>
      <c r="U26" s="711"/>
      <c r="V26" s="710"/>
      <c r="W26" s="711"/>
      <c r="X26" s="712"/>
      <c r="Y26" s="348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8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84"/>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84"/>
      <c r="Q28" s="1536" t="str">
        <f t="shared" si="8"/>
        <v>毗邻道路的类型与等级</v>
      </c>
      <c r="R28" s="714" t="s">
        <v>17</v>
      </c>
      <c r="S28" s="715">
        <f t="shared" si="10"/>
        <v>100</v>
      </c>
      <c r="T28" s="714" t="s">
        <v>17</v>
      </c>
      <c r="U28" s="715">
        <f t="shared" si="11"/>
        <v>100</v>
      </c>
      <c r="V28" s="714" t="s">
        <v>17</v>
      </c>
      <c r="W28" s="715">
        <f t="shared" si="12"/>
        <v>100</v>
      </c>
      <c r="X28" s="1539"/>
      <c r="Y28" s="348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84"/>
      <c r="Q29" s="1536"/>
      <c r="R29" s="714"/>
      <c r="S29" s="715"/>
      <c r="T29" s="714"/>
      <c r="U29" s="715"/>
      <c r="V29" s="714"/>
      <c r="W29" s="715"/>
      <c r="X29" s="1539"/>
      <c r="Y29" s="3484"/>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84"/>
      <c r="Q30" s="1536" t="str">
        <f t="shared" si="8"/>
        <v>土地级别</v>
      </c>
      <c r="R30" s="714" t="s">
        <v>17</v>
      </c>
      <c r="S30" s="715">
        <f t="shared" si="10"/>
        <v>100</v>
      </c>
      <c r="T30" s="714" t="s">
        <v>17</v>
      </c>
      <c r="U30" s="715">
        <f t="shared" si="11"/>
        <v>100</v>
      </c>
      <c r="V30" s="714" t="s">
        <v>17</v>
      </c>
      <c r="W30" s="715">
        <f t="shared" si="12"/>
        <v>100</v>
      </c>
      <c r="X30" s="1539"/>
      <c r="Y30" s="348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84"/>
      <c r="Q31" s="1536">
        <f t="shared" si="8"/>
        <v>111</v>
      </c>
      <c r="R31" s="714" t="s">
        <v>17</v>
      </c>
      <c r="S31" s="715">
        <f t="shared" si="10"/>
        <v>100</v>
      </c>
      <c r="T31" s="714" t="s">
        <v>17</v>
      </c>
      <c r="U31" s="715">
        <f t="shared" si="11"/>
        <v>100</v>
      </c>
      <c r="V31" s="714" t="s">
        <v>17</v>
      </c>
      <c r="W31" s="715">
        <f t="shared" si="12"/>
        <v>100</v>
      </c>
      <c r="X31" s="1539"/>
      <c r="Y31" s="348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85" t="s">
        <v>2386</v>
      </c>
      <c r="Q32" s="1536">
        <f t="shared" si="8"/>
        <v>111</v>
      </c>
      <c r="R32" s="714" t="s">
        <v>17</v>
      </c>
      <c r="S32" s="715">
        <f t="shared" si="10"/>
        <v>100</v>
      </c>
      <c r="T32" s="714" t="s">
        <v>17</v>
      </c>
      <c r="U32" s="715">
        <f t="shared" si="11"/>
        <v>100</v>
      </c>
      <c r="V32" s="714" t="s">
        <v>17</v>
      </c>
      <c r="W32" s="715">
        <f t="shared" si="12"/>
        <v>100</v>
      </c>
      <c r="X32" s="1539"/>
      <c r="Y32" s="3486"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86"/>
      <c r="Q33" s="1536">
        <f t="shared" si="8"/>
        <v>111</v>
      </c>
      <c r="R33" s="717" t="s">
        <v>17</v>
      </c>
      <c r="S33" s="718">
        <f t="shared" si="10"/>
        <v>100</v>
      </c>
      <c r="T33" s="717" t="s">
        <v>17</v>
      </c>
      <c r="U33" s="718">
        <f t="shared" si="11"/>
        <v>100</v>
      </c>
      <c r="V33" s="717" t="s">
        <v>17</v>
      </c>
      <c r="W33" s="718">
        <f t="shared" si="12"/>
        <v>100</v>
      </c>
      <c r="X33" s="719"/>
      <c r="Y33" s="3486"/>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86"/>
      <c r="Q34" s="1536" t="str">
        <f>B34</f>
        <v>宗地面积</v>
      </c>
      <c r="R34" s="714" t="s">
        <v>17</v>
      </c>
      <c r="S34" s="715" t="e">
        <f t="shared" si="10"/>
        <v>#N/A</v>
      </c>
      <c r="T34" s="714" t="s">
        <v>17</v>
      </c>
      <c r="U34" s="715" t="e">
        <f t="shared" si="11"/>
        <v>#N/A</v>
      </c>
      <c r="V34" s="714" t="s">
        <v>17</v>
      </c>
      <c r="W34" s="715" t="e">
        <f t="shared" si="12"/>
        <v>#N/A</v>
      </c>
      <c r="X34" s="1539"/>
      <c r="Y34" s="3486"/>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486"/>
      <c r="Q35" s="1536" t="str">
        <f t="shared" ref="Q35:Q40" si="14">B35</f>
        <v>宗地形状</v>
      </c>
      <c r="R35" s="714" t="s">
        <v>17</v>
      </c>
      <c r="S35" s="715">
        <f t="shared" si="10"/>
        <v>100</v>
      </c>
      <c r="T35" s="714" t="s">
        <v>17</v>
      </c>
      <c r="U35" s="715">
        <f t="shared" si="11"/>
        <v>100</v>
      </c>
      <c r="V35" s="714" t="s">
        <v>17</v>
      </c>
      <c r="W35" s="715">
        <f t="shared" si="12"/>
        <v>100</v>
      </c>
      <c r="X35" s="1539"/>
      <c r="Y35" s="3486"/>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486"/>
      <c r="Q36" s="1536" t="str">
        <f t="shared" si="14"/>
        <v>宗地开发程度</v>
      </c>
      <c r="R36" s="710" t="s">
        <v>17</v>
      </c>
      <c r="S36" s="711">
        <f t="shared" si="10"/>
        <v>100</v>
      </c>
      <c r="T36" s="710" t="s">
        <v>17</v>
      </c>
      <c r="U36" s="711">
        <f t="shared" si="11"/>
        <v>100</v>
      </c>
      <c r="V36" s="710" t="s">
        <v>17</v>
      </c>
      <c r="W36" s="711">
        <f t="shared" si="12"/>
        <v>100</v>
      </c>
      <c r="X36" s="712"/>
      <c r="Y36" s="3486"/>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486" t="s">
        <v>2386</v>
      </c>
      <c r="Q37" s="1536" t="str">
        <f t="shared" si="14"/>
        <v>工程地质条件</v>
      </c>
      <c r="R37" s="714" t="s">
        <v>17</v>
      </c>
      <c r="S37" s="715">
        <f t="shared" si="10"/>
        <v>100</v>
      </c>
      <c r="T37" s="714" t="s">
        <v>17</v>
      </c>
      <c r="U37" s="715">
        <f t="shared" si="11"/>
        <v>100</v>
      </c>
      <c r="V37" s="714" t="s">
        <v>17</v>
      </c>
      <c r="W37" s="715">
        <f t="shared" si="12"/>
        <v>100</v>
      </c>
      <c r="X37" s="1539"/>
      <c r="Y37" s="3486"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86"/>
      <c r="Q38" s="1536">
        <f t="shared" si="14"/>
        <v>111</v>
      </c>
      <c r="R38" s="714" t="s">
        <v>17</v>
      </c>
      <c r="S38" s="715">
        <f t="shared" si="10"/>
        <v>100</v>
      </c>
      <c r="T38" s="714" t="s">
        <v>17</v>
      </c>
      <c r="U38" s="715">
        <f t="shared" si="11"/>
        <v>100</v>
      </c>
      <c r="V38" s="714" t="s">
        <v>17</v>
      </c>
      <c r="W38" s="715">
        <f t="shared" si="12"/>
        <v>100</v>
      </c>
      <c r="X38" s="1539"/>
      <c r="Y38" s="348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86"/>
      <c r="Q39" s="1536">
        <f t="shared" si="14"/>
        <v>111</v>
      </c>
      <c r="R39" s="714" t="s">
        <v>17</v>
      </c>
      <c r="S39" s="715">
        <f t="shared" si="10"/>
        <v>100</v>
      </c>
      <c r="T39" s="714" t="s">
        <v>17</v>
      </c>
      <c r="U39" s="715">
        <f t="shared" si="11"/>
        <v>100</v>
      </c>
      <c r="V39" s="714" t="s">
        <v>17</v>
      </c>
      <c r="W39" s="715">
        <f t="shared" si="12"/>
        <v>100</v>
      </c>
      <c r="X39" s="1539"/>
      <c r="Y39" s="348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86"/>
      <c r="Q40" s="1536">
        <f t="shared" si="14"/>
        <v>111</v>
      </c>
      <c r="R40" s="717" t="s">
        <v>17</v>
      </c>
      <c r="S40" s="718">
        <f t="shared" si="10"/>
        <v>100</v>
      </c>
      <c r="T40" s="717" t="s">
        <v>17</v>
      </c>
      <c r="U40" s="718">
        <f t="shared" si="11"/>
        <v>100</v>
      </c>
      <c r="V40" s="717" t="s">
        <v>17</v>
      </c>
      <c r="W40" s="718">
        <f t="shared" si="12"/>
        <v>100</v>
      </c>
      <c r="X40" s="719"/>
      <c r="Y40" s="3486"/>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481" t="str">
        <f>A41</f>
        <v>成交单价</v>
      </c>
      <c r="Q41" s="3481"/>
      <c r="R41" s="3487">
        <f>E41</f>
        <v>0</v>
      </c>
      <c r="S41" s="3487"/>
      <c r="T41" s="3487">
        <f>G41</f>
        <v>0</v>
      </c>
      <c r="U41" s="3487"/>
      <c r="V41" s="3487">
        <f>I41</f>
        <v>0</v>
      </c>
      <c r="W41" s="3487"/>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481" t="str">
        <f>A42</f>
        <v>比较价值（元/平方米）</v>
      </c>
      <c r="Q42" s="3481"/>
      <c r="R42" s="3474" t="e">
        <f>ROUND(PRODUCT(R41,AA7:AA40),0)</f>
        <v>#DIV/0!</v>
      </c>
      <c r="S42" s="3474"/>
      <c r="T42" s="3474" t="e">
        <f>ROUND(PRODUCT(T41,AB7:AB40),0)</f>
        <v>#DIV/0!</v>
      </c>
      <c r="U42" s="3474"/>
      <c r="V42" s="3474" t="e">
        <f>ROUND(PRODUCT(V41,AC7:AC40),0)</f>
        <v>#DIV/0!</v>
      </c>
      <c r="W42" s="347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475" t="str">
        <f>A43</f>
        <v>估价对象XX用房的比较价值（楼面单价，元/平方米）</v>
      </c>
      <c r="Q43" s="3476"/>
      <c r="R43" s="3477" t="e">
        <f>ROUND(IF(D42="简单平均",AVERAGE(R42:W42),R42*F42+T42*H42+V42*J42),0)</f>
        <v>#DIV/0!</v>
      </c>
      <c r="S43" s="3477"/>
      <c r="T43" s="3477"/>
      <c r="U43" s="3477"/>
      <c r="V43" s="3477"/>
      <c r="W43" s="347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478" t="s">
        <v>2585</v>
      </c>
      <c r="H50" s="3479"/>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43580.39</v>
      </c>
      <c r="F51" s="647" t="e">
        <f t="shared" ref="F51:F60" si="15">ROUND(B51*E51/10000,0)</f>
        <v>#DIV/0!</v>
      </c>
      <c r="G51" s="3480"/>
      <c r="H51" s="3481"/>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48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48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48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48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21980.41</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34634.379999999997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1.26</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98"/>
      <c r="B4" s="3599"/>
      <c r="C4" s="3599"/>
      <c r="D4" s="3600"/>
      <c r="E4" s="3600"/>
      <c r="F4" s="3600"/>
      <c r="G4" s="3600"/>
      <c r="H4" s="3600"/>
      <c r="I4" s="3600"/>
      <c r="J4" s="3601"/>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602"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1.26</v>
      </c>
      <c r="AA7" s="1378"/>
      <c r="AB7" s="1378"/>
      <c r="AC7" s="1379"/>
      <c r="AD7" s="1380"/>
      <c r="AE7" s="1380"/>
      <c r="AF7" s="1380"/>
      <c r="AG7" s="1380"/>
      <c r="AH7" s="1380"/>
      <c r="AI7" s="1380"/>
      <c r="AJ7" s="1381"/>
    </row>
    <row r="8" spans="1:36" ht="15">
      <c r="A8" s="3603"/>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95" t="s">
        <v>2661</v>
      </c>
      <c r="X8" s="359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603"/>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97"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03"/>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9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03"/>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97" t="s">
        <v>2685</v>
      </c>
      <c r="X11" s="1386" t="s">
        <v>2686</v>
      </c>
      <c r="Y11" s="1387">
        <f>$G$3</f>
        <v>1.26</v>
      </c>
      <c r="Z11" s="1387">
        <f t="shared" ref="Z11:AJ11" si="3">$G$3</f>
        <v>1.26</v>
      </c>
      <c r="AA11" s="1387">
        <f t="shared" si="3"/>
        <v>1.26</v>
      </c>
      <c r="AB11" s="1387">
        <f t="shared" si="3"/>
        <v>1.26</v>
      </c>
      <c r="AC11" s="1387">
        <f t="shared" si="3"/>
        <v>1.26</v>
      </c>
      <c r="AD11" s="1387">
        <f t="shared" si="3"/>
        <v>1.26</v>
      </c>
      <c r="AE11" s="1387">
        <f t="shared" si="3"/>
        <v>1.26</v>
      </c>
      <c r="AF11" s="1387">
        <f t="shared" si="3"/>
        <v>1.26</v>
      </c>
      <c r="AG11" s="1387">
        <f t="shared" si="3"/>
        <v>1.26</v>
      </c>
      <c r="AH11" s="1387">
        <f t="shared" si="3"/>
        <v>1.26</v>
      </c>
      <c r="AI11" s="1387">
        <f t="shared" si="3"/>
        <v>1.26</v>
      </c>
      <c r="AJ11" s="1387">
        <f t="shared" si="3"/>
        <v>1.26</v>
      </c>
    </row>
    <row r="12" spans="1:36" ht="25.5" thickBot="1">
      <c r="A12" s="3602"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9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04"/>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597"/>
      <c r="X13" s="1388"/>
      <c r="Y13" s="1385">
        <f>(-0.163*(Y12^2)-0.59*Y12+7617)*(10^(-4))/Y11</f>
        <v>0.60452380952380957</v>
      </c>
      <c r="Z13" s="1385">
        <f t="shared" ref="Z13:AJ13" si="5">(-0.163*(Z12^2)-0.59*Z12+7617)*(10^(-4))/Z11</f>
        <v>0.60452380952380957</v>
      </c>
      <c r="AA13" s="1385">
        <f t="shared" si="5"/>
        <v>0.60452380952380957</v>
      </c>
      <c r="AB13" s="1385">
        <f t="shared" si="5"/>
        <v>0.60452380952380957</v>
      </c>
      <c r="AC13" s="1385">
        <f t="shared" si="5"/>
        <v>0.60452380952380957</v>
      </c>
      <c r="AD13" s="1385">
        <f t="shared" si="5"/>
        <v>0.60452380952380957</v>
      </c>
      <c r="AE13" s="1385">
        <f t="shared" si="5"/>
        <v>0.60452380952380957</v>
      </c>
      <c r="AF13" s="1385">
        <f t="shared" si="5"/>
        <v>0.60452380952380957</v>
      </c>
      <c r="AG13" s="1385">
        <f t="shared" si="5"/>
        <v>0.60452380952380957</v>
      </c>
      <c r="AH13" s="1385">
        <f t="shared" si="5"/>
        <v>0.60452380952380957</v>
      </c>
      <c r="AI13" s="1385">
        <f t="shared" si="5"/>
        <v>0.60452380952380957</v>
      </c>
      <c r="AJ13" s="1385">
        <f t="shared" si="5"/>
        <v>0.60452380952380957</v>
      </c>
    </row>
    <row r="14" spans="1:36" ht="15">
      <c r="A14" s="3604"/>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605"/>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602" t="s">
        <v>2704</v>
      </c>
      <c r="B16" s="2209" t="s">
        <v>2705</v>
      </c>
      <c r="C16" s="2371" t="e">
        <f>ROUND(IF(F17="与级别开发程度一致",0,(G17-E17)/C17),0)</f>
        <v>#DIV/0!</v>
      </c>
      <c r="D16" s="3618" t="s">
        <v>2709</v>
      </c>
      <c r="E16" s="3619"/>
      <c r="F16" s="3618" t="s">
        <v>2706</v>
      </c>
      <c r="G16" s="3619"/>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606"/>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ROUND(IF(H19="按公示增长率计算",SUMPRODUCT((地价!A3:A36=YEAR(G19)&amp;"-"&amp;ROUNDUP(MONTH(G19)/3,0))*(地价!X2:AB2=E2)*(地价!X3:AB36)),IF(H19="地价指数",M20/M19,(1+I19)^O19)),4)</f>
        <v>#VALUE!</v>
      </c>
      <c r="D19" s="2251" t="s">
        <v>2713</v>
      </c>
      <c r="E19" s="864">
        <v>41640</v>
      </c>
      <c r="F19" s="2251" t="s">
        <v>2714</v>
      </c>
      <c r="G19" s="865">
        <f>'数据-取费表'!B2</f>
        <v>44548</v>
      </c>
      <c r="H19" s="2252"/>
      <c r="I19" s="866" t="str">
        <f>IF(H19="季度增幅（自定义）",SUMIF(N21:N24,E2,O21:O24),"")</f>
        <v/>
      </c>
      <c r="J19" s="2249"/>
      <c r="K19" s="1287"/>
      <c r="L19" s="2253" t="s">
        <v>2715</v>
      </c>
      <c r="M19" s="1496">
        <f>ROUND(SUMIF(地价!B2:F2,E2,地价!B36:F36),0)</f>
        <v>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ROUND(SUMPRODUCT((地价!A4:A36=YEAR(G19)&amp;"-"&amp;ROUNDUP(MONTH(G19)/3,0))*(地价!B2:F2=E2)*(地价!B4:F36)),0)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1.2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615"/>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620"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616"/>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1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616"/>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61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617"/>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61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607" t="s">
        <v>2792</v>
      </c>
      <c r="B90" s="3607"/>
      <c r="C90" s="3607"/>
      <c r="D90" s="3607"/>
      <c r="E90" s="3607"/>
      <c r="F90" s="3607"/>
      <c r="G90" s="3607"/>
      <c r="H90" s="3607"/>
      <c r="I90" s="3607"/>
      <c r="J90" s="3607"/>
      <c r="K90" s="2343"/>
      <c r="L90" s="2343"/>
      <c r="M90" s="2343"/>
      <c r="N90" s="2343"/>
    </row>
    <row r="91" spans="1:37">
      <c r="A91" s="3609" t="s">
        <v>2793</v>
      </c>
      <c r="B91" s="3609" t="s">
        <v>2794</v>
      </c>
      <c r="C91" s="2297" t="s">
        <v>2795</v>
      </c>
      <c r="D91" s="2298"/>
      <c r="E91" s="2298"/>
      <c r="F91" s="2298"/>
      <c r="G91" s="2298"/>
      <c r="H91" s="2298"/>
      <c r="I91" s="2298"/>
      <c r="J91" s="2344"/>
      <c r="K91" s="2345"/>
      <c r="L91" s="2345"/>
      <c r="M91" s="2345"/>
      <c r="N91" s="2345"/>
    </row>
    <row r="92" spans="1:37">
      <c r="A92" s="3609"/>
      <c r="B92" s="3609"/>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610"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61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61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61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61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61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611"/>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61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610" t="s">
        <v>2797</v>
      </c>
      <c r="B101" s="2350" t="s">
        <v>2798</v>
      </c>
      <c r="C101" s="2351">
        <f>$G$3</f>
        <v>1.26</v>
      </c>
      <c r="D101" s="2351">
        <f t="shared" ref="D101:N101" si="31">$G$3</f>
        <v>1.26</v>
      </c>
      <c r="E101" s="2351">
        <f t="shared" si="31"/>
        <v>1.26</v>
      </c>
      <c r="F101" s="2351">
        <f t="shared" si="31"/>
        <v>1.26</v>
      </c>
      <c r="G101" s="2351">
        <f t="shared" si="31"/>
        <v>1.26</v>
      </c>
      <c r="H101" s="2351">
        <f t="shared" si="31"/>
        <v>1.26</v>
      </c>
      <c r="I101" s="2351">
        <f t="shared" si="31"/>
        <v>1.26</v>
      </c>
      <c r="J101" s="2351">
        <f t="shared" si="31"/>
        <v>1.26</v>
      </c>
      <c r="K101" s="2351">
        <f t="shared" si="31"/>
        <v>1.26</v>
      </c>
      <c r="L101" s="2351">
        <f t="shared" si="31"/>
        <v>1.26</v>
      </c>
      <c r="M101" s="2351">
        <f t="shared" si="31"/>
        <v>1.26</v>
      </c>
      <c r="N101" s="2351">
        <f t="shared" si="31"/>
        <v>1.26</v>
      </c>
    </row>
    <row r="102" spans="1:14">
      <c r="A102" s="3611"/>
      <c r="B102" s="2346">
        <v>1</v>
      </c>
      <c r="C102" s="2347">
        <f>1.9362/C101</f>
        <v>1.5366666666666666</v>
      </c>
      <c r="D102" s="2347">
        <f>1.9362/D101</f>
        <v>1.5366666666666666</v>
      </c>
      <c r="E102" s="2347">
        <f>1.8629/E101</f>
        <v>1.4784920634920635</v>
      </c>
      <c r="F102" s="2347">
        <f>1.8629/F101</f>
        <v>1.4784920634920635</v>
      </c>
      <c r="G102" s="2347">
        <f>1.8629/G101</f>
        <v>1.4784920634920635</v>
      </c>
      <c r="H102" s="2347">
        <f>1.8629/H101</f>
        <v>1.4784920634920635</v>
      </c>
      <c r="I102" s="2347">
        <f>1.8629/I101</f>
        <v>1.4784920634920635</v>
      </c>
      <c r="J102" s="2347">
        <f>1.942/J101</f>
        <v>1.5412698412698411</v>
      </c>
      <c r="K102" s="2347">
        <f>1.942/K101</f>
        <v>1.5412698412698411</v>
      </c>
      <c r="L102" s="2347">
        <f>1.942/L101</f>
        <v>1.5412698412698411</v>
      </c>
      <c r="M102" s="2347">
        <f>1.942/M101</f>
        <v>1.5412698412698411</v>
      </c>
      <c r="N102" s="2347">
        <f>1.942/N101</f>
        <v>1.5412698412698411</v>
      </c>
    </row>
    <row r="103" spans="1:14">
      <c r="A103" s="3611"/>
      <c r="B103" s="2346">
        <v>2</v>
      </c>
      <c r="C103" s="2347">
        <f>1.4198/C101</f>
        <v>1.1268253968253967</v>
      </c>
      <c r="D103" s="2347">
        <f>1.4198/D101</f>
        <v>1.1268253968253967</v>
      </c>
      <c r="E103" s="2347">
        <f>1.3372/E101</f>
        <v>1.0612698412698411</v>
      </c>
      <c r="F103" s="2347">
        <f>1.3372/F101</f>
        <v>1.0612698412698411</v>
      </c>
      <c r="G103" s="2347">
        <f>1.3372/G101</f>
        <v>1.0612698412698411</v>
      </c>
      <c r="H103" s="2347">
        <f>1.3372/H101</f>
        <v>1.0612698412698411</v>
      </c>
      <c r="I103" s="2347">
        <f>1.3372/I101</f>
        <v>1.0612698412698411</v>
      </c>
      <c r="J103" s="2347">
        <f>1.2799/J101</f>
        <v>1.0157936507936509</v>
      </c>
      <c r="K103" s="2347">
        <f>1.2799/K101</f>
        <v>1.0157936507936509</v>
      </c>
      <c r="L103" s="2347">
        <f>1.2799/L101</f>
        <v>1.0157936507936509</v>
      </c>
      <c r="M103" s="2347">
        <f>1.2799/M101</f>
        <v>1.0157936507936509</v>
      </c>
      <c r="N103" s="2347">
        <f>1.2799/N101</f>
        <v>1.0157936507936509</v>
      </c>
    </row>
    <row r="104" spans="1:14">
      <c r="A104" s="3611"/>
      <c r="B104" s="2346">
        <v>3</v>
      </c>
      <c r="C104" s="2347">
        <f>1.1594/C101</f>
        <v>0.92015873015873018</v>
      </c>
      <c r="D104" s="2347">
        <f>1.1594/D101</f>
        <v>0.92015873015873018</v>
      </c>
      <c r="E104" s="2347">
        <f>1.0788/E101</f>
        <v>0.85619047619047617</v>
      </c>
      <c r="F104" s="2347">
        <f>1.0788/F101</f>
        <v>0.85619047619047617</v>
      </c>
      <c r="G104" s="2347">
        <f>1.0788/G101</f>
        <v>0.85619047619047617</v>
      </c>
      <c r="H104" s="2347">
        <f>1.0788/H101</f>
        <v>0.85619047619047617</v>
      </c>
      <c r="I104" s="2347">
        <f>1.0788/I101</f>
        <v>0.85619047619047617</v>
      </c>
      <c r="J104" s="2347">
        <f>1.0072/J101</f>
        <v>0.79936507936507939</v>
      </c>
      <c r="K104" s="2347">
        <f>1.0072/K101</f>
        <v>0.79936507936507939</v>
      </c>
      <c r="L104" s="2347">
        <f>1.0072/L101</f>
        <v>0.79936507936507939</v>
      </c>
      <c r="M104" s="2347">
        <f>1.0072/M101</f>
        <v>0.79936507936507939</v>
      </c>
      <c r="N104" s="2347">
        <f>1.0072/N101</f>
        <v>0.79936507936507939</v>
      </c>
    </row>
    <row r="105" spans="1:14">
      <c r="A105" s="3611"/>
      <c r="B105" s="2346">
        <v>4</v>
      </c>
      <c r="C105" s="2347">
        <f>0.9622/C101</f>
        <v>0.76365079365079369</v>
      </c>
      <c r="D105" s="2347">
        <f>0.9622/D101</f>
        <v>0.76365079365079369</v>
      </c>
      <c r="E105" s="2347">
        <f>0.8656/E101</f>
        <v>0.68698412698412703</v>
      </c>
      <c r="F105" s="2347">
        <f>0.8656/F101</f>
        <v>0.68698412698412703</v>
      </c>
      <c r="G105" s="2347">
        <f>0.8656/G101</f>
        <v>0.68698412698412703</v>
      </c>
      <c r="H105" s="2347">
        <f>0.8656/H101</f>
        <v>0.68698412698412703</v>
      </c>
      <c r="I105" s="2347">
        <f>0.8656/I101</f>
        <v>0.68698412698412703</v>
      </c>
      <c r="J105" s="2347">
        <f>0.7525/J101</f>
        <v>0.59722222222222221</v>
      </c>
      <c r="K105" s="2347">
        <f>0.7525/K101</f>
        <v>0.59722222222222221</v>
      </c>
      <c r="L105" s="2347">
        <f>0.7525/L101</f>
        <v>0.59722222222222221</v>
      </c>
      <c r="M105" s="2347">
        <f>0.7525/M101</f>
        <v>0.59722222222222221</v>
      </c>
      <c r="N105" s="2347">
        <f>0.7525/N101</f>
        <v>0.59722222222222221</v>
      </c>
    </row>
    <row r="106" spans="1:14">
      <c r="A106" s="3611"/>
      <c r="B106" s="2346">
        <v>5</v>
      </c>
      <c r="C106" s="2347">
        <f>0.8417/C101</f>
        <v>0.66801587301587306</v>
      </c>
      <c r="D106" s="2347">
        <f>0.8417/D101</f>
        <v>0.66801587301587306</v>
      </c>
      <c r="E106" s="2347">
        <f>0.7371/E101</f>
        <v>0.58499999999999996</v>
      </c>
      <c r="F106" s="2347">
        <f>0.7371/F101</f>
        <v>0.58499999999999996</v>
      </c>
      <c r="G106" s="2347">
        <f>0.7371/G101</f>
        <v>0.58499999999999996</v>
      </c>
      <c r="H106" s="2347">
        <f>0.7371/H101</f>
        <v>0.58499999999999996</v>
      </c>
      <c r="I106" s="2347">
        <f>0.7371/I101</f>
        <v>0.58499999999999996</v>
      </c>
      <c r="J106" s="2347">
        <f>0.5659/J101</f>
        <v>0.4491269841269841</v>
      </c>
      <c r="K106" s="2347">
        <f>0.5659/K101</f>
        <v>0.4491269841269841</v>
      </c>
      <c r="L106" s="2347">
        <f>0.5659/L101</f>
        <v>0.4491269841269841</v>
      </c>
      <c r="M106" s="2347">
        <f>0.5659/M101</f>
        <v>0.4491269841269841</v>
      </c>
      <c r="N106" s="2347">
        <f>0.5659/N101</f>
        <v>0.4491269841269841</v>
      </c>
    </row>
    <row r="107" spans="1:14">
      <c r="A107" s="3611"/>
      <c r="B107" s="2346">
        <v>6</v>
      </c>
      <c r="C107" s="2347">
        <f>0.7608/C101</f>
        <v>0.6038095238095238</v>
      </c>
      <c r="D107" s="2347">
        <f>0.7608/D101</f>
        <v>0.6038095238095238</v>
      </c>
      <c r="E107" s="2347">
        <f>0.6482/E101</f>
        <v>0.51444444444444448</v>
      </c>
      <c r="F107" s="2347">
        <f>0.6482/F101</f>
        <v>0.51444444444444448</v>
      </c>
      <c r="G107" s="2347">
        <f>0.6482/G101</f>
        <v>0.51444444444444448</v>
      </c>
      <c r="H107" s="2347">
        <f>0.6482/H101</f>
        <v>0.51444444444444448</v>
      </c>
      <c r="I107" s="2347">
        <f>0.6482/I101</f>
        <v>0.51444444444444448</v>
      </c>
      <c r="J107" s="2347">
        <f>0.4525/J101</f>
        <v>0.35912698412698413</v>
      </c>
      <c r="K107" s="2347">
        <f>0.4525/K101</f>
        <v>0.35912698412698413</v>
      </c>
      <c r="L107" s="2347">
        <f>0.4525/L101</f>
        <v>0.35912698412698413</v>
      </c>
      <c r="M107" s="2347">
        <f>0.4525/M101</f>
        <v>0.35912698412698413</v>
      </c>
      <c r="N107" s="2347">
        <f>0.4525/N101</f>
        <v>0.35912698412698413</v>
      </c>
    </row>
    <row r="108" spans="1:14">
      <c r="A108" s="3611"/>
      <c r="B108" s="3613"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612"/>
      <c r="B109" s="3614"/>
      <c r="C109" s="2349">
        <f>(-0.163*(C108^2)-0.59*C108+7617)*(10^(-4))/C101</f>
        <v>0.60452380952380957</v>
      </c>
      <c r="D109" s="2349">
        <f>(-0.163*(D108^2)-0.59*D108+7617)*(10^(-4))/D101</f>
        <v>0.60452380952380957</v>
      </c>
      <c r="E109" s="2349">
        <f>(-0.161*(E108^2)-7.509*E108+6533)*(10^(-4))/E101</f>
        <v>0.51849206349206345</v>
      </c>
      <c r="F109" s="2349">
        <f>(-0.161*(F108^2)-7.509*F108+6533)*(10^(-4))/F101</f>
        <v>0.51849206349206345</v>
      </c>
      <c r="G109" s="2349">
        <f>(-0.161*(G108^2)-7.509*G108+6533)*(10^(-4))/G101</f>
        <v>0.51849206349206345</v>
      </c>
      <c r="H109" s="2349">
        <f>(-0.161*(H108^2)-7.509*H108+6533)*(10^(-4))/H101</f>
        <v>0.51849206349206345</v>
      </c>
      <c r="I109" s="2349">
        <f>(-0.161*(I108^2)-7.509*I108+6533)*(10^(-4))/I101</f>
        <v>0.51849206349206345</v>
      </c>
      <c r="J109" s="2349">
        <f>(-0.214*(J108^2)-21.991*J108+4665)*(10^(-4))/J101</f>
        <v>0.37023809523809526</v>
      </c>
      <c r="K109" s="2349">
        <f>(-0.214*(K108^2)-21.991*K108+4665)*(10^(-4))/K101</f>
        <v>0.37023809523809526</v>
      </c>
      <c r="L109" s="2349">
        <f>(-0.214*(L108^2)-21.991*L108+4665)*(10^(-4))/L101</f>
        <v>0.37023809523809526</v>
      </c>
      <c r="M109" s="2349">
        <f>(-0.214*(M108^2)-21.991*M108+4665)*(10^(-4))/M101</f>
        <v>0.37023809523809526</v>
      </c>
      <c r="N109" s="2349">
        <f>(-0.214*(N108^2)-21.991*N108+4665)*(10^(-4))/N101</f>
        <v>0.37023809523809526</v>
      </c>
    </row>
    <row r="110" spans="1:14">
      <c r="A110" s="3608" t="s">
        <v>2800</v>
      </c>
      <c r="B110" s="3608"/>
      <c r="C110" s="3608"/>
      <c r="D110" s="3608"/>
      <c r="E110" s="3608"/>
      <c r="F110" s="3608"/>
      <c r="G110" s="3608"/>
      <c r="H110" s="3608"/>
      <c r="I110" s="3608"/>
      <c r="J110" s="3608"/>
      <c r="K110" s="2352"/>
      <c r="L110" s="2352"/>
      <c r="M110" s="2352"/>
      <c r="N110" s="2352"/>
    </row>
    <row r="112" spans="1:14" ht="13.5" thickBot="1"/>
    <row r="113" spans="1:13" ht="25.5" thickBot="1">
      <c r="A113" s="842" t="s">
        <v>2801</v>
      </c>
      <c r="B113" s="1197">
        <f>G3</f>
        <v>1.26</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0.92169999999999996</v>
      </c>
      <c r="C115" s="849">
        <f>B115</f>
        <v>0.92169999999999996</v>
      </c>
      <c r="D115" s="849">
        <f>ROUND(0.8331-0.0109*B113,4)</f>
        <v>0.81940000000000002</v>
      </c>
      <c r="E115" s="849">
        <f>D115</f>
        <v>0.81940000000000002</v>
      </c>
      <c r="F115" s="849">
        <f>E115</f>
        <v>0.81940000000000002</v>
      </c>
      <c r="G115" s="849">
        <f>F115</f>
        <v>0.81940000000000002</v>
      </c>
      <c r="H115" s="849">
        <f>G115</f>
        <v>0.81940000000000002</v>
      </c>
      <c r="I115" s="849">
        <f>ROUND(0.689-0.0155*B113,4)</f>
        <v>0.66949999999999998</v>
      </c>
      <c r="J115" s="849">
        <f t="shared" ref="J115:M118" si="33">I115</f>
        <v>0.66949999999999998</v>
      </c>
      <c r="K115" s="849">
        <f t="shared" si="33"/>
        <v>0.66949999999999998</v>
      </c>
      <c r="L115" s="849">
        <f t="shared" si="33"/>
        <v>0.66949999999999998</v>
      </c>
      <c r="M115" s="850">
        <f t="shared" si="33"/>
        <v>0.66949999999999998</v>
      </c>
    </row>
    <row r="116" spans="1:13">
      <c r="A116" s="848" t="s">
        <v>2701</v>
      </c>
      <c r="B116" s="849">
        <f>ROUND(0.949-0.012*B113,4)</f>
        <v>0.93389999999999995</v>
      </c>
      <c r="C116" s="849">
        <f>B116</f>
        <v>0.93389999999999995</v>
      </c>
      <c r="D116" s="849">
        <f>ROUND(0.8567-0.013*B113,4)</f>
        <v>0.84030000000000005</v>
      </c>
      <c r="E116" s="849">
        <f t="shared" ref="E116:H117" si="34">D116</f>
        <v>0.84030000000000005</v>
      </c>
      <c r="F116" s="849">
        <f t="shared" si="34"/>
        <v>0.84030000000000005</v>
      </c>
      <c r="G116" s="849">
        <f t="shared" si="34"/>
        <v>0.84030000000000005</v>
      </c>
      <c r="H116" s="849">
        <f t="shared" si="34"/>
        <v>0.84030000000000005</v>
      </c>
      <c r="I116" s="849">
        <f>ROUND(0.7694-0.014*B113,4)</f>
        <v>0.75180000000000002</v>
      </c>
      <c r="J116" s="849">
        <f t="shared" si="33"/>
        <v>0.75180000000000002</v>
      </c>
      <c r="K116" s="849">
        <f t="shared" si="33"/>
        <v>0.75180000000000002</v>
      </c>
      <c r="L116" s="849">
        <f t="shared" si="33"/>
        <v>0.75180000000000002</v>
      </c>
      <c r="M116" s="850">
        <f t="shared" si="33"/>
        <v>0.75180000000000002</v>
      </c>
    </row>
    <row r="117" spans="1:13">
      <c r="A117" s="848" t="s">
        <v>2702</v>
      </c>
      <c r="B117" s="849">
        <f>ROUND(0.8808-0.006*B113,4)</f>
        <v>0.87319999999999998</v>
      </c>
      <c r="C117" s="849">
        <f>B117</f>
        <v>0.87319999999999998</v>
      </c>
      <c r="D117" s="849">
        <f>ROUND(0.8748-0.008*B113,4)</f>
        <v>0.86470000000000002</v>
      </c>
      <c r="E117" s="849">
        <f t="shared" si="34"/>
        <v>0.86470000000000002</v>
      </c>
      <c r="F117" s="849">
        <f t="shared" si="34"/>
        <v>0.86470000000000002</v>
      </c>
      <c r="G117" s="849">
        <f t="shared" si="34"/>
        <v>0.86470000000000002</v>
      </c>
      <c r="H117" s="849">
        <f t="shared" si="34"/>
        <v>0.86470000000000002</v>
      </c>
      <c r="I117" s="849">
        <f>ROUND(0.7412-0.0095*B113,4)</f>
        <v>0.72919999999999996</v>
      </c>
      <c r="J117" s="849">
        <f t="shared" si="33"/>
        <v>0.72919999999999996</v>
      </c>
      <c r="K117" s="849">
        <f t="shared" si="33"/>
        <v>0.72919999999999996</v>
      </c>
      <c r="L117" s="849">
        <f t="shared" si="33"/>
        <v>0.72919999999999996</v>
      </c>
      <c r="M117" s="850">
        <f t="shared" si="33"/>
        <v>0.72919999999999996</v>
      </c>
    </row>
    <row r="118" spans="1:13" ht="13.5" thickBot="1">
      <c r="A118" s="670" t="s">
        <v>2703</v>
      </c>
      <c r="B118" s="851">
        <f>ROUND(0.7275-0.01*B113,4)</f>
        <v>0.71489999999999998</v>
      </c>
      <c r="C118" s="851">
        <f>B118</f>
        <v>0.71489999999999998</v>
      </c>
      <c r="D118" s="851">
        <f>ROUND(0.7043-0.012*B113,4)</f>
        <v>0.68920000000000003</v>
      </c>
      <c r="E118" s="851">
        <f>D118</f>
        <v>0.68920000000000003</v>
      </c>
      <c r="F118" s="851">
        <f>E118</f>
        <v>0.68920000000000003</v>
      </c>
      <c r="G118" s="851">
        <f>ROUND(0.6299-0.0122*B113,4)</f>
        <v>0.61450000000000005</v>
      </c>
      <c r="H118" s="851">
        <f>G118</f>
        <v>0.61450000000000005</v>
      </c>
      <c r="I118" s="851">
        <f>ROUND(0.5667-0.0136*B113,4)</f>
        <v>0.54959999999999998</v>
      </c>
      <c r="J118" s="851">
        <f t="shared" si="33"/>
        <v>0.54959999999999998</v>
      </c>
      <c r="K118" s="851">
        <f t="shared" si="33"/>
        <v>0.54959999999999998</v>
      </c>
      <c r="L118" s="851">
        <f t="shared" si="33"/>
        <v>0.54959999999999998</v>
      </c>
      <c r="M118" s="852">
        <f t="shared" si="33"/>
        <v>0.54959999999999998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21" t="s">
        <v>183</v>
      </c>
      <c r="B18" s="821" t="s">
        <v>560</v>
      </c>
      <c r="C18" s="822" t="s">
        <v>561</v>
      </c>
      <c r="D18" s="823"/>
      <c r="E18" s="821">
        <v>1</v>
      </c>
      <c r="F18" s="824" t="s">
        <v>562</v>
      </c>
      <c r="G18" s="825"/>
      <c r="H18" s="817"/>
      <c r="I18" s="817"/>
    </row>
    <row r="19" spans="1:9" s="826" customFormat="1" ht="19.5" customHeight="1">
      <c r="A19" s="3621"/>
      <c r="B19" s="3621" t="s">
        <v>563</v>
      </c>
      <c r="C19" s="822" t="s">
        <v>564</v>
      </c>
      <c r="D19" s="823"/>
      <c r="E19" s="821">
        <v>0.9</v>
      </c>
      <c r="F19" s="824" t="s">
        <v>565</v>
      </c>
      <c r="G19" s="825"/>
      <c r="H19" s="817"/>
      <c r="I19" s="817"/>
    </row>
    <row r="20" spans="1:9" s="826" customFormat="1" ht="19.5" customHeight="1">
      <c r="A20" s="3621"/>
      <c r="B20" s="3621"/>
      <c r="C20" s="822" t="s">
        <v>566</v>
      </c>
      <c r="D20" s="823"/>
      <c r="E20" s="821">
        <v>1.1000000000000001</v>
      </c>
      <c r="F20" s="824" t="s">
        <v>567</v>
      </c>
      <c r="G20" s="825"/>
      <c r="H20" s="817"/>
      <c r="I20" s="817"/>
    </row>
    <row r="21" spans="1:9" s="826" customFormat="1" ht="19.5" customHeight="1">
      <c r="A21" s="3621"/>
      <c r="B21" s="3621"/>
      <c r="C21" s="822" t="s">
        <v>568</v>
      </c>
      <c r="D21" s="823"/>
      <c r="E21" s="821">
        <v>0.8</v>
      </c>
      <c r="F21" s="824" t="s">
        <v>569</v>
      </c>
      <c r="G21" s="825"/>
      <c r="H21" s="817"/>
      <c r="I21" s="817"/>
    </row>
    <row r="22" spans="1:9" s="826" customFormat="1" ht="19.5" customHeight="1">
      <c r="A22" s="3621"/>
      <c r="B22" s="3621"/>
      <c r="C22" s="822" t="s">
        <v>570</v>
      </c>
      <c r="D22" s="823"/>
      <c r="E22" s="821">
        <v>0.5</v>
      </c>
      <c r="F22" s="824"/>
      <c r="G22" s="825"/>
      <c r="H22" s="817"/>
      <c r="I22" s="817"/>
    </row>
    <row r="23" spans="1:9" s="826" customFormat="1" ht="19.5" customHeight="1">
      <c r="A23" s="3621" t="s">
        <v>184</v>
      </c>
      <c r="B23" s="821" t="s">
        <v>560</v>
      </c>
      <c r="C23" s="822" t="s">
        <v>571</v>
      </c>
      <c r="D23" s="823"/>
      <c r="E23" s="821">
        <v>1</v>
      </c>
      <c r="F23" s="824" t="s">
        <v>572</v>
      </c>
      <c r="G23" s="825"/>
      <c r="H23" s="817"/>
      <c r="I23" s="817"/>
    </row>
    <row r="24" spans="1:9" s="826" customFormat="1" ht="19.5" customHeight="1">
      <c r="A24" s="3621"/>
      <c r="B24" s="3621" t="s">
        <v>563</v>
      </c>
      <c r="C24" s="822" t="s">
        <v>573</v>
      </c>
      <c r="D24" s="823"/>
      <c r="E24" s="821">
        <v>0.5</v>
      </c>
      <c r="F24" s="824"/>
      <c r="G24" s="825"/>
      <c r="H24" s="817"/>
      <c r="I24" s="817"/>
    </row>
    <row r="25" spans="1:9" s="826" customFormat="1" ht="19.5" customHeight="1">
      <c r="A25" s="3621"/>
      <c r="B25" s="3621"/>
      <c r="C25" s="822" t="s">
        <v>574</v>
      </c>
      <c r="D25" s="823"/>
      <c r="E25" s="821">
        <v>1.1000000000000001</v>
      </c>
      <c r="F25" s="824"/>
      <c r="G25" s="825"/>
      <c r="H25" s="817"/>
      <c r="I25" s="817"/>
    </row>
    <row r="26" spans="1:9" s="826" customFormat="1" ht="19.5" customHeight="1">
      <c r="A26" s="3621"/>
      <c r="B26" s="3621"/>
      <c r="C26" s="822" t="s">
        <v>575</v>
      </c>
      <c r="D26" s="823"/>
      <c r="E26" s="821">
        <v>1.1000000000000001</v>
      </c>
      <c r="F26" s="824"/>
      <c r="G26" s="825"/>
      <c r="H26" s="817"/>
      <c r="I26" s="817"/>
    </row>
    <row r="27" spans="1:9" s="826" customFormat="1" ht="19.5" customHeight="1">
      <c r="A27" s="3621"/>
      <c r="B27" s="3621"/>
      <c r="C27" s="822" t="s">
        <v>576</v>
      </c>
      <c r="D27" s="823"/>
      <c r="E27" s="821">
        <v>0.9</v>
      </c>
      <c r="F27" s="824" t="s">
        <v>577</v>
      </c>
      <c r="G27" s="825"/>
      <c r="H27" s="817"/>
      <c r="I27" s="817"/>
    </row>
    <row r="28" spans="1:9" s="826" customFormat="1" ht="19.5" customHeight="1">
      <c r="A28" s="3621"/>
      <c r="B28" s="3621"/>
      <c r="C28" s="822" t="s">
        <v>578</v>
      </c>
      <c r="D28" s="823"/>
      <c r="E28" s="821">
        <v>0.9</v>
      </c>
      <c r="F28" s="824" t="s">
        <v>579</v>
      </c>
      <c r="G28" s="825"/>
      <c r="H28" s="817"/>
      <c r="I28" s="817"/>
    </row>
    <row r="29" spans="1:9" s="826" customFormat="1" ht="19.5" customHeight="1">
      <c r="A29" s="3621"/>
      <c r="B29" s="3621"/>
      <c r="C29" s="822" t="s">
        <v>580</v>
      </c>
      <c r="D29" s="823"/>
      <c r="E29" s="821">
        <v>0.9</v>
      </c>
      <c r="F29" s="824" t="s">
        <v>581</v>
      </c>
      <c r="G29" s="825"/>
      <c r="H29" s="817"/>
      <c r="I29" s="817"/>
    </row>
    <row r="30" spans="1:9" s="826" customFormat="1" ht="19.5" customHeight="1">
      <c r="A30" s="3621"/>
      <c r="B30" s="3621"/>
      <c r="C30" s="822" t="s">
        <v>582</v>
      </c>
      <c r="D30" s="823"/>
      <c r="E30" s="821">
        <v>0.9</v>
      </c>
      <c r="F30" s="824" t="s">
        <v>583</v>
      </c>
      <c r="G30" s="825"/>
      <c r="H30" s="817"/>
      <c r="I30" s="817"/>
    </row>
    <row r="31" spans="1:9" s="826" customFormat="1" ht="19.5" customHeight="1">
      <c r="A31" s="3621"/>
      <c r="B31" s="3621"/>
      <c r="C31" s="822" t="s">
        <v>584</v>
      </c>
      <c r="D31" s="823"/>
      <c r="E31" s="821">
        <v>0.8</v>
      </c>
      <c r="F31" s="824" t="s">
        <v>585</v>
      </c>
      <c r="G31" s="825"/>
      <c r="H31" s="817"/>
      <c r="I31" s="817"/>
    </row>
    <row r="32" spans="1:9" s="826" customFormat="1" ht="19.5" customHeight="1">
      <c r="A32" s="3621"/>
      <c r="B32" s="3621"/>
      <c r="C32" s="822" t="s">
        <v>586</v>
      </c>
      <c r="D32" s="823"/>
      <c r="E32" s="821">
        <v>0.8</v>
      </c>
      <c r="F32" s="824" t="s">
        <v>587</v>
      </c>
      <c r="G32" s="825"/>
      <c r="H32" s="817"/>
      <c r="I32" s="817"/>
    </row>
    <row r="33" spans="1:9" s="826" customFormat="1" ht="19.5" customHeight="1">
      <c r="A33" s="3621" t="s">
        <v>185</v>
      </c>
      <c r="B33" s="821" t="s">
        <v>560</v>
      </c>
      <c r="C33" s="822" t="s">
        <v>588</v>
      </c>
      <c r="D33" s="823"/>
      <c r="E33" s="821">
        <v>1</v>
      </c>
      <c r="F33" s="824" t="s">
        <v>589</v>
      </c>
      <c r="G33" s="825"/>
      <c r="H33" s="817"/>
      <c r="I33" s="817"/>
    </row>
    <row r="34" spans="1:9" s="826" customFormat="1" ht="19.5" customHeight="1">
      <c r="A34" s="3621"/>
      <c r="B34" s="821" t="s">
        <v>563</v>
      </c>
      <c r="C34" s="822" t="s">
        <v>590</v>
      </c>
      <c r="D34" s="823"/>
      <c r="E34" s="821">
        <v>1.5</v>
      </c>
      <c r="F34" s="824" t="s">
        <v>591</v>
      </c>
      <c r="G34" s="825"/>
      <c r="H34" s="817"/>
      <c r="I34" s="817"/>
    </row>
    <row r="35" spans="1:9" s="826" customFormat="1" ht="19.5" customHeight="1">
      <c r="A35" s="3621" t="s">
        <v>186</v>
      </c>
      <c r="B35" s="821" t="s">
        <v>560</v>
      </c>
      <c r="C35" s="822" t="s">
        <v>592</v>
      </c>
      <c r="D35" s="823"/>
      <c r="E35" s="821">
        <v>1</v>
      </c>
      <c r="F35" s="824" t="s">
        <v>593</v>
      </c>
      <c r="G35" s="825"/>
      <c r="H35" s="817"/>
      <c r="I35" s="817"/>
    </row>
    <row r="36" spans="1:9" s="826" customFormat="1" ht="19.5" customHeight="1">
      <c r="A36" s="3621"/>
      <c r="B36" s="3621" t="s">
        <v>563</v>
      </c>
      <c r="C36" s="822" t="s">
        <v>594</v>
      </c>
      <c r="D36" s="823"/>
      <c r="E36" s="821">
        <v>1</v>
      </c>
      <c r="F36" s="824" t="s">
        <v>595</v>
      </c>
      <c r="G36" s="825"/>
      <c r="H36" s="817"/>
      <c r="I36" s="817"/>
    </row>
    <row r="37" spans="1:9" s="826" customFormat="1" ht="19.5" customHeight="1">
      <c r="A37" s="3621"/>
      <c r="B37" s="3621"/>
      <c r="C37" s="822" t="s">
        <v>596</v>
      </c>
      <c r="D37" s="823"/>
      <c r="E37" s="821">
        <v>1.5</v>
      </c>
      <c r="F37" s="824" t="s">
        <v>597</v>
      </c>
      <c r="G37" s="825"/>
      <c r="H37" s="817"/>
      <c r="I37" s="817"/>
    </row>
    <row r="38" spans="1:9" s="826" customFormat="1" ht="19.5" customHeight="1">
      <c r="A38" s="3621"/>
      <c r="B38" s="3621"/>
      <c r="C38" s="822" t="s">
        <v>598</v>
      </c>
      <c r="D38" s="823"/>
      <c r="E38" s="821">
        <v>1</v>
      </c>
      <c r="F38" s="824" t="s">
        <v>599</v>
      </c>
      <c r="G38" s="825"/>
      <c r="H38" s="817"/>
      <c r="I38" s="817"/>
    </row>
    <row r="39" spans="1:9" s="826" customFormat="1" ht="19.5" customHeight="1">
      <c r="A39" s="3621"/>
      <c r="B39" s="362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21" t="s">
        <v>614</v>
      </c>
      <c r="C61" s="757" t="s">
        <v>615</v>
      </c>
      <c r="D61" s="757" t="s">
        <v>616</v>
      </c>
      <c r="E61" s="834">
        <v>0.5</v>
      </c>
      <c r="F61" s="821">
        <v>80</v>
      </c>
    </row>
    <row r="62" spans="1:8" s="817" customFormat="1" ht="24">
      <c r="A62" s="821">
        <v>2</v>
      </c>
      <c r="B62" s="3621"/>
      <c r="C62" s="757" t="s">
        <v>617</v>
      </c>
      <c r="D62" s="757" t="s">
        <v>618</v>
      </c>
      <c r="E62" s="834">
        <v>0.5</v>
      </c>
      <c r="F62" s="821">
        <v>80</v>
      </c>
    </row>
    <row r="63" spans="1:8" s="817" customFormat="1" ht="36">
      <c r="A63" s="821">
        <v>3</v>
      </c>
      <c r="B63" s="3621"/>
      <c r="C63" s="757" t="s">
        <v>619</v>
      </c>
      <c r="D63" s="757" t="s">
        <v>620</v>
      </c>
      <c r="E63" s="834">
        <v>0.5</v>
      </c>
      <c r="F63" s="821">
        <v>80</v>
      </c>
    </row>
    <row r="64" spans="1:8" s="817" customFormat="1" ht="36">
      <c r="A64" s="821">
        <v>4</v>
      </c>
      <c r="B64" s="3621"/>
      <c r="C64" s="757" t="s">
        <v>621</v>
      </c>
      <c r="D64" s="757" t="s">
        <v>622</v>
      </c>
      <c r="E64" s="834">
        <v>0.4</v>
      </c>
      <c r="F64" s="821">
        <v>60</v>
      </c>
    </row>
    <row r="65" spans="1:6" s="817" customFormat="1" ht="36">
      <c r="A65" s="821">
        <v>5</v>
      </c>
      <c r="B65" s="3621"/>
      <c r="C65" s="757" t="s">
        <v>623</v>
      </c>
      <c r="D65" s="757" t="s">
        <v>624</v>
      </c>
      <c r="E65" s="834">
        <v>0.2</v>
      </c>
      <c r="F65" s="821">
        <v>30</v>
      </c>
    </row>
    <row r="66" spans="1:6" s="817" customFormat="1" ht="36">
      <c r="A66" s="821">
        <v>6</v>
      </c>
      <c r="B66" s="3621"/>
      <c r="C66" s="757" t="s">
        <v>625</v>
      </c>
      <c r="D66" s="757" t="s">
        <v>626</v>
      </c>
      <c r="E66" s="834">
        <v>0.3</v>
      </c>
      <c r="F66" s="821">
        <v>50</v>
      </c>
    </row>
    <row r="67" spans="1:6" s="817" customFormat="1" ht="36">
      <c r="A67" s="821">
        <v>7</v>
      </c>
      <c r="B67" s="3621"/>
      <c r="C67" s="757" t="s">
        <v>627</v>
      </c>
      <c r="D67" s="757" t="s">
        <v>628</v>
      </c>
      <c r="E67" s="834">
        <v>0.2</v>
      </c>
      <c r="F67" s="821">
        <v>30</v>
      </c>
    </row>
    <row r="68" spans="1:6" s="817" customFormat="1" ht="36">
      <c r="A68" s="821">
        <v>8</v>
      </c>
      <c r="B68" s="3621"/>
      <c r="C68" s="757" t="s">
        <v>629</v>
      </c>
      <c r="D68" s="757" t="s">
        <v>630</v>
      </c>
      <c r="E68" s="834">
        <v>0.2</v>
      </c>
      <c r="F68" s="821">
        <v>30</v>
      </c>
    </row>
    <row r="69" spans="1:6" s="817" customFormat="1" ht="36">
      <c r="A69" s="821">
        <v>9</v>
      </c>
      <c r="B69" s="3621"/>
      <c r="C69" s="757" t="s">
        <v>631</v>
      </c>
      <c r="D69" s="757" t="s">
        <v>632</v>
      </c>
      <c r="E69" s="834">
        <v>0.2</v>
      </c>
      <c r="F69" s="821">
        <v>30</v>
      </c>
    </row>
    <row r="70" spans="1:6" s="817" customFormat="1" ht="48">
      <c r="A70" s="821">
        <v>10</v>
      </c>
      <c r="B70" s="3621"/>
      <c r="C70" s="757" t="s">
        <v>633</v>
      </c>
      <c r="D70" s="757" t="s">
        <v>634</v>
      </c>
      <c r="E70" s="834">
        <v>0.2</v>
      </c>
      <c r="F70" s="821">
        <v>30</v>
      </c>
    </row>
    <row r="71" spans="1:6" s="817" customFormat="1" ht="48">
      <c r="A71" s="821">
        <v>11</v>
      </c>
      <c r="B71" s="3621"/>
      <c r="C71" s="757" t="s">
        <v>635</v>
      </c>
      <c r="D71" s="757" t="s">
        <v>636</v>
      </c>
      <c r="E71" s="834">
        <v>0.2</v>
      </c>
      <c r="F71" s="821">
        <v>30</v>
      </c>
    </row>
    <row r="72" spans="1:6" s="817" customFormat="1" ht="36">
      <c r="A72" s="821">
        <v>12</v>
      </c>
      <c r="B72" s="3621"/>
      <c r="C72" s="757" t="s">
        <v>637</v>
      </c>
      <c r="D72" s="757" t="s">
        <v>638</v>
      </c>
      <c r="E72" s="834">
        <v>0.5</v>
      </c>
      <c r="F72" s="821">
        <v>80</v>
      </c>
    </row>
    <row r="73" spans="1:6" s="817" customFormat="1" ht="24">
      <c r="A73" s="821">
        <v>13</v>
      </c>
      <c r="B73" s="3621"/>
      <c r="C73" s="757" t="s">
        <v>639</v>
      </c>
      <c r="D73" s="757" t="s">
        <v>640</v>
      </c>
      <c r="E73" s="834">
        <v>0.4</v>
      </c>
      <c r="F73" s="821">
        <v>60</v>
      </c>
    </row>
    <row r="74" spans="1:6" s="817" customFormat="1" ht="24">
      <c r="A74" s="821">
        <v>14</v>
      </c>
      <c r="B74" s="3621"/>
      <c r="C74" s="757" t="s">
        <v>641</v>
      </c>
      <c r="D74" s="757" t="s">
        <v>642</v>
      </c>
      <c r="E74" s="834">
        <v>0.2</v>
      </c>
      <c r="F74" s="821">
        <v>30</v>
      </c>
    </row>
    <row r="75" spans="1:6" s="817" customFormat="1" ht="24">
      <c r="A75" s="821">
        <v>15</v>
      </c>
      <c r="B75" s="3621"/>
      <c r="C75" s="757" t="s">
        <v>643</v>
      </c>
      <c r="D75" s="757" t="s">
        <v>644</v>
      </c>
      <c r="E75" s="834">
        <v>0.2</v>
      </c>
      <c r="F75" s="821">
        <v>30</v>
      </c>
    </row>
    <row r="76" spans="1:6" s="817" customFormat="1" ht="24">
      <c r="A76" s="821">
        <v>16</v>
      </c>
      <c r="B76" s="3621" t="s">
        <v>645</v>
      </c>
      <c r="C76" s="757" t="s">
        <v>646</v>
      </c>
      <c r="D76" s="757" t="s">
        <v>647</v>
      </c>
      <c r="E76" s="834">
        <v>0.5</v>
      </c>
      <c r="F76" s="821">
        <v>80</v>
      </c>
    </row>
    <row r="77" spans="1:6" s="817" customFormat="1" ht="24">
      <c r="A77" s="821">
        <v>17</v>
      </c>
      <c r="B77" s="3621"/>
      <c r="C77" s="757" t="s">
        <v>648</v>
      </c>
      <c r="D77" s="757" t="s">
        <v>649</v>
      </c>
      <c r="E77" s="834">
        <v>0.5</v>
      </c>
      <c r="F77" s="821">
        <v>80</v>
      </c>
    </row>
    <row r="78" spans="1:6" s="817" customFormat="1" ht="24">
      <c r="A78" s="821">
        <v>18</v>
      </c>
      <c r="B78" s="3621"/>
      <c r="C78" s="757" t="s">
        <v>650</v>
      </c>
      <c r="D78" s="757" t="s">
        <v>651</v>
      </c>
      <c r="E78" s="834">
        <v>0.2</v>
      </c>
      <c r="F78" s="821">
        <v>30</v>
      </c>
    </row>
    <row r="79" spans="1:6" s="817" customFormat="1" ht="24">
      <c r="A79" s="821">
        <v>19</v>
      </c>
      <c r="B79" s="3621"/>
      <c r="C79" s="757" t="s">
        <v>652</v>
      </c>
      <c r="D79" s="757" t="s">
        <v>653</v>
      </c>
      <c r="E79" s="834">
        <v>0.5</v>
      </c>
      <c r="F79" s="821">
        <v>80</v>
      </c>
    </row>
    <row r="80" spans="1:6" s="817" customFormat="1" ht="36">
      <c r="A80" s="821">
        <v>20</v>
      </c>
      <c r="B80" s="3621"/>
      <c r="C80" s="757" t="s">
        <v>654</v>
      </c>
      <c r="D80" s="757" t="s">
        <v>655</v>
      </c>
      <c r="E80" s="834">
        <v>0.2</v>
      </c>
      <c r="F80" s="821">
        <v>30</v>
      </c>
    </row>
    <row r="81" spans="1:6" s="817" customFormat="1" ht="36">
      <c r="A81" s="821">
        <v>21</v>
      </c>
      <c r="B81" s="3621"/>
      <c r="C81" s="757" t="s">
        <v>656</v>
      </c>
      <c r="D81" s="757" t="s">
        <v>657</v>
      </c>
      <c r="E81" s="834">
        <v>0.2</v>
      </c>
      <c r="F81" s="821">
        <v>30</v>
      </c>
    </row>
    <row r="82" spans="1:6" s="817" customFormat="1" ht="48">
      <c r="A82" s="821">
        <v>22</v>
      </c>
      <c r="B82" s="3621"/>
      <c r="C82" s="757" t="s">
        <v>658</v>
      </c>
      <c r="D82" s="757" t="s">
        <v>659</v>
      </c>
      <c r="E82" s="834">
        <v>0.2</v>
      </c>
      <c r="F82" s="821">
        <v>30</v>
      </c>
    </row>
    <row r="83" spans="1:6" s="817" customFormat="1" ht="48">
      <c r="A83" s="821">
        <v>23</v>
      </c>
      <c r="B83" s="3621"/>
      <c r="C83" s="757" t="s">
        <v>660</v>
      </c>
      <c r="D83" s="757" t="s">
        <v>661</v>
      </c>
      <c r="E83" s="834">
        <v>0.2</v>
      </c>
      <c r="F83" s="821">
        <v>30</v>
      </c>
    </row>
    <row r="84" spans="1:6" s="817" customFormat="1" ht="36">
      <c r="A84" s="821">
        <v>24</v>
      </c>
      <c r="B84" s="3621"/>
      <c r="C84" s="757" t="s">
        <v>662</v>
      </c>
      <c r="D84" s="757" t="s">
        <v>663</v>
      </c>
      <c r="E84" s="834">
        <v>0.2</v>
      </c>
      <c r="F84" s="821">
        <v>30</v>
      </c>
    </row>
    <row r="85" spans="1:6" s="817" customFormat="1" ht="36">
      <c r="A85" s="821">
        <v>25</v>
      </c>
      <c r="B85" s="3621"/>
      <c r="C85" s="757" t="s">
        <v>664</v>
      </c>
      <c r="D85" s="757" t="s">
        <v>665</v>
      </c>
      <c r="E85" s="834">
        <v>0.5</v>
      </c>
      <c r="F85" s="821">
        <v>80</v>
      </c>
    </row>
    <row r="86" spans="1:6" s="817" customFormat="1" ht="36">
      <c r="A86" s="821">
        <v>26</v>
      </c>
      <c r="B86" s="3621"/>
      <c r="C86" s="757" t="s">
        <v>666</v>
      </c>
      <c r="D86" s="757" t="s">
        <v>667</v>
      </c>
      <c r="E86" s="834">
        <v>0.2</v>
      </c>
      <c r="F86" s="821">
        <v>30</v>
      </c>
    </row>
    <row r="87" spans="1:6" s="817" customFormat="1" ht="36">
      <c r="A87" s="821">
        <v>27</v>
      </c>
      <c r="B87" s="3621"/>
      <c r="C87" s="757" t="s">
        <v>668</v>
      </c>
      <c r="D87" s="757" t="s">
        <v>669</v>
      </c>
      <c r="E87" s="834">
        <v>0.2</v>
      </c>
      <c r="F87" s="821">
        <v>30</v>
      </c>
    </row>
    <row r="88" spans="1:6" s="817" customFormat="1" ht="36">
      <c r="A88" s="821">
        <v>28</v>
      </c>
      <c r="B88" s="3621"/>
      <c r="C88" s="757" t="s">
        <v>670</v>
      </c>
      <c r="D88" s="757" t="s">
        <v>671</v>
      </c>
      <c r="E88" s="834">
        <v>0.2</v>
      </c>
      <c r="F88" s="821">
        <v>30</v>
      </c>
    </row>
    <row r="89" spans="1:6" s="817" customFormat="1" ht="24">
      <c r="A89" s="821">
        <v>29</v>
      </c>
      <c r="B89" s="3621"/>
      <c r="C89" s="757" t="s">
        <v>672</v>
      </c>
      <c r="D89" s="757" t="s">
        <v>673</v>
      </c>
      <c r="E89" s="834">
        <v>0.2</v>
      </c>
      <c r="F89" s="821">
        <v>30</v>
      </c>
    </row>
    <row r="90" spans="1:6" s="817" customFormat="1" ht="24">
      <c r="A90" s="821">
        <v>30</v>
      </c>
      <c r="B90" s="3621"/>
      <c r="C90" s="757" t="s">
        <v>674</v>
      </c>
      <c r="D90" s="757" t="s">
        <v>675</v>
      </c>
      <c r="E90" s="834">
        <v>0.2</v>
      </c>
      <c r="F90" s="821">
        <v>30</v>
      </c>
    </row>
    <row r="91" spans="1:6" s="817" customFormat="1" ht="36">
      <c r="A91" s="821">
        <v>31</v>
      </c>
      <c r="B91" s="3621"/>
      <c r="C91" s="757" t="s">
        <v>676</v>
      </c>
      <c r="D91" s="757" t="s">
        <v>677</v>
      </c>
      <c r="E91" s="834">
        <v>0.2</v>
      </c>
      <c r="F91" s="821">
        <v>30</v>
      </c>
    </row>
    <row r="92" spans="1:6" s="817" customFormat="1" ht="24">
      <c r="A92" s="821">
        <v>32</v>
      </c>
      <c r="B92" s="3621" t="s">
        <v>678</v>
      </c>
      <c r="C92" s="821" t="s">
        <v>679</v>
      </c>
      <c r="D92" s="757" t="s">
        <v>680</v>
      </c>
      <c r="E92" s="834">
        <v>0.2</v>
      </c>
      <c r="F92" s="821">
        <v>30</v>
      </c>
    </row>
    <row r="93" spans="1:6" s="817" customFormat="1" ht="36">
      <c r="A93" s="821">
        <v>33</v>
      </c>
      <c r="B93" s="3621"/>
      <c r="C93" s="821" t="s">
        <v>681</v>
      </c>
      <c r="D93" s="757" t="s">
        <v>682</v>
      </c>
      <c r="E93" s="834">
        <v>0.2</v>
      </c>
      <c r="F93" s="821">
        <v>30</v>
      </c>
    </row>
    <row r="94" spans="1:6" s="817" customFormat="1" ht="48">
      <c r="A94" s="821">
        <v>34</v>
      </c>
      <c r="B94" s="3621"/>
      <c r="C94" s="821" t="s">
        <v>683</v>
      </c>
      <c r="D94" s="757" t="s">
        <v>684</v>
      </c>
      <c r="E94" s="834">
        <v>0.2</v>
      </c>
      <c r="F94" s="821">
        <v>30</v>
      </c>
    </row>
    <row r="95" spans="1:6" s="817" customFormat="1" ht="36">
      <c r="A95" s="821">
        <v>35</v>
      </c>
      <c r="B95" s="3621"/>
      <c r="C95" s="821" t="s">
        <v>685</v>
      </c>
      <c r="D95" s="757" t="s">
        <v>686</v>
      </c>
      <c r="E95" s="834">
        <v>0.2</v>
      </c>
      <c r="F95" s="821">
        <v>30</v>
      </c>
    </row>
    <row r="96" spans="1:6" s="817" customFormat="1" ht="48">
      <c r="A96" s="821">
        <v>36</v>
      </c>
      <c r="B96" s="3621"/>
      <c r="C96" s="757" t="s">
        <v>687</v>
      </c>
      <c r="D96" s="757" t="s">
        <v>688</v>
      </c>
      <c r="E96" s="834">
        <v>0.2</v>
      </c>
      <c r="F96" s="821">
        <v>30</v>
      </c>
    </row>
    <row r="97" spans="1:6" s="817" customFormat="1" ht="36">
      <c r="A97" s="821">
        <v>37</v>
      </c>
      <c r="B97" s="3621"/>
      <c r="C97" s="821" t="s">
        <v>689</v>
      </c>
      <c r="D97" s="757" t="s">
        <v>690</v>
      </c>
      <c r="E97" s="834">
        <v>0.2</v>
      </c>
      <c r="F97" s="821">
        <v>30</v>
      </c>
    </row>
    <row r="98" spans="1:6" s="817" customFormat="1" ht="36">
      <c r="A98" s="821">
        <v>38</v>
      </c>
      <c r="B98" s="3621"/>
      <c r="C98" s="821" t="s">
        <v>691</v>
      </c>
      <c r="D98" s="757" t="s">
        <v>692</v>
      </c>
      <c r="E98" s="834">
        <v>0.2</v>
      </c>
      <c r="F98" s="821">
        <v>30</v>
      </c>
    </row>
    <row r="99" spans="1:6" s="817" customFormat="1" ht="36">
      <c r="A99" s="821">
        <v>39</v>
      </c>
      <c r="B99" s="3621" t="s">
        <v>693</v>
      </c>
      <c r="C99" s="821" t="s">
        <v>694</v>
      </c>
      <c r="D99" s="757" t="s">
        <v>695</v>
      </c>
      <c r="E99" s="834">
        <v>0.3</v>
      </c>
      <c r="F99" s="821">
        <v>50</v>
      </c>
    </row>
    <row r="100" spans="1:6" s="817" customFormat="1" ht="24">
      <c r="A100" s="821">
        <v>40</v>
      </c>
      <c r="B100" s="3621"/>
      <c r="C100" s="821" t="s">
        <v>696</v>
      </c>
      <c r="D100" s="757" t="s">
        <v>697</v>
      </c>
      <c r="E100" s="834">
        <v>0.2</v>
      </c>
      <c r="F100" s="821">
        <v>30</v>
      </c>
    </row>
    <row r="101" spans="1:6" s="817" customFormat="1" ht="36">
      <c r="A101" s="821">
        <v>41</v>
      </c>
      <c r="B101" s="362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21" t="s">
        <v>708</v>
      </c>
      <c r="C105" s="821" t="s">
        <v>709</v>
      </c>
      <c r="D105" s="757" t="s">
        <v>710</v>
      </c>
      <c r="E105" s="834">
        <v>0.2</v>
      </c>
      <c r="F105" s="821">
        <v>30</v>
      </c>
    </row>
    <row r="106" spans="1:6" s="817" customFormat="1" ht="36">
      <c r="A106" s="821">
        <v>46</v>
      </c>
      <c r="B106" s="3621"/>
      <c r="C106" s="821" t="s">
        <v>711</v>
      </c>
      <c r="D106" s="757" t="s">
        <v>712</v>
      </c>
      <c r="E106" s="834">
        <v>0.2</v>
      </c>
      <c r="F106" s="821">
        <v>30</v>
      </c>
    </row>
    <row r="107" spans="1:6" s="817" customFormat="1" ht="36">
      <c r="A107" s="821">
        <v>47</v>
      </c>
      <c r="B107" s="3621" t="s">
        <v>713</v>
      </c>
      <c r="C107" s="821" t="s">
        <v>714</v>
      </c>
      <c r="D107" s="757" t="s">
        <v>715</v>
      </c>
      <c r="E107" s="834">
        <v>0.3</v>
      </c>
      <c r="F107" s="821">
        <v>50</v>
      </c>
    </row>
    <row r="108" spans="1:6" s="817" customFormat="1" ht="36">
      <c r="A108" s="821">
        <v>48</v>
      </c>
      <c r="B108" s="362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21" t="s">
        <v>724</v>
      </c>
      <c r="C111" s="821" t="s">
        <v>725</v>
      </c>
      <c r="D111" s="757" t="s">
        <v>726</v>
      </c>
      <c r="E111" s="834">
        <v>0.2</v>
      </c>
      <c r="F111" s="821">
        <v>30</v>
      </c>
    </row>
    <row r="112" spans="1:6" s="817" customFormat="1" ht="24">
      <c r="A112" s="821">
        <v>52</v>
      </c>
      <c r="B112" s="3621"/>
      <c r="C112" s="821" t="s">
        <v>727</v>
      </c>
      <c r="D112" s="757" t="s">
        <v>728</v>
      </c>
      <c r="E112" s="834">
        <v>0.2</v>
      </c>
      <c r="F112" s="821">
        <v>30</v>
      </c>
    </row>
    <row r="113" spans="1:6" s="817" customFormat="1" ht="24">
      <c r="A113" s="821">
        <v>53</v>
      </c>
      <c r="B113" s="362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21" t="s">
        <v>737</v>
      </c>
      <c r="C116" s="821" t="s">
        <v>738</v>
      </c>
      <c r="D116" s="757" t="s">
        <v>739</v>
      </c>
      <c r="E116" s="834">
        <v>0.2</v>
      </c>
      <c r="F116" s="821">
        <v>30</v>
      </c>
    </row>
    <row r="117" spans="1:6" ht="36">
      <c r="A117" s="821">
        <v>57</v>
      </c>
      <c r="B117" s="362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v>
      </c>
      <c r="B3" s="3288"/>
      <c r="C3" s="3288"/>
      <c r="D3" s="3288"/>
      <c r="E3" s="3288"/>
    </row>
    <row r="4" spans="1:5" ht="19.5" thickBot="1">
      <c r="A4" s="1678"/>
      <c r="B4" s="3286" t="s">
        <v>1595</v>
      </c>
      <c r="C4" s="3286"/>
      <c r="D4" s="3286"/>
      <c r="E4" s="1678"/>
    </row>
    <row r="5" spans="1:5" ht="16.5" thickTop="1">
      <c r="A5" s="1676"/>
      <c r="B5" s="3284" t="s">
        <v>1587</v>
      </c>
      <c r="C5" s="1679" t="s">
        <v>1588</v>
      </c>
      <c r="D5" s="959">
        <f ca="1">结果表!H101</f>
        <v>48501</v>
      </c>
      <c r="E5" s="1676"/>
    </row>
    <row r="6" spans="1:5" ht="15.75">
      <c r="A6" s="1676"/>
      <c r="B6" s="3284"/>
      <c r="C6" s="1679" t="s">
        <v>1589</v>
      </c>
      <c r="D6" s="959" t="str">
        <f ca="1">NUMBERSTRING(INT(D5*10000),2)&amp;"元整"</f>
        <v>肆亿捌仟伍佰零壹万元整</v>
      </c>
      <c r="E6" s="1676"/>
    </row>
    <row r="7" spans="1:5" ht="15.75">
      <c r="A7" s="1676"/>
      <c r="B7" s="3289"/>
      <c r="C7" s="1680" t="s">
        <v>1590</v>
      </c>
      <c r="D7" s="960">
        <f ca="1">结果表!H102</f>
        <v>6048</v>
      </c>
      <c r="E7" s="1676"/>
    </row>
    <row r="8" spans="1:5" ht="15.75">
      <c r="A8" s="1676"/>
      <c r="B8" s="3290" t="str">
        <f>结果表!E103</f>
        <v>2.估价师知悉的法定优先受偿款</v>
      </c>
      <c r="C8" s="1681" t="s">
        <v>1591</v>
      </c>
      <c r="D8" s="960">
        <f>结果表!H103</f>
        <v>0</v>
      </c>
      <c r="E8" s="1676"/>
    </row>
    <row r="9" spans="1:5" ht="15.75">
      <c r="A9" s="1676"/>
      <c r="B9" s="329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283" t="str">
        <f>结果表!E107</f>
        <v>3.房地产抵押价值</v>
      </c>
      <c r="C13" s="1684" t="s">
        <v>1588</v>
      </c>
      <c r="D13" s="962">
        <f ca="1">结果表!H107</f>
        <v>48501</v>
      </c>
      <c r="E13" s="1676"/>
    </row>
    <row r="14" spans="1:5" ht="15.75">
      <c r="A14" s="1676"/>
      <c r="B14" s="3284"/>
      <c r="C14" s="1679" t="s">
        <v>1589</v>
      </c>
      <c r="D14" s="959" t="str">
        <f ca="1">NUMBERSTRING(INT(D13*10000),2)&amp;"元整"</f>
        <v>肆亿捌仟伍佰零壹万元整</v>
      </c>
      <c r="E14" s="1676"/>
    </row>
    <row r="15" spans="1:5" ht="15">
      <c r="A15" s="1676"/>
      <c r="B15" s="3289"/>
      <c r="C15" s="1680" t="s">
        <v>1599</v>
      </c>
      <c r="D15" s="968">
        <f ca="1">结果表!H108</f>
        <v>6048</v>
      </c>
      <c r="E15" s="1676"/>
    </row>
    <row r="16" spans="1:5" ht="15">
      <c r="A16" s="1676"/>
      <c r="B16" s="3290" t="str">
        <f>结果表!E109</f>
        <v>——</v>
      </c>
      <c r="C16" s="1684" t="s">
        <v>1600</v>
      </c>
      <c r="D16" s="1685" t="str">
        <f>结果表!H109</f>
        <v>——</v>
      </c>
      <c r="E16" s="1676"/>
    </row>
    <row r="17" spans="1:5" ht="15.75">
      <c r="A17" s="1676"/>
      <c r="B17" s="3291"/>
      <c r="C17" s="1679" t="s">
        <v>1601</v>
      </c>
      <c r="D17" s="959" t="e">
        <f>NUMBERSTRING(INT(D16*10000),2)&amp;"元整"</f>
        <v>#VALUE!</v>
      </c>
      <c r="E17" s="1676"/>
    </row>
    <row r="18" spans="1:5" ht="15">
      <c r="A18" s="1676"/>
      <c r="B18" s="3292"/>
      <c r="C18" s="1680" t="s">
        <v>1590</v>
      </c>
      <c r="D18" s="968" t="str">
        <f>结果表!H110</f>
        <v>——</v>
      </c>
      <c r="E18" s="1676"/>
    </row>
    <row r="19" spans="1:5" ht="15.75">
      <c r="A19" s="1676"/>
      <c r="B19" s="3283" t="str">
        <f>结果表!E111</f>
        <v>——</v>
      </c>
      <c r="C19" s="1684" t="s">
        <v>1588</v>
      </c>
      <c r="D19" s="960" t="str">
        <f>结果表!H111</f>
        <v>——</v>
      </c>
      <c r="E19" s="1676"/>
    </row>
    <row r="20" spans="1:5" ht="15.75">
      <c r="A20" s="1676"/>
      <c r="B20" s="3284"/>
      <c r="C20" s="1679" t="s">
        <v>1601</v>
      </c>
      <c r="D20" s="959" t="e">
        <f>NUMBERSTRING(INT(D19*10000),2)&amp;"元整"</f>
        <v>#VALUE!</v>
      </c>
      <c r="E20" s="1676"/>
    </row>
    <row r="21" spans="1:5" ht="15.75" thickBot="1">
      <c r="A21" s="1676"/>
      <c r="B21" s="328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627" t="s">
        <v>1117</v>
      </c>
      <c r="C1" s="3627"/>
      <c r="D1" s="3627"/>
      <c r="E1" s="3627"/>
      <c r="F1" s="3627"/>
      <c r="G1" s="3626" t="s">
        <v>1118</v>
      </c>
      <c r="H1" s="3626"/>
      <c r="I1" s="3626"/>
      <c r="J1" s="3626"/>
      <c r="K1" s="3626"/>
      <c r="L1" s="3626"/>
      <c r="N1" s="3626" t="s">
        <v>1119</v>
      </c>
      <c r="O1" s="3626"/>
      <c r="P1" s="3626"/>
      <c r="Q1" s="3626"/>
      <c r="S1" s="3626" t="s">
        <v>1120</v>
      </c>
      <c r="T1" s="3626"/>
      <c r="U1" s="3626"/>
      <c r="V1" s="3626"/>
      <c r="X1" s="3625" t="s">
        <v>1121</v>
      </c>
      <c r="Y1" s="3626"/>
      <c r="Z1" s="3626"/>
      <c r="AA1" s="3626"/>
      <c r="AB1" s="3626"/>
      <c r="AD1" s="3625" t="s">
        <v>1122</v>
      </c>
      <c r="AE1" s="3626"/>
      <c r="AF1" s="3626"/>
      <c r="AG1" s="3626"/>
      <c r="AH1" s="362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3065</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3064</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3063</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3062</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3060</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3059</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2873</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2871</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2870</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2869</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2867</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2865</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2868</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623">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2863</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623"/>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2862</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623"/>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2855</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63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2853</v>
      </c>
      <c r="B21" s="2438">
        <v>439</v>
      </c>
      <c r="C21" s="2438">
        <v>327</v>
      </c>
      <c r="D21" s="2438">
        <f>C21</f>
        <v>327</v>
      </c>
      <c r="E21" s="2438">
        <v>627</v>
      </c>
      <c r="F21" s="2439">
        <v>283</v>
      </c>
      <c r="G21" s="362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2854</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623"/>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623"/>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63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62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623"/>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623"/>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624"/>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622">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623"/>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623"/>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624"/>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622">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623"/>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623"/>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624"/>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62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63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63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63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622">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623"/>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623"/>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624"/>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622">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623">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623">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624">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622">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623">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623">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624">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622">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623">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623">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624">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622">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623">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623">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624">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622">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623">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623">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624">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622">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623">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623">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624">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622">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623">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623">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624">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622">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623">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623">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624">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622">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623">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623">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624">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622">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623">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623">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624">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636" t="s">
        <v>2826</v>
      </c>
      <c r="D1" s="3637"/>
      <c r="E1" s="3637"/>
      <c r="F1" s="3637"/>
      <c r="G1" s="3637"/>
      <c r="H1" s="3637"/>
      <c r="I1" s="3637"/>
      <c r="J1" s="3637"/>
      <c r="K1" s="3637"/>
      <c r="L1" s="3637"/>
      <c r="M1" s="3637"/>
      <c r="N1" s="3637"/>
      <c r="O1" s="3637"/>
      <c r="P1" s="3637"/>
      <c r="Q1" s="3637"/>
      <c r="R1" s="3637"/>
      <c r="S1" s="3638"/>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633" t="s">
        <v>33</v>
      </c>
      <c r="D22" s="3634"/>
      <c r="E22" s="3634"/>
      <c r="F22" s="3634"/>
      <c r="G22" s="3634"/>
      <c r="H22" s="3634"/>
      <c r="I22" s="3634"/>
      <c r="J22" s="3634"/>
      <c r="K22" s="3634"/>
      <c r="L22" s="3634"/>
      <c r="M22" s="3634"/>
      <c r="N22" s="3634"/>
      <c r="O22" s="3634"/>
      <c r="P22" s="3634"/>
      <c r="Q22" s="3635"/>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73419</v>
      </c>
      <c r="C2" s="2" t="s">
        <v>133</v>
      </c>
      <c r="D2" s="205"/>
      <c r="E2" s="205"/>
      <c r="F2" s="205"/>
      <c r="G2" s="205"/>
    </row>
    <row r="3" spans="1:7" s="206" customFormat="1" ht="18" customHeight="1" thickBot="1">
      <c r="A3" s="209" t="s">
        <v>85</v>
      </c>
      <c r="B3" s="210">
        <f ca="1">ROUND(B2*10000/'数据-汇总表'!E3,0)</f>
        <v>9155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190</v>
      </c>
      <c r="F9" s="227"/>
      <c r="G9" s="232"/>
    </row>
    <row r="10" spans="1:7" s="220" customFormat="1" ht="13.5" customHeight="1">
      <c r="A10" s="887" t="s">
        <v>801</v>
      </c>
      <c r="B10" s="230" t="s">
        <v>94</v>
      </c>
      <c r="C10" s="231">
        <f>ROUND(D10*E10/10000,0)</f>
        <v>1524</v>
      </c>
      <c r="D10" s="954">
        <f>'数据-汇总表'!E6</f>
        <v>80197.850000000006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1604</v>
      </c>
      <c r="D19" s="958">
        <f>'数据-汇总表'!E3</f>
        <v>80197.850000000006</v>
      </c>
      <c r="E19" s="217">
        <f>'数据-取费表'!B31</f>
        <v>200</v>
      </c>
      <c r="F19" s="237"/>
      <c r="G19" s="1" t="s">
        <v>1042</v>
      </c>
    </row>
    <row r="20" spans="1:7" s="220" customFormat="1" ht="13.5" customHeight="1">
      <c r="A20" s="885" t="s">
        <v>1025</v>
      </c>
      <c r="B20" s="216" t="s">
        <v>104</v>
      </c>
      <c r="C20" s="238">
        <f>ROUND((C5+C19)*F20,0)</f>
        <v>444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1994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143</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3399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3399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30367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35126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32079</v>
      </c>
      <c r="D34" s="223"/>
      <c r="E34" s="226"/>
      <c r="F34" s="263">
        <f>IF('数据-取费表'!B24=0,1,'数据-取费表'!N16)</f>
        <v>1</v>
      </c>
      <c r="G34" s="225" t="s">
        <v>116</v>
      </c>
    </row>
    <row r="35" spans="1:7" ht="13.5" customHeight="1">
      <c r="A35" s="888" t="s">
        <v>796</v>
      </c>
      <c r="B35" s="221" t="s">
        <v>60</v>
      </c>
      <c r="C35" s="226">
        <f>ROUND(C34*F35,0)</f>
        <v>962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1604</v>
      </c>
      <c r="D37" s="223">
        <f>'数据-汇总表'!E3</f>
        <v>80197.850000000006</v>
      </c>
      <c r="E37" s="255">
        <f>'数据-取费表'!B35</f>
        <v>200</v>
      </c>
      <c r="F37" s="265"/>
      <c r="G37" s="267" t="s">
        <v>119</v>
      </c>
    </row>
    <row r="38" spans="1:7" ht="13.5" customHeight="1">
      <c r="A38" s="888" t="s">
        <v>799</v>
      </c>
      <c r="B38" s="221" t="s">
        <v>63</v>
      </c>
      <c r="C38" s="226">
        <f>ROUND(C34*F38,0)</f>
        <v>481</v>
      </c>
      <c r="D38" s="226"/>
      <c r="E38" s="226"/>
      <c r="F38" s="265">
        <f>'数据-取费表'!B36</f>
        <v>1.4999999999999999E-2</v>
      </c>
      <c r="G38" s="225" t="s">
        <v>117</v>
      </c>
    </row>
    <row r="39" spans="1:7" s="220" customFormat="1" ht="13.5" customHeight="1">
      <c r="A39" s="885" t="s">
        <v>783</v>
      </c>
      <c r="B39" s="216" t="s">
        <v>104</v>
      </c>
      <c r="C39" s="238">
        <f>ROUND(C33*F20,0)</f>
        <v>703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1559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1528</v>
      </c>
      <c r="D42" s="244"/>
      <c r="E42" s="244"/>
      <c r="F42" s="245"/>
      <c r="G42" s="3471" t="s">
        <v>121</v>
      </c>
    </row>
    <row r="43" spans="1:7" ht="13.5" customHeight="1">
      <c r="A43" s="888" t="s">
        <v>792</v>
      </c>
      <c r="B43" s="221" t="s">
        <v>1032</v>
      </c>
      <c r="C43" s="244">
        <f ca="1">ROUND(IF('数据-取费表'!B22&lt;=1,C39*F22*'数据-取费表'!B21/2,C39*(POWER((1+F22),'数据-取费表'!B21/2)-1)),0)</f>
        <v>31</v>
      </c>
      <c r="D43" s="244"/>
      <c r="E43" s="244"/>
      <c r="F43" s="245"/>
      <c r="G43" s="3472"/>
    </row>
    <row r="44" spans="1:7" ht="13.5" customHeight="1">
      <c r="A44" s="888" t="s">
        <v>793</v>
      </c>
      <c r="B44" s="221" t="s">
        <v>1034</v>
      </c>
      <c r="C44" s="244">
        <f ca="1">ROUND(IF('数据-取费表'!B22&lt;=1,C40*F22*'数据-取费表'!B21/2,C40*(POWER((1+F22),'数据-取费表'!B21/2)-1)),4)</f>
        <v>8.9999999999999998E-4</v>
      </c>
      <c r="D44" s="244"/>
      <c r="E44" s="244"/>
      <c r="F44" s="245"/>
      <c r="G44" s="3473"/>
    </row>
    <row r="45" spans="1:7" s="220" customFormat="1" ht="13.5" customHeight="1">
      <c r="A45" s="885" t="s">
        <v>786</v>
      </c>
      <c r="B45" s="250" t="s">
        <v>112</v>
      </c>
      <c r="C45" s="251">
        <f>C46</f>
        <v>5374</v>
      </c>
      <c r="D45" s="241">
        <f>C47</f>
        <v>3.0000000000000001E-3</v>
      </c>
      <c r="E45" s="242" t="s">
        <v>129</v>
      </c>
      <c r="F45" s="252"/>
      <c r="G45" s="253" t="s">
        <v>1040</v>
      </c>
    </row>
    <row r="46" spans="1:7" s="220" customFormat="1" ht="13.5" customHeight="1">
      <c r="A46" s="888" t="s">
        <v>794</v>
      </c>
      <c r="B46" s="254" t="s">
        <v>1033</v>
      </c>
      <c r="C46" s="255">
        <f>ROUND((C33+C39)*F27,0)</f>
        <v>5374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46293</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43052</v>
      </c>
      <c r="D51" s="238"/>
      <c r="E51" s="238"/>
      <c r="F51" s="270"/>
      <c r="G51" s="240" t="s">
        <v>64</v>
      </c>
    </row>
    <row r="52" spans="1:7" s="214" customFormat="1" ht="16.5" thickBot="1">
      <c r="A52" s="271" t="s">
        <v>65</v>
      </c>
      <c r="B52" s="272"/>
      <c r="C52" s="273">
        <f ca="1">C31+C51</f>
        <v>73419</v>
      </c>
      <c r="D52" s="272"/>
      <c r="E52" s="272"/>
      <c r="F52" s="272"/>
      <c r="G52" s="274"/>
    </row>
    <row r="55" spans="1:7" ht="15">
      <c r="B55" s="276" t="s">
        <v>66</v>
      </c>
      <c r="C55" s="277"/>
    </row>
    <row r="56" spans="1:7">
      <c r="B56" s="279" t="s">
        <v>67</v>
      </c>
      <c r="C56" s="280">
        <f ca="1">ROUND(C51/C52,3)</f>
        <v>0.58599999999999997</v>
      </c>
    </row>
    <row r="57" spans="1:7">
      <c r="B57" s="279" t="s">
        <v>68</v>
      </c>
      <c r="C57" s="281">
        <f ca="1">1-C56</f>
        <v>0.41400000000000003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9" t="s">
        <v>156</v>
      </c>
      <c r="B1" s="3639"/>
      <c r="C1" s="3639"/>
      <c r="D1" s="3639"/>
      <c r="E1" s="3639"/>
      <c r="F1" s="363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40" t="s">
        <v>169</v>
      </c>
      <c r="B2" s="3640"/>
      <c r="C2" s="3640"/>
      <c r="D2" s="3640"/>
      <c r="E2" s="3640"/>
      <c r="F2" s="364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4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4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9" t="s">
        <v>839</v>
      </c>
      <c r="B1" s="363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44548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5"/>
  <sheetViews>
    <sheetView workbookViewId="0">
      <selection activeCell="F81" sqref="F81"/>
    </sheetView>
  </sheetViews>
  <sheetFormatPr defaultRowHeight="13.5"/>
  <cols>
    <col min="1" max="1" width="22.5" style="3070" customWidth="1"/>
    <col min="2" max="8" width="9" style="3070"/>
    <col min="9" max="9" width="21.25" style="3070" customWidth="1"/>
    <col min="10" max="12" width="9" style="3070"/>
    <col min="13" max="13" width="9" style="3072"/>
    <col min="14" max="16384" width="9" style="3070"/>
  </cols>
  <sheetData>
    <row r="1" spans="1:18">
      <c r="A1" s="3644" t="s">
        <v>3954</v>
      </c>
      <c r="B1" s="3644" t="s">
        <v>3955</v>
      </c>
      <c r="C1" s="3644" t="s">
        <v>3956</v>
      </c>
      <c r="D1" s="3644" t="s">
        <v>3957</v>
      </c>
      <c r="E1" s="3644" t="s">
        <v>3958</v>
      </c>
      <c r="F1" s="3644" t="s">
        <v>3959</v>
      </c>
      <c r="G1" s="3644" t="s">
        <v>3960</v>
      </c>
      <c r="H1" s="3644" t="s">
        <v>3961</v>
      </c>
      <c r="I1" s="3644" t="s">
        <v>3962</v>
      </c>
      <c r="J1" s="3644" t="s">
        <v>3963</v>
      </c>
      <c r="K1" s="3644" t="s">
        <v>3964</v>
      </c>
      <c r="L1" s="3644" t="s">
        <v>3965</v>
      </c>
      <c r="M1" s="3645" t="s">
        <v>3966</v>
      </c>
      <c r="N1" s="3644" t="s">
        <v>3967</v>
      </c>
      <c r="O1" s="3644" t="s">
        <v>3968</v>
      </c>
      <c r="P1" s="3644" t="s">
        <v>3969</v>
      </c>
      <c r="Q1" s="3644" t="s">
        <v>3970</v>
      </c>
      <c r="R1" s="3644" t="s">
        <v>3971</v>
      </c>
    </row>
    <row r="2" spans="1:18" s="3071" customFormat="1">
      <c r="A2" s="3646" t="s">
        <v>3972</v>
      </c>
      <c r="B2" s="3646" t="s">
        <v>3973</v>
      </c>
      <c r="C2" s="3646" t="s">
        <v>3974</v>
      </c>
      <c r="D2" s="3646" t="s">
        <v>3975</v>
      </c>
      <c r="E2" s="3646">
        <v>4706</v>
      </c>
      <c r="F2" s="3646">
        <v>1411.8</v>
      </c>
      <c r="G2" s="3646" t="s">
        <v>3976</v>
      </c>
      <c r="H2" s="3646" t="s">
        <v>3977</v>
      </c>
      <c r="I2" s="3646" t="s">
        <v>3978</v>
      </c>
      <c r="J2" s="3646" t="s">
        <v>3979</v>
      </c>
      <c r="K2" s="3647">
        <v>44510</v>
      </c>
      <c r="L2" s="3646" t="s">
        <v>3980</v>
      </c>
      <c r="M2" s="3645" t="s">
        <v>3981</v>
      </c>
      <c r="N2" s="3646">
        <v>2130</v>
      </c>
      <c r="O2" s="3646">
        <v>301.74</v>
      </c>
      <c r="P2" s="3646">
        <v>15087</v>
      </c>
      <c r="Q2" s="3646">
        <v>0</v>
      </c>
      <c r="R2" s="3646" t="s">
        <v>3982</v>
      </c>
    </row>
    <row r="3" spans="1:18" s="3071" customFormat="1">
      <c r="A3" s="3646" t="s">
        <v>3983</v>
      </c>
      <c r="B3" s="3646" t="s">
        <v>3984</v>
      </c>
      <c r="C3" s="3646" t="s">
        <v>3974</v>
      </c>
      <c r="D3" s="3646" t="s">
        <v>3975</v>
      </c>
      <c r="E3" s="3646">
        <v>2700</v>
      </c>
      <c r="F3" s="3646">
        <v>810</v>
      </c>
      <c r="G3" s="3646" t="s">
        <v>3976</v>
      </c>
      <c r="H3" s="3646" t="s">
        <v>3977</v>
      </c>
      <c r="I3" s="3646" t="s">
        <v>3978</v>
      </c>
      <c r="J3" s="3646" t="s">
        <v>3979</v>
      </c>
      <c r="K3" s="3647">
        <v>44510</v>
      </c>
      <c r="L3" s="3646" t="s">
        <v>3980</v>
      </c>
      <c r="M3" s="3645" t="s">
        <v>3981</v>
      </c>
      <c r="N3" s="3646">
        <v>1230</v>
      </c>
      <c r="O3" s="3646">
        <v>303.7</v>
      </c>
      <c r="P3" s="3646">
        <v>15185</v>
      </c>
      <c r="Q3" s="3646">
        <v>0</v>
      </c>
      <c r="R3" s="3646" t="s">
        <v>3982</v>
      </c>
    </row>
    <row r="4" spans="1:18" s="3071" customFormat="1">
      <c r="A4" s="3646" t="s">
        <v>3985</v>
      </c>
      <c r="B4" s="3646" t="s">
        <v>3986</v>
      </c>
      <c r="C4" s="3646" t="s">
        <v>3974</v>
      </c>
      <c r="D4" s="3646" t="s">
        <v>3975</v>
      </c>
      <c r="E4" s="3646">
        <v>48684</v>
      </c>
      <c r="F4" s="3646">
        <v>73026</v>
      </c>
      <c r="G4" s="3646" t="s">
        <v>3987</v>
      </c>
      <c r="H4" s="3646" t="s">
        <v>3977</v>
      </c>
      <c r="I4" s="3646" t="s">
        <v>3988</v>
      </c>
      <c r="J4" s="3646" t="s">
        <v>3979</v>
      </c>
      <c r="K4" s="3647">
        <v>44509</v>
      </c>
      <c r="L4" s="3646" t="s">
        <v>3980</v>
      </c>
      <c r="M4" s="3645" t="s">
        <v>3989</v>
      </c>
      <c r="N4" s="3646">
        <v>5842</v>
      </c>
      <c r="O4" s="3646">
        <v>80</v>
      </c>
      <c r="P4" s="3646">
        <v>800</v>
      </c>
      <c r="Q4" s="3646">
        <v>0</v>
      </c>
      <c r="R4" s="3646" t="s">
        <v>3982</v>
      </c>
    </row>
    <row r="5" spans="1:18" s="3073" customFormat="1">
      <c r="A5" s="3648" t="s">
        <v>3990</v>
      </c>
      <c r="B5" s="3648" t="s">
        <v>3991</v>
      </c>
      <c r="C5" s="3648" t="s">
        <v>3974</v>
      </c>
      <c r="D5" s="3648" t="s">
        <v>3975</v>
      </c>
      <c r="E5" s="3648">
        <v>4229</v>
      </c>
      <c r="F5" s="3648">
        <v>5074.8</v>
      </c>
      <c r="G5" s="3648" t="s">
        <v>3992</v>
      </c>
      <c r="H5" s="3648" t="s">
        <v>3977</v>
      </c>
      <c r="I5" s="3648" t="s">
        <v>3993</v>
      </c>
      <c r="J5" s="3648" t="s">
        <v>3979</v>
      </c>
      <c r="K5" s="3649">
        <v>44483</v>
      </c>
      <c r="L5" s="3648" t="s">
        <v>3980</v>
      </c>
      <c r="M5" s="3650" t="s">
        <v>3994</v>
      </c>
      <c r="N5" s="3648">
        <v>565</v>
      </c>
      <c r="O5" s="3648">
        <v>89.07</v>
      </c>
      <c r="P5" s="3648">
        <v>1113</v>
      </c>
      <c r="Q5" s="3648">
        <v>0</v>
      </c>
      <c r="R5" s="3648" t="s">
        <v>3982</v>
      </c>
    </row>
    <row r="6" spans="1:18" s="3071" customFormat="1">
      <c r="A6" s="3646" t="s">
        <v>3995</v>
      </c>
      <c r="B6" s="3646" t="s">
        <v>3996</v>
      </c>
      <c r="C6" s="3646" t="s">
        <v>3974</v>
      </c>
      <c r="D6" s="3646" t="s">
        <v>3975</v>
      </c>
      <c r="E6" s="3646">
        <v>3422.8</v>
      </c>
      <c r="F6" s="3646">
        <v>1026.8399999999999</v>
      </c>
      <c r="G6" s="3646" t="s">
        <v>3976</v>
      </c>
      <c r="H6" s="3646" t="s">
        <v>3977</v>
      </c>
      <c r="I6" s="3646" t="s">
        <v>3978</v>
      </c>
      <c r="J6" s="3646" t="s">
        <v>3979</v>
      </c>
      <c r="K6" s="3647">
        <v>44350</v>
      </c>
      <c r="L6" s="3646" t="s">
        <v>3980</v>
      </c>
      <c r="M6" s="3645" t="s">
        <v>3997</v>
      </c>
      <c r="N6" s="3646">
        <v>443</v>
      </c>
      <c r="O6" s="3646">
        <v>86.28</v>
      </c>
      <c r="P6" s="3646">
        <v>4314</v>
      </c>
      <c r="Q6" s="3646">
        <v>0</v>
      </c>
      <c r="R6" s="3646" t="s">
        <v>3982</v>
      </c>
    </row>
    <row r="7" spans="1:18" s="3071" customFormat="1">
      <c r="A7" s="3646" t="s">
        <v>3998</v>
      </c>
      <c r="B7" s="3646" t="s">
        <v>3999</v>
      </c>
      <c r="C7" s="3646" t="s">
        <v>3974</v>
      </c>
      <c r="D7" s="3646" t="s">
        <v>3975</v>
      </c>
      <c r="E7" s="3646">
        <v>3048.9</v>
      </c>
      <c r="F7" s="3646">
        <v>915</v>
      </c>
      <c r="G7" s="3646" t="s">
        <v>3976</v>
      </c>
      <c r="H7" s="3646" t="s">
        <v>3977</v>
      </c>
      <c r="I7" s="3646" t="s">
        <v>3978</v>
      </c>
      <c r="J7" s="3646" t="s">
        <v>3979</v>
      </c>
      <c r="K7" s="3647">
        <v>44337</v>
      </c>
      <c r="L7" s="3646" t="s">
        <v>3980</v>
      </c>
      <c r="M7" s="3645" t="s">
        <v>4000</v>
      </c>
      <c r="N7" s="3646">
        <v>1380</v>
      </c>
      <c r="O7" s="3646">
        <v>301.75</v>
      </c>
      <c r="P7" s="3646">
        <v>15082</v>
      </c>
      <c r="Q7" s="3646">
        <v>0</v>
      </c>
      <c r="R7" s="3646" t="s">
        <v>3982</v>
      </c>
    </row>
    <row r="8" spans="1:18" s="3071" customFormat="1">
      <c r="A8" s="3646" t="s">
        <v>4001</v>
      </c>
      <c r="B8" s="3646" t="s">
        <v>4002</v>
      </c>
      <c r="C8" s="3646" t="s">
        <v>3974</v>
      </c>
      <c r="D8" s="3646" t="s">
        <v>3975</v>
      </c>
      <c r="E8" s="3646">
        <v>2864.2</v>
      </c>
      <c r="F8" s="3646">
        <v>859.26</v>
      </c>
      <c r="G8" s="3646" t="s">
        <v>4003</v>
      </c>
      <c r="H8" s="3646" t="s">
        <v>3977</v>
      </c>
      <c r="I8" s="3646" t="s">
        <v>4004</v>
      </c>
      <c r="J8" s="3646" t="s">
        <v>3979</v>
      </c>
      <c r="K8" s="3647">
        <v>44334</v>
      </c>
      <c r="L8" s="3646" t="s">
        <v>3980</v>
      </c>
      <c r="M8" s="3645" t="s">
        <v>4005</v>
      </c>
      <c r="N8" s="3646">
        <v>390</v>
      </c>
      <c r="O8" s="3646">
        <v>90.78</v>
      </c>
      <c r="P8" s="3646">
        <v>4539</v>
      </c>
      <c r="Q8" s="3646">
        <v>0</v>
      </c>
      <c r="R8" s="3646" t="s">
        <v>3982</v>
      </c>
    </row>
    <row r="9" spans="1:18" s="3071" customFormat="1">
      <c r="A9" s="3646" t="s">
        <v>4006</v>
      </c>
      <c r="B9" s="3646" t="s">
        <v>4007</v>
      </c>
      <c r="C9" s="3646" t="s">
        <v>3974</v>
      </c>
      <c r="D9" s="3646" t="s">
        <v>3975</v>
      </c>
      <c r="E9" s="3646">
        <v>43249</v>
      </c>
      <c r="F9" s="3646">
        <v>86498</v>
      </c>
      <c r="G9" s="3646" t="s">
        <v>4008</v>
      </c>
      <c r="H9" s="3646" t="s">
        <v>3977</v>
      </c>
      <c r="I9" s="3646" t="s">
        <v>4009</v>
      </c>
      <c r="J9" s="3646" t="s">
        <v>3979</v>
      </c>
      <c r="K9" s="3647">
        <v>44173</v>
      </c>
      <c r="L9" s="3646" t="s">
        <v>3980</v>
      </c>
      <c r="M9" s="3645" t="s">
        <v>4010</v>
      </c>
      <c r="N9" s="3646">
        <v>19895</v>
      </c>
      <c r="O9" s="3646">
        <v>306.67</v>
      </c>
      <c r="P9" s="3646">
        <v>2300</v>
      </c>
      <c r="Q9" s="3646">
        <v>0</v>
      </c>
      <c r="R9" s="3646" t="s">
        <v>3982</v>
      </c>
    </row>
    <row r="10" spans="1:18" s="3071" customFormat="1">
      <c r="A10" s="3646" t="s">
        <v>4011</v>
      </c>
      <c r="B10" s="3646" t="s">
        <v>4012</v>
      </c>
      <c r="C10" s="3646" t="s">
        <v>3974</v>
      </c>
      <c r="D10" s="3646" t="s">
        <v>3975</v>
      </c>
      <c r="E10" s="3646">
        <v>1854.8</v>
      </c>
      <c r="F10" s="3646">
        <v>556.44000000000005</v>
      </c>
      <c r="G10" s="3646" t="s">
        <v>4003</v>
      </c>
      <c r="H10" s="3646" t="s">
        <v>3977</v>
      </c>
      <c r="I10" s="3646" t="s">
        <v>4004</v>
      </c>
      <c r="J10" s="3646" t="s">
        <v>3979</v>
      </c>
      <c r="K10" s="3647">
        <v>44096</v>
      </c>
      <c r="L10" s="3646" t="s">
        <v>3980</v>
      </c>
      <c r="M10" s="3645" t="s">
        <v>4013</v>
      </c>
      <c r="N10" s="3646">
        <v>271</v>
      </c>
      <c r="O10" s="3646">
        <v>97.4</v>
      </c>
      <c r="P10" s="3646">
        <v>4870</v>
      </c>
      <c r="Q10" s="3646">
        <v>0</v>
      </c>
      <c r="R10" s="3646" t="s">
        <v>3982</v>
      </c>
    </row>
    <row r="11" spans="1:18" s="3071" customFormat="1">
      <c r="A11" s="3646" t="s">
        <v>4014</v>
      </c>
      <c r="B11" s="3646" t="s">
        <v>4015</v>
      </c>
      <c r="C11" s="3646" t="s">
        <v>3974</v>
      </c>
      <c r="D11" s="3646" t="s">
        <v>3975</v>
      </c>
      <c r="E11" s="3646">
        <v>2258.0500000000002</v>
      </c>
      <c r="F11" s="3646">
        <v>677.42</v>
      </c>
      <c r="G11" s="3646" t="s">
        <v>4003</v>
      </c>
      <c r="H11" s="3646" t="s">
        <v>3977</v>
      </c>
      <c r="I11" s="3646" t="s">
        <v>4004</v>
      </c>
      <c r="J11" s="3646" t="s">
        <v>3979</v>
      </c>
      <c r="K11" s="3647">
        <v>44096</v>
      </c>
      <c r="L11" s="3646" t="s">
        <v>3980</v>
      </c>
      <c r="M11" s="3645" t="s">
        <v>4013</v>
      </c>
      <c r="N11" s="3646">
        <v>272</v>
      </c>
      <c r="O11" s="3646">
        <v>80.31</v>
      </c>
      <c r="P11" s="3646">
        <v>4015</v>
      </c>
      <c r="Q11" s="3646">
        <v>0</v>
      </c>
      <c r="R11" s="3646" t="s">
        <v>3982</v>
      </c>
    </row>
    <row r="12" spans="1:18" s="3073" customFormat="1">
      <c r="A12" s="3648" t="s">
        <v>4016</v>
      </c>
      <c r="B12" s="3648" t="s">
        <v>4017</v>
      </c>
      <c r="C12" s="3648" t="s">
        <v>3974</v>
      </c>
      <c r="D12" s="3648" t="s">
        <v>3975</v>
      </c>
      <c r="E12" s="3648">
        <v>24998</v>
      </c>
      <c r="F12" s="3648">
        <v>44996.4</v>
      </c>
      <c r="G12" s="3648" t="s">
        <v>4018</v>
      </c>
      <c r="H12" s="3648" t="s">
        <v>3977</v>
      </c>
      <c r="I12" s="3648" t="s">
        <v>4009</v>
      </c>
      <c r="J12" s="3648" t="s">
        <v>3979</v>
      </c>
      <c r="K12" s="3649">
        <v>44043</v>
      </c>
      <c r="L12" s="3648" t="s">
        <v>3980</v>
      </c>
      <c r="M12" s="3650" t="s">
        <v>4019</v>
      </c>
      <c r="N12" s="3648">
        <v>5445</v>
      </c>
      <c r="O12" s="3648">
        <v>145.21</v>
      </c>
      <c r="P12" s="3648">
        <v>1210</v>
      </c>
      <c r="Q12" s="3648">
        <v>0</v>
      </c>
      <c r="R12" s="3648" t="s">
        <v>3982</v>
      </c>
    </row>
    <row r="13" spans="1:18" s="3073" customFormat="1">
      <c r="A13" s="3648" t="s">
        <v>4020</v>
      </c>
      <c r="B13" s="3648" t="s">
        <v>4021</v>
      </c>
      <c r="C13" s="3648" t="s">
        <v>3974</v>
      </c>
      <c r="D13" s="3648" t="s">
        <v>3975</v>
      </c>
      <c r="E13" s="3648">
        <v>36225</v>
      </c>
      <c r="F13" s="3648">
        <v>50715</v>
      </c>
      <c r="G13" s="3648" t="s">
        <v>4022</v>
      </c>
      <c r="H13" s="3648" t="s">
        <v>3977</v>
      </c>
      <c r="I13" s="3648" t="s">
        <v>4009</v>
      </c>
      <c r="J13" s="3648" t="s">
        <v>3979</v>
      </c>
      <c r="K13" s="3649">
        <v>43812</v>
      </c>
      <c r="L13" s="3648" t="s">
        <v>3980</v>
      </c>
      <c r="M13" s="3650" t="s">
        <v>4023</v>
      </c>
      <c r="N13" s="3648">
        <v>8040</v>
      </c>
      <c r="O13" s="3648">
        <v>147.96</v>
      </c>
      <c r="P13" s="3648">
        <v>1585</v>
      </c>
      <c r="Q13" s="3648">
        <v>0</v>
      </c>
      <c r="R13" s="3648" t="s">
        <v>3982</v>
      </c>
    </row>
    <row r="14" spans="1:18" s="3071" customFormat="1">
      <c r="A14" s="3646" t="s">
        <v>4024</v>
      </c>
      <c r="B14" s="3646" t="s">
        <v>4025</v>
      </c>
      <c r="C14" s="3646" t="s">
        <v>3974</v>
      </c>
      <c r="D14" s="3646" t="s">
        <v>3975</v>
      </c>
      <c r="E14" s="3646">
        <v>39224</v>
      </c>
      <c r="F14" s="3646">
        <v>33613.599999999999</v>
      </c>
      <c r="G14" s="3646" t="s">
        <v>4026</v>
      </c>
      <c r="H14" s="3646" t="s">
        <v>3977</v>
      </c>
      <c r="I14" s="3646" t="s">
        <v>4027</v>
      </c>
      <c r="J14" s="3646" t="s">
        <v>3979</v>
      </c>
      <c r="K14" s="3647">
        <v>43809</v>
      </c>
      <c r="L14" s="3646" t="s">
        <v>3980</v>
      </c>
      <c r="M14" s="3645" t="s">
        <v>4028</v>
      </c>
      <c r="N14" s="3646">
        <v>7355</v>
      </c>
      <c r="O14" s="3646">
        <v>125.01</v>
      </c>
      <c r="P14" s="3646">
        <v>2188</v>
      </c>
      <c r="Q14" s="3646">
        <v>0</v>
      </c>
      <c r="R14" s="3646" t="s">
        <v>3982</v>
      </c>
    </row>
    <row r="15" spans="1:18" s="3071" customFormat="1">
      <c r="A15" s="3646" t="s">
        <v>4029</v>
      </c>
      <c r="B15" s="3646" t="s">
        <v>4030</v>
      </c>
      <c r="C15" s="3646" t="s">
        <v>3974</v>
      </c>
      <c r="D15" s="3646" t="s">
        <v>3975</v>
      </c>
      <c r="E15" s="3646">
        <v>3333</v>
      </c>
      <c r="F15" s="3646">
        <v>999.9</v>
      </c>
      <c r="G15" s="3646" t="s">
        <v>3976</v>
      </c>
      <c r="H15" s="3646" t="s">
        <v>3977</v>
      </c>
      <c r="I15" s="3646" t="s">
        <v>4004</v>
      </c>
      <c r="J15" s="3646" t="s">
        <v>3979</v>
      </c>
      <c r="K15" s="3647">
        <v>43805</v>
      </c>
      <c r="L15" s="3646" t="s">
        <v>3980</v>
      </c>
      <c r="M15" s="3645" t="s">
        <v>3981</v>
      </c>
      <c r="N15" s="3646">
        <v>1450</v>
      </c>
      <c r="O15" s="3646">
        <v>290.02999999999997</v>
      </c>
      <c r="P15" s="3646">
        <v>14501</v>
      </c>
      <c r="Q15" s="3646">
        <v>0</v>
      </c>
      <c r="R15" s="3646" t="s">
        <v>3982</v>
      </c>
    </row>
    <row r="16" spans="1:18" s="3071" customFormat="1">
      <c r="A16" s="3646" t="s">
        <v>4031</v>
      </c>
      <c r="B16" s="3646" t="s">
        <v>4032</v>
      </c>
      <c r="C16" s="3646" t="s">
        <v>3974</v>
      </c>
      <c r="D16" s="3646" t="s">
        <v>3975</v>
      </c>
      <c r="E16" s="3646">
        <v>1228</v>
      </c>
      <c r="F16" s="3646">
        <v>368.4</v>
      </c>
      <c r="G16" s="3646" t="s">
        <v>3976</v>
      </c>
      <c r="H16" s="3646" t="s">
        <v>3977</v>
      </c>
      <c r="I16" s="3646" t="s">
        <v>4004</v>
      </c>
      <c r="J16" s="3646" t="s">
        <v>3979</v>
      </c>
      <c r="K16" s="3647">
        <v>43725</v>
      </c>
      <c r="L16" s="3646" t="s">
        <v>3980</v>
      </c>
      <c r="M16" s="3645" t="s">
        <v>4033</v>
      </c>
      <c r="N16" s="3646">
        <v>375</v>
      </c>
      <c r="O16" s="3646">
        <v>203.58</v>
      </c>
      <c r="P16" s="3646">
        <v>10179</v>
      </c>
      <c r="Q16" s="3646">
        <v>0</v>
      </c>
      <c r="R16" s="3646" t="s">
        <v>3982</v>
      </c>
    </row>
    <row r="17" spans="1:18" s="3071" customFormat="1">
      <c r="A17" s="3646" t="s">
        <v>4034</v>
      </c>
      <c r="B17" s="3646" t="s">
        <v>4035</v>
      </c>
      <c r="C17" s="3646" t="s">
        <v>3974</v>
      </c>
      <c r="D17" s="3646" t="s">
        <v>3975</v>
      </c>
      <c r="E17" s="3646">
        <v>1821.61</v>
      </c>
      <c r="F17" s="3646">
        <v>546.48</v>
      </c>
      <c r="G17" s="3646" t="s">
        <v>3976</v>
      </c>
      <c r="H17" s="3646" t="s">
        <v>3977</v>
      </c>
      <c r="I17" s="3646" t="s">
        <v>4004</v>
      </c>
      <c r="J17" s="3646" t="s">
        <v>3979</v>
      </c>
      <c r="K17" s="3647">
        <v>43725</v>
      </c>
      <c r="L17" s="3646" t="s">
        <v>3980</v>
      </c>
      <c r="M17" s="3645" t="s">
        <v>4036</v>
      </c>
      <c r="N17" s="3646">
        <v>800</v>
      </c>
      <c r="O17" s="3646">
        <v>292.77999999999997</v>
      </c>
      <c r="P17" s="3646">
        <v>14639</v>
      </c>
      <c r="Q17" s="3646">
        <v>0</v>
      </c>
      <c r="R17" s="3646" t="s">
        <v>3982</v>
      </c>
    </row>
    <row r="18" spans="1:18" s="3071" customFormat="1">
      <c r="A18" s="3646" t="s">
        <v>4037</v>
      </c>
      <c r="B18" s="3646" t="s">
        <v>4038</v>
      </c>
      <c r="C18" s="3646" t="s">
        <v>3974</v>
      </c>
      <c r="D18" s="3646" t="s">
        <v>3975</v>
      </c>
      <c r="E18" s="3646">
        <v>40643</v>
      </c>
      <c r="F18" s="3646">
        <v>71125</v>
      </c>
      <c r="G18" s="3646" t="s">
        <v>4039</v>
      </c>
      <c r="H18" s="3646" t="s">
        <v>4040</v>
      </c>
      <c r="I18" s="3646" t="s">
        <v>4041</v>
      </c>
      <c r="J18" s="3646" t="s">
        <v>3979</v>
      </c>
      <c r="K18" s="3647">
        <v>43711</v>
      </c>
      <c r="L18" s="3646" t="s">
        <v>3980</v>
      </c>
      <c r="M18" s="3645" t="s">
        <v>4042</v>
      </c>
      <c r="N18" s="3646">
        <v>6046</v>
      </c>
      <c r="O18" s="3646">
        <v>99.17</v>
      </c>
      <c r="P18" s="3646">
        <v>850</v>
      </c>
      <c r="Q18" s="3646">
        <v>0</v>
      </c>
      <c r="R18" s="3646" t="s">
        <v>3982</v>
      </c>
    </row>
    <row r="19" spans="1:18" s="3071" customFormat="1">
      <c r="A19" s="3646" t="s">
        <v>4043</v>
      </c>
      <c r="B19" s="3646" t="s">
        <v>4044</v>
      </c>
      <c r="C19" s="3646" t="s">
        <v>3974</v>
      </c>
      <c r="D19" s="3646" t="s">
        <v>3975</v>
      </c>
      <c r="E19" s="3646">
        <v>16627.080000000002</v>
      </c>
      <c r="F19" s="3646">
        <v>33254.160000000003</v>
      </c>
      <c r="G19" s="3646" t="s">
        <v>4045</v>
      </c>
      <c r="H19" s="3646" t="s">
        <v>3977</v>
      </c>
      <c r="I19" s="3646" t="s">
        <v>4046</v>
      </c>
      <c r="J19" s="3646" t="s">
        <v>3979</v>
      </c>
      <c r="K19" s="3647">
        <v>43663</v>
      </c>
      <c r="L19" s="3646" t="s">
        <v>3980</v>
      </c>
      <c r="M19" s="3645" t="s">
        <v>4047</v>
      </c>
      <c r="N19" s="3646">
        <v>2660</v>
      </c>
      <c r="O19" s="3646">
        <v>106.65</v>
      </c>
      <c r="P19" s="3646">
        <v>800</v>
      </c>
      <c r="Q19" s="3646">
        <v>0</v>
      </c>
      <c r="R19" s="3646" t="s">
        <v>3982</v>
      </c>
    </row>
    <row r="20" spans="1:18" s="3071" customFormat="1">
      <c r="A20" s="3646" t="s">
        <v>4037</v>
      </c>
      <c r="B20" s="3646" t="s">
        <v>4048</v>
      </c>
      <c r="C20" s="3646" t="s">
        <v>3974</v>
      </c>
      <c r="D20" s="3646" t="s">
        <v>3975</v>
      </c>
      <c r="E20" s="3646">
        <v>5830</v>
      </c>
      <c r="F20" s="3646">
        <v>29966.2</v>
      </c>
      <c r="G20" s="3646" t="s">
        <v>4049</v>
      </c>
      <c r="H20" s="3646" t="s">
        <v>3977</v>
      </c>
      <c r="I20" s="3646" t="s">
        <v>4041</v>
      </c>
      <c r="J20" s="3646" t="s">
        <v>3979</v>
      </c>
      <c r="K20" s="3647">
        <v>43650</v>
      </c>
      <c r="L20" s="3646" t="s">
        <v>3980</v>
      </c>
      <c r="M20" s="3645" t="s">
        <v>4010</v>
      </c>
      <c r="N20" s="3646">
        <v>2700</v>
      </c>
      <c r="O20" s="3646">
        <v>308.75</v>
      </c>
      <c r="P20" s="3646">
        <v>901</v>
      </c>
      <c r="Q20" s="3646">
        <v>0</v>
      </c>
      <c r="R20" s="3646" t="s">
        <v>3982</v>
      </c>
    </row>
    <row r="21" spans="1:18" s="3071" customFormat="1">
      <c r="A21" s="3646" t="s">
        <v>4037</v>
      </c>
      <c r="B21" s="3646" t="s">
        <v>4050</v>
      </c>
      <c r="C21" s="3646" t="s">
        <v>3974</v>
      </c>
      <c r="D21" s="3646" t="s">
        <v>3975</v>
      </c>
      <c r="E21" s="3646">
        <v>7122</v>
      </c>
      <c r="F21" s="3646">
        <v>89381.1</v>
      </c>
      <c r="G21" s="3646" t="s">
        <v>4051</v>
      </c>
      <c r="H21" s="3646" t="s">
        <v>3977</v>
      </c>
      <c r="I21" s="3646" t="s">
        <v>4041</v>
      </c>
      <c r="J21" s="3646" t="s">
        <v>3979</v>
      </c>
      <c r="K21" s="3647">
        <v>43650</v>
      </c>
      <c r="L21" s="3646" t="s">
        <v>3980</v>
      </c>
      <c r="M21" s="3645" t="s">
        <v>4010</v>
      </c>
      <c r="N21" s="3646">
        <v>8054</v>
      </c>
      <c r="O21" s="3646">
        <v>753.91</v>
      </c>
      <c r="P21" s="3646">
        <v>901</v>
      </c>
      <c r="Q21" s="3646">
        <v>0</v>
      </c>
      <c r="R21" s="3646" t="s">
        <v>3982</v>
      </c>
    </row>
    <row r="22" spans="1:18" s="3071" customFormat="1">
      <c r="A22" s="3646" t="s">
        <v>4037</v>
      </c>
      <c r="B22" s="3646" t="s">
        <v>4052</v>
      </c>
      <c r="C22" s="3646" t="s">
        <v>3974</v>
      </c>
      <c r="D22" s="3646" t="s">
        <v>3975</v>
      </c>
      <c r="E22" s="3646">
        <v>5831</v>
      </c>
      <c r="F22" s="3646">
        <v>29971.34</v>
      </c>
      <c r="G22" s="3646" t="s">
        <v>4049</v>
      </c>
      <c r="H22" s="3646" t="s">
        <v>3977</v>
      </c>
      <c r="I22" s="3646" t="s">
        <v>4041</v>
      </c>
      <c r="J22" s="3646" t="s">
        <v>3979</v>
      </c>
      <c r="K22" s="3647">
        <v>43650</v>
      </c>
      <c r="L22" s="3646" t="s">
        <v>3980</v>
      </c>
      <c r="M22" s="3645" t="s">
        <v>4010</v>
      </c>
      <c r="N22" s="3646">
        <v>2701</v>
      </c>
      <c r="O22" s="3646">
        <v>308.81</v>
      </c>
      <c r="P22" s="3646">
        <v>901</v>
      </c>
      <c r="Q22" s="3646">
        <v>0</v>
      </c>
      <c r="R22" s="3646" t="s">
        <v>3982</v>
      </c>
    </row>
    <row r="23" spans="1:18" s="3071" customFormat="1">
      <c r="A23" s="3646" t="s">
        <v>4037</v>
      </c>
      <c r="B23" s="3646" t="s">
        <v>4053</v>
      </c>
      <c r="C23" s="3646" t="s">
        <v>3974</v>
      </c>
      <c r="D23" s="3646" t="s">
        <v>3975</v>
      </c>
      <c r="E23" s="3646">
        <v>7123</v>
      </c>
      <c r="F23" s="3646">
        <v>89393.65</v>
      </c>
      <c r="G23" s="3646" t="s">
        <v>4051</v>
      </c>
      <c r="H23" s="3646" t="s">
        <v>3977</v>
      </c>
      <c r="I23" s="3646" t="s">
        <v>4041</v>
      </c>
      <c r="J23" s="3646" t="s">
        <v>3979</v>
      </c>
      <c r="K23" s="3647">
        <v>43650</v>
      </c>
      <c r="L23" s="3646" t="s">
        <v>3980</v>
      </c>
      <c r="M23" s="3645" t="s">
        <v>4010</v>
      </c>
      <c r="N23" s="3646">
        <v>8055</v>
      </c>
      <c r="O23" s="3646">
        <v>753.9</v>
      </c>
      <c r="P23" s="3646">
        <v>901</v>
      </c>
      <c r="Q23" s="3646">
        <v>0</v>
      </c>
      <c r="R23" s="3646" t="s">
        <v>3982</v>
      </c>
    </row>
    <row r="24" spans="1:18" s="3071" customFormat="1">
      <c r="A24" s="3646" t="s">
        <v>4054</v>
      </c>
      <c r="B24" s="3646" t="s">
        <v>4055</v>
      </c>
      <c r="C24" s="3646" t="s">
        <v>3974</v>
      </c>
      <c r="D24" s="3646" t="s">
        <v>3975</v>
      </c>
      <c r="E24" s="3646">
        <v>3316</v>
      </c>
      <c r="F24" s="3646">
        <v>994.8</v>
      </c>
      <c r="G24" s="3646" t="s">
        <v>3976</v>
      </c>
      <c r="H24" s="3646" t="s">
        <v>3977</v>
      </c>
      <c r="I24" s="3646" t="s">
        <v>4004</v>
      </c>
      <c r="J24" s="3646" t="s">
        <v>3979</v>
      </c>
      <c r="K24" s="3647">
        <v>43620</v>
      </c>
      <c r="L24" s="3646" t="s">
        <v>3980</v>
      </c>
      <c r="M24" s="3645" t="s">
        <v>4056</v>
      </c>
      <c r="N24" s="3646">
        <v>1300</v>
      </c>
      <c r="O24" s="3646">
        <v>261.36</v>
      </c>
      <c r="P24" s="3646">
        <v>13068</v>
      </c>
      <c r="Q24" s="3646">
        <v>0</v>
      </c>
      <c r="R24" s="3646" t="s">
        <v>3982</v>
      </c>
    </row>
    <row r="25" spans="1:18" s="3071" customFormat="1">
      <c r="A25" s="3646" t="s">
        <v>4057</v>
      </c>
      <c r="B25" s="3646" t="s">
        <v>4058</v>
      </c>
      <c r="C25" s="3646" t="s">
        <v>3974</v>
      </c>
      <c r="D25" s="3646" t="s">
        <v>3975</v>
      </c>
      <c r="E25" s="3646">
        <v>1959.61</v>
      </c>
      <c r="F25" s="3646">
        <v>1567.69</v>
      </c>
      <c r="G25" s="3646" t="s">
        <v>4059</v>
      </c>
      <c r="H25" s="3646" t="s">
        <v>3977</v>
      </c>
      <c r="I25" s="3646" t="s">
        <v>4004</v>
      </c>
      <c r="J25" s="3646" t="s">
        <v>3979</v>
      </c>
      <c r="K25" s="3647">
        <v>43613</v>
      </c>
      <c r="L25" s="3646" t="s">
        <v>3980</v>
      </c>
      <c r="M25" s="3645" t="s">
        <v>4060</v>
      </c>
      <c r="N25" s="3646">
        <v>230</v>
      </c>
      <c r="O25" s="3646">
        <v>78.25</v>
      </c>
      <c r="P25" s="3646">
        <v>1467</v>
      </c>
      <c r="Q25" s="3646">
        <v>0</v>
      </c>
      <c r="R25" s="3646" t="s">
        <v>3982</v>
      </c>
    </row>
    <row r="26" spans="1:18" s="3071" customFormat="1">
      <c r="A26" s="3646" t="s">
        <v>4061</v>
      </c>
      <c r="B26" s="3646" t="s">
        <v>4062</v>
      </c>
      <c r="C26" s="3646" t="s">
        <v>3974</v>
      </c>
      <c r="D26" s="3646" t="s">
        <v>3975</v>
      </c>
      <c r="E26" s="3646">
        <v>2758.17</v>
      </c>
      <c r="F26" s="3646">
        <v>827.45</v>
      </c>
      <c r="G26" s="3646" t="s">
        <v>3976</v>
      </c>
      <c r="H26" s="3646" t="s">
        <v>3977</v>
      </c>
      <c r="I26" s="3646" t="s">
        <v>4004</v>
      </c>
      <c r="J26" s="3646" t="s">
        <v>3979</v>
      </c>
      <c r="K26" s="3647">
        <v>43592</v>
      </c>
      <c r="L26" s="3646" t="s">
        <v>3980</v>
      </c>
      <c r="M26" s="3645" t="s">
        <v>4063</v>
      </c>
      <c r="N26" s="3646">
        <v>420</v>
      </c>
      <c r="O26" s="3646">
        <v>101.52</v>
      </c>
      <c r="P26" s="3646">
        <v>5076</v>
      </c>
      <c r="Q26" s="3646">
        <v>0</v>
      </c>
      <c r="R26" s="3646" t="s">
        <v>3982</v>
      </c>
    </row>
    <row r="54" spans="26:26">
      <c r="Z54" s="3074" t="s">
        <v>4078</v>
      </c>
    </row>
    <row r="55" spans="26:26">
      <c r="Z55" s="3074" t="s">
        <v>4079</v>
      </c>
    </row>
    <row r="56" spans="26:26">
      <c r="Z56" s="3074" t="s">
        <v>4080</v>
      </c>
    </row>
    <row r="82" spans="1:14">
      <c r="A82" s="3074" t="s">
        <v>4070</v>
      </c>
    </row>
    <row r="83" spans="1:14">
      <c r="A83" s="3651" t="s">
        <v>4233</v>
      </c>
    </row>
    <row r="84" spans="1:14">
      <c r="A84" s="3651" t="s">
        <v>4234</v>
      </c>
    </row>
    <row r="85" spans="1:14" ht="409.5" customHeight="1">
      <c r="A85" s="3643" t="s">
        <v>4232</v>
      </c>
      <c r="B85" s="3643"/>
      <c r="C85" s="3643"/>
      <c r="D85" s="3643"/>
      <c r="E85" s="3643"/>
      <c r="F85" s="3643"/>
      <c r="G85" s="3643"/>
      <c r="H85" s="3643"/>
      <c r="I85" s="3643"/>
      <c r="J85" s="3643"/>
      <c r="K85" s="3643"/>
      <c r="L85" s="3643"/>
      <c r="M85" s="3643"/>
      <c r="N85" s="3643"/>
    </row>
  </sheetData>
  <mergeCells count="469">
    <mergeCell ref="J26"/>
    <mergeCell ref="K26"/>
    <mergeCell ref="L26"/>
    <mergeCell ref="M26"/>
    <mergeCell ref="N26"/>
    <mergeCell ref="O26"/>
    <mergeCell ref="P26"/>
    <mergeCell ref="Q26"/>
    <mergeCell ref="R26"/>
    <mergeCell ref="A26"/>
    <mergeCell ref="B26"/>
    <mergeCell ref="C26"/>
    <mergeCell ref="D26"/>
    <mergeCell ref="E26"/>
    <mergeCell ref="F26"/>
    <mergeCell ref="G26"/>
    <mergeCell ref="H26"/>
    <mergeCell ref="I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J24"/>
    <mergeCell ref="K24"/>
    <mergeCell ref="L24"/>
    <mergeCell ref="M24"/>
    <mergeCell ref="N24"/>
    <mergeCell ref="O24"/>
    <mergeCell ref="P24"/>
    <mergeCell ref="Q24"/>
    <mergeCell ref="R24"/>
    <mergeCell ref="A24"/>
    <mergeCell ref="B24"/>
    <mergeCell ref="C24"/>
    <mergeCell ref="D24"/>
    <mergeCell ref="E24"/>
    <mergeCell ref="F24"/>
    <mergeCell ref="G24"/>
    <mergeCell ref="H24"/>
    <mergeCell ref="I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J22"/>
    <mergeCell ref="K22"/>
    <mergeCell ref="L22"/>
    <mergeCell ref="M22"/>
    <mergeCell ref="N22"/>
    <mergeCell ref="O22"/>
    <mergeCell ref="P22"/>
    <mergeCell ref="Q22"/>
    <mergeCell ref="R22"/>
    <mergeCell ref="A22"/>
    <mergeCell ref="B22"/>
    <mergeCell ref="C22"/>
    <mergeCell ref="D22"/>
    <mergeCell ref="E22"/>
    <mergeCell ref="F22"/>
    <mergeCell ref="G22"/>
    <mergeCell ref="H22"/>
    <mergeCell ref="I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J20"/>
    <mergeCell ref="K20"/>
    <mergeCell ref="L20"/>
    <mergeCell ref="M20"/>
    <mergeCell ref="N20"/>
    <mergeCell ref="O20"/>
    <mergeCell ref="P20"/>
    <mergeCell ref="Q20"/>
    <mergeCell ref="R20"/>
    <mergeCell ref="A20"/>
    <mergeCell ref="B20"/>
    <mergeCell ref="C20"/>
    <mergeCell ref="D20"/>
    <mergeCell ref="E20"/>
    <mergeCell ref="F20"/>
    <mergeCell ref="G20"/>
    <mergeCell ref="H20"/>
    <mergeCell ref="I20"/>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J18"/>
    <mergeCell ref="K18"/>
    <mergeCell ref="L18"/>
    <mergeCell ref="M18"/>
    <mergeCell ref="N18"/>
    <mergeCell ref="O18"/>
    <mergeCell ref="P18"/>
    <mergeCell ref="Q18"/>
    <mergeCell ref="R18"/>
    <mergeCell ref="A18"/>
    <mergeCell ref="B18"/>
    <mergeCell ref="C18"/>
    <mergeCell ref="D18"/>
    <mergeCell ref="E18"/>
    <mergeCell ref="F18"/>
    <mergeCell ref="G18"/>
    <mergeCell ref="H18"/>
    <mergeCell ref="I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J16"/>
    <mergeCell ref="K16"/>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J14"/>
    <mergeCell ref="K14"/>
    <mergeCell ref="L14"/>
    <mergeCell ref="M14"/>
    <mergeCell ref="N14"/>
    <mergeCell ref="O14"/>
    <mergeCell ref="P14"/>
    <mergeCell ref="Q14"/>
    <mergeCell ref="R14"/>
    <mergeCell ref="A14"/>
    <mergeCell ref="B14"/>
    <mergeCell ref="C14"/>
    <mergeCell ref="D14"/>
    <mergeCell ref="E14"/>
    <mergeCell ref="F14"/>
    <mergeCell ref="G14"/>
    <mergeCell ref="H14"/>
    <mergeCell ref="I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J12"/>
    <mergeCell ref="K12"/>
    <mergeCell ref="L12"/>
    <mergeCell ref="M12"/>
    <mergeCell ref="N12"/>
    <mergeCell ref="O12"/>
    <mergeCell ref="P12"/>
    <mergeCell ref="Q12"/>
    <mergeCell ref="R12"/>
    <mergeCell ref="A12"/>
    <mergeCell ref="B12"/>
    <mergeCell ref="C12"/>
    <mergeCell ref="D12"/>
    <mergeCell ref="E12"/>
    <mergeCell ref="F12"/>
    <mergeCell ref="G12"/>
    <mergeCell ref="H12"/>
    <mergeCell ref="I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J10"/>
    <mergeCell ref="K10"/>
    <mergeCell ref="L10"/>
    <mergeCell ref="M10"/>
    <mergeCell ref="N10"/>
    <mergeCell ref="O10"/>
    <mergeCell ref="P10"/>
    <mergeCell ref="Q10"/>
    <mergeCell ref="R10"/>
    <mergeCell ref="A10"/>
    <mergeCell ref="B10"/>
    <mergeCell ref="C10"/>
    <mergeCell ref="D10"/>
    <mergeCell ref="E10"/>
    <mergeCell ref="F10"/>
    <mergeCell ref="G10"/>
    <mergeCell ref="H10"/>
    <mergeCell ref="I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J8"/>
    <mergeCell ref="K8"/>
    <mergeCell ref="L8"/>
    <mergeCell ref="M8"/>
    <mergeCell ref="N8"/>
    <mergeCell ref="O8"/>
    <mergeCell ref="P8"/>
    <mergeCell ref="Q8"/>
    <mergeCell ref="R8"/>
    <mergeCell ref="A8"/>
    <mergeCell ref="B8"/>
    <mergeCell ref="C8"/>
    <mergeCell ref="D8"/>
    <mergeCell ref="E8"/>
    <mergeCell ref="F8"/>
    <mergeCell ref="G8"/>
    <mergeCell ref="H8"/>
    <mergeCell ref="I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J6"/>
    <mergeCell ref="K6"/>
    <mergeCell ref="L6"/>
    <mergeCell ref="M6"/>
    <mergeCell ref="N6"/>
    <mergeCell ref="O6"/>
    <mergeCell ref="P6"/>
    <mergeCell ref="Q6"/>
    <mergeCell ref="R6"/>
    <mergeCell ref="A6"/>
    <mergeCell ref="B6"/>
    <mergeCell ref="C6"/>
    <mergeCell ref="D6"/>
    <mergeCell ref="E6"/>
    <mergeCell ref="F6"/>
    <mergeCell ref="G6"/>
    <mergeCell ref="H6"/>
    <mergeCell ref="I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J4"/>
    <mergeCell ref="K4"/>
    <mergeCell ref="L4"/>
    <mergeCell ref="M4"/>
    <mergeCell ref="N4"/>
    <mergeCell ref="O4"/>
    <mergeCell ref="P4"/>
    <mergeCell ref="Q4"/>
    <mergeCell ref="R4"/>
    <mergeCell ref="A4"/>
    <mergeCell ref="B4"/>
    <mergeCell ref="C4"/>
    <mergeCell ref="D4"/>
    <mergeCell ref="E4"/>
    <mergeCell ref="F4"/>
    <mergeCell ref="G4"/>
    <mergeCell ref="H4"/>
    <mergeCell ref="I4"/>
    <mergeCell ref="J3"/>
    <mergeCell ref="K3"/>
    <mergeCell ref="L3"/>
    <mergeCell ref="M3"/>
    <mergeCell ref="N3"/>
    <mergeCell ref="O3"/>
    <mergeCell ref="P3"/>
    <mergeCell ref="Q3"/>
    <mergeCell ref="R3"/>
    <mergeCell ref="O1"/>
    <mergeCell ref="P1"/>
    <mergeCell ref="Q1"/>
    <mergeCell ref="R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A85:N85"/>
    <mergeCell ref="A1"/>
    <mergeCell ref="B1"/>
    <mergeCell ref="C1"/>
    <mergeCell ref="D1"/>
    <mergeCell ref="E1"/>
    <mergeCell ref="F1"/>
    <mergeCell ref="G1"/>
    <mergeCell ref="H1"/>
    <mergeCell ref="I1"/>
    <mergeCell ref="J1"/>
    <mergeCell ref="K1"/>
    <mergeCell ref="L1"/>
    <mergeCell ref="M1"/>
    <mergeCell ref="N1"/>
    <mergeCell ref="A3"/>
    <mergeCell ref="B3"/>
    <mergeCell ref="C3"/>
    <mergeCell ref="D3"/>
    <mergeCell ref="E3"/>
    <mergeCell ref="F3"/>
    <mergeCell ref="G3"/>
    <mergeCell ref="H3"/>
    <mergeCell ref="I3"/>
  </mergeCells>
  <phoneticPr fontId="140" type="noConversion"/>
  <hyperlinks>
    <hyperlink ref="A83" r:id="rId1"/>
    <hyperlink ref="A84" r:id="rId2"/>
  </hyperlinks>
  <pageMargins left="0.7" right="0.7" top="0.75" bottom="0.75" header="0.3" footer="0.3"/>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topLeftCell="A10" workbookViewId="0">
      <selection activeCell="I8" sqref="I8"/>
    </sheetView>
  </sheetViews>
  <sheetFormatPr defaultRowHeight="13.5"/>
  <cols>
    <col min="1" max="1" width="21.375" customWidth="1"/>
    <col min="3" max="3" width="10.5" bestFit="1" customWidth="1"/>
    <col min="4" max="4" width="9.5" bestFit="1" customWidth="1"/>
    <col min="5" max="5" width="12.75" customWidth="1"/>
  </cols>
  <sheetData>
    <row r="1" spans="1:5">
      <c r="A1" s="3089" t="s">
        <v>4081</v>
      </c>
      <c r="B1" s="3090">
        <v>2017</v>
      </c>
      <c r="C1" s="3090">
        <v>2018</v>
      </c>
      <c r="D1" s="3090">
        <v>2019</v>
      </c>
      <c r="E1" s="3091">
        <v>2020</v>
      </c>
    </row>
    <row r="2" spans="1:5">
      <c r="A2" s="3092" t="s">
        <v>4082</v>
      </c>
      <c r="B2" s="3087">
        <f>576249.42/10000</f>
        <v>57.624942000000004</v>
      </c>
      <c r="C2" s="3088">
        <f>811719672.69/10000</f>
        <v>81171.967269000001</v>
      </c>
      <c r="D2" s="3088">
        <f>40493714.28/10000</f>
        <v>4049.3714279999999</v>
      </c>
      <c r="E2" s="3093">
        <f>42929771.06/10000</f>
        <v>4292.9771060000003</v>
      </c>
    </row>
    <row r="3" spans="1:5" ht="14.25" thickBot="1">
      <c r="A3" s="3096" t="s">
        <v>4084</v>
      </c>
      <c r="B3" s="3097"/>
      <c r="C3" s="3097"/>
      <c r="D3" s="3097"/>
      <c r="E3" s="3098">
        <f>ROUND(E2/'数据-汇总表'!E27/365*10000,1)</f>
        <v>1.5</v>
      </c>
    </row>
    <row r="4" spans="1:5">
      <c r="A4" s="3099" t="s">
        <v>4083</v>
      </c>
      <c r="B4" s="3090"/>
      <c r="C4" s="3090"/>
      <c r="D4" s="3090"/>
      <c r="E4" s="3091">
        <v>4490</v>
      </c>
    </row>
    <row r="5" spans="1:5" ht="14.25" thickBot="1">
      <c r="A5" s="3100" t="s">
        <v>4085</v>
      </c>
      <c r="B5" s="3094"/>
      <c r="C5" s="3094"/>
      <c r="D5" s="3094"/>
      <c r="E5" s="3095">
        <f>ROUND(E4/'数据-汇总表'!E27/365*10000,1)</f>
        <v>1.5</v>
      </c>
    </row>
    <row r="9" spans="1:5">
      <c r="A9" s="3086" t="s">
        <v>4219</v>
      </c>
    </row>
    <row r="10" spans="1:5">
      <c r="A10" s="3086" t="s">
        <v>4220</v>
      </c>
    </row>
    <row r="11" spans="1:5">
      <c r="A11" s="3086" t="s">
        <v>4221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302" t="str">
        <f>IF(项目基本情况!B9="房地产市场价值","估价结果一览表","结果表-2")</f>
        <v>结果表-2</v>
      </c>
      <c r="B1" s="3302"/>
      <c r="C1" s="3302"/>
      <c r="D1" s="3302"/>
      <c r="E1" s="3302"/>
      <c r="F1" s="3302"/>
      <c r="G1" s="3302"/>
      <c r="H1" s="3302"/>
      <c r="I1" s="3302"/>
    </row>
    <row r="2" spans="1:9" ht="30" customHeight="1" thickTop="1">
      <c r="A2" s="3303" t="s">
        <v>1606</v>
      </c>
      <c r="B2" s="3303" t="s">
        <v>1607</v>
      </c>
      <c r="C2" s="3303" t="s">
        <v>1608</v>
      </c>
      <c r="D2" s="3303" t="str">
        <f>结果表!D116</f>
        <v>出让国有建设用地使用权价值</v>
      </c>
      <c r="E2" s="3303"/>
      <c r="F2" s="3303" t="str">
        <f>结果表!F116</f>
        <v>在建建筑物价值</v>
      </c>
      <c r="G2" s="3303"/>
      <c r="H2" s="3303" t="str">
        <f>IF(项目基本情况!B9="房地产市场价值","房地产市场价值","房地产价值")</f>
        <v>房地产价值</v>
      </c>
      <c r="I2" s="3303"/>
    </row>
    <row r="3" spans="1:9" ht="15">
      <c r="A3" s="3297"/>
      <c r="B3" s="3297"/>
      <c r="C3" s="3297"/>
      <c r="D3" s="963" t="s">
        <v>1603</v>
      </c>
      <c r="E3" s="963" t="s">
        <v>1609</v>
      </c>
      <c r="F3" s="963" t="s">
        <v>1603</v>
      </c>
      <c r="G3" s="963" t="s">
        <v>1604</v>
      </c>
      <c r="H3" s="963" t="s">
        <v>1603</v>
      </c>
      <c r="I3" s="963" t="s">
        <v>1604</v>
      </c>
    </row>
    <row r="4" spans="1:9" ht="15">
      <c r="A4" s="1690" t="str">
        <f>项目基本情况!S2</f>
        <v>房地产</v>
      </c>
      <c r="B4" s="963">
        <f>项目基本情况!C17</f>
        <v>80197.850000000006</v>
      </c>
      <c r="C4" s="963">
        <f>项目基本情况!C18</f>
        <v>34634.379999999997</v>
      </c>
      <c r="D4" s="963">
        <f ca="1">结果表!D118</f>
        <v>8827</v>
      </c>
      <c r="E4" s="963">
        <f ca="1">结果表!E118</f>
        <v>1101</v>
      </c>
      <c r="F4" s="963">
        <f ca="1">结果表!F118</f>
        <v>39674</v>
      </c>
      <c r="G4" s="963">
        <f ca="1">结果表!G118</f>
        <v>4947</v>
      </c>
      <c r="H4" s="963">
        <f ca="1">结果表!H118</f>
        <v>48501</v>
      </c>
      <c r="I4" s="963">
        <f ca="1">结果表!I118</f>
        <v>6048</v>
      </c>
    </row>
    <row r="5" spans="1:9" ht="30" customHeight="1">
      <c r="A5" s="3297" t="s">
        <v>1605</v>
      </c>
      <c r="B5" s="3297"/>
      <c r="C5" s="3297"/>
      <c r="D5" s="3298" t="str">
        <f ca="1">结果表!D119</f>
        <v>捌仟捌佰贰拾柒万元整</v>
      </c>
      <c r="E5" s="3298"/>
      <c r="F5" s="3298" t="str">
        <f ca="1">结果表!F119</f>
        <v>叁亿玖仟陆佰柒拾肆万元整</v>
      </c>
      <c r="G5" s="3298"/>
      <c r="H5" s="3298" t="str">
        <f ca="1">结果表!H119</f>
        <v>肆亿捌仟伍佰零壹万元整</v>
      </c>
      <c r="I5" s="3298"/>
    </row>
    <row r="6" spans="1:9" ht="15.75">
      <c r="A6" s="3296" t="str">
        <f>结果表!A120</f>
        <v>估价师知悉的法定优先受偿款</v>
      </c>
      <c r="B6" s="3296"/>
      <c r="C6" s="3296"/>
      <c r="D6" s="3296">
        <f>结果表!D120</f>
        <v>0</v>
      </c>
      <c r="E6" s="3296"/>
      <c r="F6" s="3296"/>
      <c r="G6" s="3296"/>
      <c r="H6" s="3296"/>
      <c r="I6" s="3296"/>
    </row>
    <row r="7" spans="1:9" ht="15">
      <c r="A7" s="3297" t="s">
        <v>1605</v>
      </c>
      <c r="B7" s="3297"/>
      <c r="C7" s="3297"/>
      <c r="D7" s="3299" t="str">
        <f>结果表!D121</f>
        <v>零元整</v>
      </c>
      <c r="E7" s="3300"/>
      <c r="F7" s="3300"/>
      <c r="G7" s="3300"/>
      <c r="H7" s="3300"/>
      <c r="I7" s="3301"/>
    </row>
    <row r="8" spans="1:9" ht="15.75">
      <c r="A8" s="3296" t="str">
        <f>结果表!A122</f>
        <v>房地产抵押价值</v>
      </c>
      <c r="B8" s="3296"/>
      <c r="C8" s="3296"/>
      <c r="D8" s="3296">
        <f ca="1">结果表!D122</f>
        <v>48501</v>
      </c>
      <c r="E8" s="3296"/>
      <c r="F8" s="3296"/>
      <c r="G8" s="3296"/>
      <c r="H8" s="3296"/>
      <c r="I8" s="3296"/>
    </row>
    <row r="9" spans="1:9" ht="15">
      <c r="A9" s="3297" t="s">
        <v>1605</v>
      </c>
      <c r="B9" s="3297"/>
      <c r="C9" s="3297"/>
      <c r="D9" s="3298" t="str">
        <f ca="1">结果表!D123</f>
        <v>肆亿捌仟伍佰零壹万元整</v>
      </c>
      <c r="E9" s="3298"/>
      <c r="F9" s="3298"/>
      <c r="G9" s="3298"/>
      <c r="H9" s="3298"/>
      <c r="I9" s="3298"/>
    </row>
    <row r="10" spans="1:9" ht="15.75">
      <c r="A10" s="3296" t="str">
        <f>结果表!A124</f>
        <v/>
      </c>
      <c r="B10" s="3296"/>
      <c r="C10" s="3296"/>
      <c r="D10" s="3296" t="str">
        <f>结果表!D124</f>
        <v>——</v>
      </c>
      <c r="E10" s="3296"/>
      <c r="F10" s="3296"/>
      <c r="G10" s="3296"/>
      <c r="H10" s="3296"/>
      <c r="I10" s="3296"/>
    </row>
    <row r="11" spans="1:9" ht="15">
      <c r="A11" s="3297" t="s">
        <v>1605</v>
      </c>
      <c r="B11" s="3297"/>
      <c r="C11" s="3297"/>
      <c r="D11" s="3298" t="e">
        <f>结果表!D125</f>
        <v>#VALUE!</v>
      </c>
      <c r="E11" s="3298"/>
      <c r="F11" s="3298"/>
      <c r="G11" s="3298"/>
      <c r="H11" s="3298"/>
      <c r="I11" s="3298"/>
    </row>
    <row r="12" spans="1:9" ht="15.75">
      <c r="A12" s="3296" t="str">
        <f>结果表!A126</f>
        <v/>
      </c>
      <c r="B12" s="3296"/>
      <c r="C12" s="3296"/>
      <c r="D12" s="3296" t="str">
        <f>结果表!D126</f>
        <v>——</v>
      </c>
      <c r="E12" s="3296"/>
      <c r="F12" s="3296"/>
      <c r="G12" s="3296"/>
      <c r="H12" s="3296"/>
      <c r="I12" s="3296"/>
    </row>
    <row r="13" spans="1:9" ht="15.75" thickBot="1">
      <c r="A13" s="3293" t="s">
        <v>1605</v>
      </c>
      <c r="B13" s="3293"/>
      <c r="C13" s="3293"/>
      <c r="D13" s="3294" t="e">
        <f>结果表!D127</f>
        <v>#VALUE!</v>
      </c>
      <c r="E13" s="3294"/>
      <c r="F13" s="3294"/>
      <c r="G13" s="3294"/>
      <c r="H13" s="3294"/>
      <c r="I13" s="3294"/>
    </row>
    <row r="14" spans="1:9" ht="15" thickTop="1">
      <c r="A14" s="3295" t="s">
        <v>1610</v>
      </c>
      <c r="B14" s="3295"/>
      <c r="C14" s="3295"/>
      <c r="D14" s="3295"/>
      <c r="E14" s="3295"/>
      <c r="F14" s="3295"/>
      <c r="G14" s="3295"/>
      <c r="H14" s="3295"/>
      <c r="I14" s="329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310" t="s">
        <v>1627</v>
      </c>
      <c r="B1" s="3310"/>
      <c r="C1" s="3310"/>
      <c r="D1" s="3310"/>
    </row>
    <row r="2" spans="1:4" ht="18">
      <c r="A2" s="3311" t="s">
        <v>1611</v>
      </c>
      <c r="B2" s="3311"/>
      <c r="C2" s="3311"/>
      <c r="D2" s="331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311" t="s">
        <v>1617</v>
      </c>
      <c r="B6" s="3311"/>
      <c r="C6" s="3311"/>
      <c r="D6" s="331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312" t="s">
        <v>1620</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9"/>
      <c r="C12" s="3309"/>
      <c r="D12" s="3309"/>
    </row>
    <row r="13" spans="1:4" ht="30" customHeight="1">
      <c r="A13" s="3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9"/>
      <c r="C13" s="3309"/>
      <c r="D13" s="3309"/>
    </row>
    <row r="14" spans="1:4" ht="15.75" customHeight="1">
      <c r="A14" s="3304" t="str">
        <f>IF(项目基本情况!B8="抵押","4.本次评估估价师所知悉的法定优先受偿款情况说明如下：","——")</f>
        <v>4.本次评估估价师所知悉的法定优先受偿款情况说明如下：</v>
      </c>
      <c r="B14" s="3309"/>
      <c r="C14" s="3309"/>
      <c r="D14" s="3309"/>
    </row>
    <row r="15" spans="1:4" ht="42" customHeight="1">
      <c r="A15" s="3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4"/>
      <c r="C15" s="3304"/>
      <c r="D15" s="3304"/>
    </row>
    <row r="16" spans="1:4" ht="30" customHeight="1">
      <c r="A16" s="3306" t="s">
        <v>1621</v>
      </c>
      <c r="B16" s="3306"/>
      <c r="C16" s="3306"/>
      <c r="D16" s="3306"/>
    </row>
    <row r="17" spans="1:4" ht="144" customHeight="1">
      <c r="A17" s="3306" t="s">
        <v>1622</v>
      </c>
      <c r="B17" s="3306"/>
      <c r="C17" s="3306"/>
      <c r="D17" s="3306"/>
    </row>
    <row r="18" spans="1:4" ht="15.75" customHeight="1">
      <c r="A18" s="3304" t="str">
        <f>IF(项目基本情况!B8="抵押",结果表!K120,"——")</f>
        <v>故，本次评估不存在估价师知悉的法定优先受偿款</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7"/>
      <c r="C21" s="3307"/>
      <c r="D21" s="3307"/>
    </row>
    <row r="22" spans="1:4" ht="18.75" customHeight="1">
      <c r="A22" s="3308" t="s">
        <v>1623</v>
      </c>
      <c r="B22" s="3308"/>
      <c r="C22" s="3308"/>
      <c r="D22" s="330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305">
        <v>42551</v>
      </c>
      <c r="D31" s="33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318" t="s">
        <v>1634</v>
      </c>
      <c r="B15" s="3313" t="s">
        <v>136</v>
      </c>
      <c r="C15" s="3314"/>
    </row>
    <row r="16" spans="1:7" ht="13.5">
      <c r="A16" s="3319"/>
      <c r="B16" s="3313" t="s">
        <v>69</v>
      </c>
      <c r="C16" s="3314"/>
    </row>
    <row r="17" spans="1:3" ht="13.5">
      <c r="A17" s="3319"/>
      <c r="B17" s="3316" t="s">
        <v>1635</v>
      </c>
      <c r="C17" s="1717" t="s">
        <v>1634</v>
      </c>
    </row>
    <row r="18" spans="1:3" ht="13.5">
      <c r="A18" s="3319"/>
      <c r="B18" s="3316"/>
      <c r="C18" s="1717" t="s">
        <v>1636</v>
      </c>
    </row>
    <row r="19" spans="1:3" ht="13.5">
      <c r="A19" s="3319"/>
      <c r="B19" s="3316"/>
      <c r="C19" s="1717" t="s">
        <v>1637</v>
      </c>
    </row>
    <row r="20" spans="1:3" ht="13.5">
      <c r="A20" s="3320"/>
      <c r="B20" s="3315" t="s">
        <v>1638</v>
      </c>
      <c r="C20" s="3314"/>
    </row>
    <row r="21" spans="1:3" ht="13.5">
      <c r="A21" s="1718" t="s">
        <v>1639</v>
      </c>
      <c r="B21" s="1719"/>
      <c r="C21" s="1720"/>
    </row>
    <row r="22" spans="1:3" ht="13.5">
      <c r="A22" s="3317" t="s">
        <v>1640</v>
      </c>
      <c r="B22" s="3315" t="s">
        <v>1641</v>
      </c>
      <c r="C22" s="3314"/>
    </row>
    <row r="23" spans="1:3" ht="13.5">
      <c r="A23" s="3317"/>
      <c r="B23" s="3315" t="s">
        <v>1642</v>
      </c>
      <c r="C23" s="3314"/>
    </row>
    <row r="24" spans="1:3" ht="13.5">
      <c r="A24" s="3317"/>
      <c r="B24" s="3315" t="s">
        <v>1643</v>
      </c>
      <c r="C24" s="3314"/>
    </row>
    <row r="25" spans="1:3" ht="13.5">
      <c r="A25" s="3317"/>
      <c r="B25" s="3316" t="s">
        <v>1644</v>
      </c>
      <c r="C25" s="1717" t="s">
        <v>1645</v>
      </c>
    </row>
    <row r="26" spans="1:3" ht="13.5">
      <c r="A26" s="3317"/>
      <c r="B26" s="3316"/>
      <c r="C26" s="1717" t="s">
        <v>1646</v>
      </c>
    </row>
    <row r="27" spans="1:3" ht="13.5">
      <c r="A27" s="3317"/>
      <c r="B27" s="3316"/>
      <c r="C27" s="1717" t="s">
        <v>1647</v>
      </c>
    </row>
    <row r="28" spans="1:3" ht="13.5">
      <c r="A28" s="3317"/>
      <c r="B28" s="3316"/>
      <c r="C28" s="1717" t="s">
        <v>1648</v>
      </c>
    </row>
    <row r="29" spans="1:3" ht="13.5">
      <c r="A29" s="3317"/>
      <c r="B29" s="3316"/>
      <c r="C29" s="1717" t="s">
        <v>1649</v>
      </c>
    </row>
    <row r="30" spans="1:3" ht="13.5">
      <c r="A30" s="3317"/>
      <c r="B30" s="3316"/>
      <c r="C30" s="1717" t="s">
        <v>1650</v>
      </c>
    </row>
    <row r="31" spans="1:3" ht="13.5">
      <c r="A31" s="3317"/>
      <c r="B31" s="3316"/>
      <c r="C31" s="1717" t="s">
        <v>1651</v>
      </c>
    </row>
    <row r="32" spans="1:3" ht="13.5">
      <c r="A32" s="3317"/>
      <c r="B32" s="3316"/>
      <c r="C32" s="1717" t="s">
        <v>1652</v>
      </c>
    </row>
    <row r="33" spans="1:3" ht="13.5">
      <c r="A33" s="3317"/>
      <c r="B33" s="331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44558</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t="str">
        <f ca="1">IF(C9&lt;B2,"已过期",1120060040)</f>
        <v>已过期</v>
      </c>
      <c r="C9" s="2573">
        <v>44554</v>
      </c>
      <c r="D9" s="2569" t="str">
        <f t="shared" ca="1" si="0"/>
        <v>陈颖（注册号：已过期）</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321" t="s">
        <v>2903</v>
      </c>
      <c r="B17" s="3321"/>
      <c r="C17" s="3321"/>
      <c r="D17" s="3321"/>
      <c r="E17" s="3321"/>
      <c r="F17" s="3321"/>
      <c r="G17" s="3321"/>
      <c r="H17" s="3321"/>
    </row>
    <row r="18" spans="1:8" ht="24" customHeight="1">
      <c r="A18" s="3322" t="s">
        <v>2904</v>
      </c>
      <c r="B18" s="3322"/>
      <c r="C18" s="3322"/>
      <c r="D18" s="2566"/>
      <c r="E18" s="3323" t="s">
        <v>2905</v>
      </c>
      <c r="F18" s="3322"/>
      <c r="G18" s="3322"/>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收益法-经营</vt:lpstr>
      <vt:lpstr>收益法</vt:lpstr>
      <vt:lpstr>收益法 (元)</vt:lpstr>
      <vt:lpstr>收益法 (车库)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财务报表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2021-12-28T08:44:11Z</dcterms:modified>
</cp:coreProperties>
</file>